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350" activeTab="1"/>
  </bookViews>
  <sheets>
    <sheet name="goblins" sheetId="441" r:id="rId1"/>
    <sheet name="Goblins-OBIWAN" sheetId="442" r:id="rId2"/>
    <sheet name="Goblins-OBIWAN_352" sheetId="443" r:id="rId3"/>
    <sheet name="SIMULADOR&gt;22-12-17_v2" sheetId="436" r:id="rId4"/>
    <sheet name="SIMULADOR&gt;22-12-17" sheetId="435" r:id="rId5"/>
    <sheet name="SIMULADOR" sheetId="285" r:id="rId6"/>
    <sheet name="SIMULADOR_sinJC" sheetId="273" r:id="rId7"/>
  </sheets>
  <calcPr calcId="152511"/>
  <fileRecoveryPr autoRecover="0"/>
</workbook>
</file>

<file path=xl/calcChain.xml><?xml version="1.0" encoding="utf-8"?>
<calcChain xmlns="http://schemas.openxmlformats.org/spreadsheetml/2006/main">
  <c r="O5" i="436" l="1"/>
  <c r="O6" i="436"/>
  <c r="O8" i="436"/>
  <c r="O9" i="436"/>
  <c r="O10" i="436"/>
  <c r="O11" i="436"/>
  <c r="O19" i="436"/>
  <c r="Y5" i="436"/>
  <c r="Y6" i="436"/>
  <c r="Y8" i="436"/>
  <c r="Y9" i="436"/>
  <c r="Y10" i="436"/>
  <c r="Y11" i="436"/>
  <c r="Y19" i="436"/>
  <c r="O14" i="442"/>
  <c r="AL3" i="441" l="1"/>
  <c r="AL4" i="441"/>
  <c r="AL5" i="441"/>
  <c r="AL6" i="441"/>
  <c r="AL7" i="441"/>
  <c r="AL8" i="441"/>
  <c r="AL9" i="441"/>
  <c r="AL10" i="441"/>
  <c r="AL11" i="441"/>
  <c r="AL12" i="441"/>
  <c r="AL13" i="441"/>
  <c r="AL14" i="441"/>
  <c r="AL15" i="441"/>
  <c r="AL16" i="441"/>
  <c r="AL17" i="441"/>
  <c r="AL18" i="441"/>
  <c r="AL19" i="441"/>
  <c r="AL20" i="441"/>
  <c r="AL21" i="441"/>
  <c r="AL2" i="441"/>
  <c r="AK5" i="441"/>
  <c r="AK6" i="441"/>
  <c r="AK13" i="441"/>
  <c r="AK11" i="441"/>
  <c r="AK7" i="441"/>
  <c r="AK16" i="441"/>
  <c r="AK17" i="441"/>
  <c r="AK18" i="441"/>
  <c r="AK19" i="441"/>
  <c r="AK2" i="441"/>
  <c r="AK14" i="441"/>
  <c r="AK15" i="441"/>
  <c r="AK3" i="441"/>
  <c r="AK8" i="441"/>
  <c r="AK12" i="441"/>
  <c r="AK9" i="441"/>
  <c r="AK4" i="441"/>
  <c r="AK21" i="441"/>
  <c r="AK10" i="441"/>
  <c r="AK20" i="441"/>
  <c r="AJ5" i="441"/>
  <c r="AJ6" i="441"/>
  <c r="AJ13" i="441"/>
  <c r="AJ11" i="441"/>
  <c r="AJ7" i="441"/>
  <c r="AJ16" i="441"/>
  <c r="AJ17" i="441"/>
  <c r="AJ18" i="441"/>
  <c r="AJ19" i="441"/>
  <c r="AJ2" i="441"/>
  <c r="AJ14" i="441"/>
  <c r="AJ15" i="441"/>
  <c r="AJ3" i="441"/>
  <c r="AJ8" i="441"/>
  <c r="AJ12" i="441"/>
  <c r="AJ9" i="441"/>
  <c r="AJ4" i="441"/>
  <c r="AJ21" i="441"/>
  <c r="AJ10" i="441"/>
  <c r="AJ20" i="441"/>
  <c r="BF48" i="443" l="1"/>
  <c r="BF47" i="443"/>
  <c r="BE45" i="443"/>
  <c r="BF46" i="443" s="1"/>
  <c r="BE44" i="443"/>
  <c r="BF45" i="443" s="1"/>
  <c r="BD44" i="443"/>
  <c r="BH43" i="443"/>
  <c r="BH48" i="443" s="1"/>
  <c r="BH53" i="443" s="1"/>
  <c r="BH56" i="443" s="1"/>
  <c r="BH58" i="443" s="1"/>
  <c r="BH59" i="443" s="1"/>
  <c r="BE43" i="443"/>
  <c r="BF44" i="443" s="1"/>
  <c r="BD43" i="443"/>
  <c r="BC43" i="443"/>
  <c r="BE42" i="443"/>
  <c r="BF43" i="443" s="1"/>
  <c r="BD42" i="443"/>
  <c r="BC42" i="443"/>
  <c r="BF41" i="443"/>
  <c r="BE41" i="443"/>
  <c r="BD41" i="443"/>
  <c r="BC41" i="443"/>
  <c r="BF40" i="443"/>
  <c r="BE40" i="443"/>
  <c r="BD40" i="443"/>
  <c r="BC40" i="443"/>
  <c r="BC39" i="443"/>
  <c r="AS38" i="443"/>
  <c r="AR38" i="443"/>
  <c r="AQ38" i="443"/>
  <c r="AP38" i="443"/>
  <c r="AO38" i="443"/>
  <c r="AN38" i="443"/>
  <c r="AM38" i="443"/>
  <c r="AL38" i="443"/>
  <c r="AK38" i="443"/>
  <c r="AJ38" i="443"/>
  <c r="AI38" i="443"/>
  <c r="AH38" i="443"/>
  <c r="AG38" i="443"/>
  <c r="AF38" i="443"/>
  <c r="AE38" i="443"/>
  <c r="AD38" i="443"/>
  <c r="AC38" i="443"/>
  <c r="AB38" i="443"/>
  <c r="AA38" i="443"/>
  <c r="Z38" i="443"/>
  <c r="Y38" i="443"/>
  <c r="X38" i="443"/>
  <c r="W38" i="443"/>
  <c r="V38" i="443"/>
  <c r="U38" i="443"/>
  <c r="T38" i="443"/>
  <c r="S38" i="443"/>
  <c r="R38" i="443"/>
  <c r="Q38" i="443"/>
  <c r="P38" i="443"/>
  <c r="O38" i="443"/>
  <c r="N38" i="443"/>
  <c r="M38" i="443"/>
  <c r="L38" i="443"/>
  <c r="K38" i="443"/>
  <c r="J38" i="443"/>
  <c r="I38" i="443"/>
  <c r="H38" i="443"/>
  <c r="G38" i="443"/>
  <c r="BH34" i="443"/>
  <c r="BH40" i="443" s="1"/>
  <c r="BH45" i="443" s="1"/>
  <c r="BH50" i="443" s="1"/>
  <c r="BL11" i="443" s="1"/>
  <c r="BP38" i="443" s="1"/>
  <c r="BP46" i="443" s="1"/>
  <c r="BF34" i="443"/>
  <c r="BF33" i="443"/>
  <c r="C33" i="443"/>
  <c r="B33" i="443"/>
  <c r="BF32" i="443"/>
  <c r="C32" i="443"/>
  <c r="B32" i="443"/>
  <c r="BH31" i="443"/>
  <c r="BE31" i="443"/>
  <c r="BH30" i="443"/>
  <c r="BH37" i="443" s="1"/>
  <c r="BF30" i="443"/>
  <c r="BE30" i="443"/>
  <c r="BF31" i="443" s="1"/>
  <c r="BD30" i="443"/>
  <c r="E30" i="443"/>
  <c r="D30" i="443"/>
  <c r="BH29" i="443"/>
  <c r="BH36" i="443" s="1"/>
  <c r="BH42" i="443" s="1"/>
  <c r="BH47" i="443" s="1"/>
  <c r="BH52" i="443" s="1"/>
  <c r="BH55" i="443" s="1"/>
  <c r="BH57" i="443" s="1"/>
  <c r="BE29" i="443"/>
  <c r="BD29" i="443"/>
  <c r="BC29" i="443"/>
  <c r="C29" i="443"/>
  <c r="B29" i="443"/>
  <c r="BP28" i="443"/>
  <c r="BP35" i="443" s="1"/>
  <c r="BP43" i="443" s="1"/>
  <c r="BH28" i="443"/>
  <c r="BH35" i="443" s="1"/>
  <c r="BH41" i="443" s="1"/>
  <c r="BH46" i="443" s="1"/>
  <c r="BH51" i="443" s="1"/>
  <c r="BH54" i="443" s="1"/>
  <c r="BE28" i="443"/>
  <c r="BF29" i="443" s="1"/>
  <c r="BD28" i="443"/>
  <c r="BC28" i="443"/>
  <c r="BH27" i="443"/>
  <c r="BF27" i="443"/>
  <c r="BE27" i="443"/>
  <c r="BF28" i="443" s="1"/>
  <c r="BD27" i="443"/>
  <c r="BC27" i="443"/>
  <c r="C27" i="443"/>
  <c r="B27" i="443"/>
  <c r="BH26" i="443"/>
  <c r="BH33" i="443" s="1"/>
  <c r="BH39" i="443" s="1"/>
  <c r="BH44" i="443" s="1"/>
  <c r="BF26" i="443"/>
  <c r="BE26" i="443"/>
  <c r="BD26" i="443"/>
  <c r="BC26" i="443"/>
  <c r="E26" i="443"/>
  <c r="E27" i="443" s="1"/>
  <c r="D26" i="443"/>
  <c r="D27" i="443" s="1"/>
  <c r="C26" i="443"/>
  <c r="B26" i="443"/>
  <c r="BH25" i="443"/>
  <c r="BH32" i="443" s="1"/>
  <c r="BH38" i="443" s="1"/>
  <c r="BC25" i="443"/>
  <c r="E25" i="443"/>
  <c r="D25" i="443"/>
  <c r="D23" i="443" s="1"/>
  <c r="C25" i="443"/>
  <c r="B25" i="443"/>
  <c r="BH24" i="443"/>
  <c r="BH23" i="443"/>
  <c r="BL7" i="443" s="1"/>
  <c r="BP13" i="443" s="1"/>
  <c r="BP17" i="443" s="1"/>
  <c r="BP21" i="443" s="1"/>
  <c r="BP27" i="443" s="1"/>
  <c r="BP34" i="443" s="1"/>
  <c r="BP42" i="443" s="1"/>
  <c r="B22" i="443"/>
  <c r="C22" i="443" s="1"/>
  <c r="AB18" i="443" s="1"/>
  <c r="B20" i="443"/>
  <c r="B21" i="443" s="1"/>
  <c r="AK19" i="443"/>
  <c r="AG19" i="443"/>
  <c r="Z19" i="443"/>
  <c r="P19" i="443"/>
  <c r="AA18" i="443"/>
  <c r="Q18" i="443"/>
  <c r="AK17" i="443"/>
  <c r="AN17" i="443" s="1"/>
  <c r="AG17" i="443"/>
  <c r="Z17" i="443"/>
  <c r="P17" i="443"/>
  <c r="AA16" i="443"/>
  <c r="Q16" i="443"/>
  <c r="C16" i="443"/>
  <c r="B16" i="443"/>
  <c r="AA15" i="443"/>
  <c r="Q15" i="443"/>
  <c r="AN14" i="443"/>
  <c r="Z14" i="443"/>
  <c r="P14" i="443"/>
  <c r="O14" i="443"/>
  <c r="BL13" i="443"/>
  <c r="Z13" i="443"/>
  <c r="P13" i="443"/>
  <c r="BL12" i="443"/>
  <c r="BP47" i="443" s="1"/>
  <c r="AA12" i="443"/>
  <c r="Q12" i="443"/>
  <c r="AK11" i="443"/>
  <c r="AG11" i="443"/>
  <c r="Z11" i="443"/>
  <c r="P11" i="443"/>
  <c r="BL10" i="443"/>
  <c r="BP30" i="443" s="1"/>
  <c r="BP37" i="443" s="1"/>
  <c r="BP45" i="443" s="1"/>
  <c r="AK10" i="443"/>
  <c r="AG10" i="443"/>
  <c r="Z10" i="443"/>
  <c r="P10" i="443"/>
  <c r="BL9" i="443"/>
  <c r="BP23" i="443" s="1"/>
  <c r="BP29" i="443" s="1"/>
  <c r="BP36" i="443" s="1"/>
  <c r="BP44" i="443" s="1"/>
  <c r="AK9" i="443"/>
  <c r="AG9" i="443"/>
  <c r="Z9" i="443"/>
  <c r="P9" i="443"/>
  <c r="BL8" i="443"/>
  <c r="BP18" i="443" s="1"/>
  <c r="BP22" i="443" s="1"/>
  <c r="AK8" i="443"/>
  <c r="AG8" i="443"/>
  <c r="Z8" i="443"/>
  <c r="P8" i="443"/>
  <c r="Z7" i="443"/>
  <c r="AA7" i="443" s="1"/>
  <c r="R7" i="443"/>
  <c r="Q7" i="443"/>
  <c r="P7" i="443"/>
  <c r="BP6" i="443"/>
  <c r="BP8" i="443" s="1"/>
  <c r="BP11" i="443" s="1"/>
  <c r="BP15" i="443" s="1"/>
  <c r="BP19" i="443" s="1"/>
  <c r="BP25" i="443" s="1"/>
  <c r="BP32" i="443" s="1"/>
  <c r="BP40" i="443" s="1"/>
  <c r="BL6" i="443"/>
  <c r="BP9" i="443" s="1"/>
  <c r="BP12" i="443" s="1"/>
  <c r="BP16" i="443" s="1"/>
  <c r="BP20" i="443" s="1"/>
  <c r="BP26" i="443" s="1"/>
  <c r="BP33" i="443" s="1"/>
  <c r="BP41" i="443" s="1"/>
  <c r="AK6" i="443"/>
  <c r="AN6" i="443" s="1"/>
  <c r="AG6" i="443"/>
  <c r="Z6" i="443"/>
  <c r="P6" i="443"/>
  <c r="BP5" i="443"/>
  <c r="BP7" i="443" s="1"/>
  <c r="BP10" i="443" s="1"/>
  <c r="BP14" i="443" s="1"/>
  <c r="BH49" i="443" s="1"/>
  <c r="BP24" i="443" s="1"/>
  <c r="BP31" i="443" s="1"/>
  <c r="BP39" i="443" s="1"/>
  <c r="BL14" i="443" s="1"/>
  <c r="AK5" i="443"/>
  <c r="AG5" i="443"/>
  <c r="Z5" i="443"/>
  <c r="P5" i="443"/>
  <c r="G3" i="443"/>
  <c r="D3" i="443"/>
  <c r="K3" i="443" s="1"/>
  <c r="AI2" i="443"/>
  <c r="S2" i="443"/>
  <c r="K2" i="443"/>
  <c r="G2" i="443"/>
  <c r="S1" i="443"/>
  <c r="G1" i="443"/>
  <c r="BF48" i="442"/>
  <c r="BF47" i="442"/>
  <c r="BF46" i="442"/>
  <c r="BE45" i="442"/>
  <c r="BE44" i="442"/>
  <c r="BF45" i="442" s="1"/>
  <c r="BD44" i="442"/>
  <c r="BE43" i="442"/>
  <c r="BD43" i="442"/>
  <c r="BC43" i="442"/>
  <c r="BF42" i="442"/>
  <c r="BE42" i="442"/>
  <c r="BF43" i="442" s="1"/>
  <c r="BD42" i="442"/>
  <c r="BC42" i="442"/>
  <c r="BF41" i="442"/>
  <c r="BE41" i="442"/>
  <c r="BD41" i="442"/>
  <c r="BC41" i="442"/>
  <c r="BF40" i="442"/>
  <c r="BE40" i="442"/>
  <c r="BD40" i="442"/>
  <c r="BC40" i="442"/>
  <c r="BC39" i="442"/>
  <c r="AS38" i="442"/>
  <c r="AR38" i="442"/>
  <c r="AQ38" i="442"/>
  <c r="AP38" i="442"/>
  <c r="AO38" i="442"/>
  <c r="AN38" i="442"/>
  <c r="AM38" i="442"/>
  <c r="AL38" i="442"/>
  <c r="AK38" i="442"/>
  <c r="AJ38" i="442"/>
  <c r="AI38" i="442"/>
  <c r="AH38" i="442"/>
  <c r="AG38" i="442"/>
  <c r="AF38" i="442"/>
  <c r="AE38" i="442"/>
  <c r="AD38" i="442"/>
  <c r="AC38" i="442"/>
  <c r="AB38" i="442"/>
  <c r="AA38" i="442"/>
  <c r="Z38" i="442"/>
  <c r="Y38" i="442"/>
  <c r="X38" i="442"/>
  <c r="W38" i="442"/>
  <c r="V38" i="442"/>
  <c r="U38" i="442"/>
  <c r="T38" i="442"/>
  <c r="S38" i="442"/>
  <c r="R38" i="442"/>
  <c r="Q38" i="442"/>
  <c r="P38" i="442"/>
  <c r="O38" i="442"/>
  <c r="N38" i="442"/>
  <c r="M38" i="442"/>
  <c r="L38" i="442"/>
  <c r="K38" i="442"/>
  <c r="J38" i="442"/>
  <c r="I38" i="442"/>
  <c r="H38" i="442"/>
  <c r="G38" i="442"/>
  <c r="BH36" i="442"/>
  <c r="BH42" i="442" s="1"/>
  <c r="BH47" i="442" s="1"/>
  <c r="BH52" i="442" s="1"/>
  <c r="BH55" i="442" s="1"/>
  <c r="BH57" i="442" s="1"/>
  <c r="BL13" i="442" s="1"/>
  <c r="BF34" i="442"/>
  <c r="BH33" i="442"/>
  <c r="BH39" i="442" s="1"/>
  <c r="BH44" i="442" s="1"/>
  <c r="BL10" i="442" s="1"/>
  <c r="BP30" i="442" s="1"/>
  <c r="BP37" i="442" s="1"/>
  <c r="BP45" i="442" s="1"/>
  <c r="BF33" i="442"/>
  <c r="B33" i="442"/>
  <c r="C32" i="442"/>
  <c r="B32" i="442"/>
  <c r="BE31" i="442"/>
  <c r="BH30" i="442"/>
  <c r="BH37" i="442" s="1"/>
  <c r="BH43" i="442" s="1"/>
  <c r="BH48" i="442" s="1"/>
  <c r="BH53" i="442" s="1"/>
  <c r="BH56" i="442" s="1"/>
  <c r="BH58" i="442" s="1"/>
  <c r="BH59" i="442" s="1"/>
  <c r="BE30" i="442"/>
  <c r="BD30" i="442"/>
  <c r="E30" i="442"/>
  <c r="D30" i="442"/>
  <c r="BH29" i="442"/>
  <c r="BE29" i="442"/>
  <c r="BF30" i="442" s="1"/>
  <c r="BD29" i="442"/>
  <c r="BC29" i="442"/>
  <c r="C29" i="442"/>
  <c r="B29" i="442"/>
  <c r="BH28" i="442"/>
  <c r="BH35" i="442" s="1"/>
  <c r="BH41" i="442" s="1"/>
  <c r="BH46" i="442" s="1"/>
  <c r="BH51" i="442" s="1"/>
  <c r="BH54" i="442" s="1"/>
  <c r="BE28" i="442"/>
  <c r="BD28" i="442"/>
  <c r="BC28" i="442"/>
  <c r="BH27" i="442"/>
  <c r="BH34" i="442" s="1"/>
  <c r="BH40" i="442" s="1"/>
  <c r="BH45" i="442" s="1"/>
  <c r="BH50" i="442" s="1"/>
  <c r="BL11" i="442" s="1"/>
  <c r="BP38" i="442" s="1"/>
  <c r="BP46" i="442" s="1"/>
  <c r="BF27" i="442"/>
  <c r="BE27" i="442"/>
  <c r="BF28" i="442" s="1"/>
  <c r="BD27" i="442"/>
  <c r="BC27" i="442"/>
  <c r="C27" i="442"/>
  <c r="B27" i="442"/>
  <c r="BH26" i="442"/>
  <c r="BF26" i="442"/>
  <c r="BE26" i="442"/>
  <c r="BD26" i="442"/>
  <c r="BC26" i="442"/>
  <c r="E26" i="442"/>
  <c r="E27" i="442" s="1"/>
  <c r="D26" i="442"/>
  <c r="D27" i="442" s="1"/>
  <c r="C26" i="442"/>
  <c r="B26" i="442"/>
  <c r="BH25" i="442"/>
  <c r="BH32" i="442" s="1"/>
  <c r="BH38" i="442" s="1"/>
  <c r="BC25" i="442"/>
  <c r="E25" i="442"/>
  <c r="D25" i="442"/>
  <c r="C25" i="442"/>
  <c r="B25" i="442"/>
  <c r="BH24" i="442"/>
  <c r="BH31" i="442" s="1"/>
  <c r="BH23" i="442"/>
  <c r="BL7" i="442" s="1"/>
  <c r="BP13" i="442" s="1"/>
  <c r="BP17" i="442" s="1"/>
  <c r="BP21" i="442" s="1"/>
  <c r="BP27" i="442" s="1"/>
  <c r="BP34" i="442" s="1"/>
  <c r="BP42" i="442" s="1"/>
  <c r="B22" i="442"/>
  <c r="B20" i="442"/>
  <c r="B21" i="442" s="1"/>
  <c r="AK19" i="442"/>
  <c r="AG19" i="442"/>
  <c r="Z19" i="442"/>
  <c r="P19" i="442"/>
  <c r="AA18" i="442"/>
  <c r="Q18" i="442"/>
  <c r="AK17" i="442"/>
  <c r="AG17" i="442"/>
  <c r="Z17" i="442"/>
  <c r="P17" i="442"/>
  <c r="AA16" i="442"/>
  <c r="Q16" i="442"/>
  <c r="C16" i="442"/>
  <c r="C33" i="442" s="1"/>
  <c r="B16" i="442"/>
  <c r="AA15" i="442"/>
  <c r="Q15" i="442"/>
  <c r="AN14" i="442"/>
  <c r="Z14" i="442"/>
  <c r="P14" i="442"/>
  <c r="Z13" i="442"/>
  <c r="P13" i="442"/>
  <c r="BL12" i="442"/>
  <c r="BP47" i="442" s="1"/>
  <c r="AA12" i="442"/>
  <c r="Q12" i="442"/>
  <c r="AK11" i="442"/>
  <c r="AG11" i="442"/>
  <c r="Z11" i="442"/>
  <c r="P11" i="442"/>
  <c r="AK10" i="442"/>
  <c r="AG10" i="442"/>
  <c r="Z10" i="442"/>
  <c r="P10" i="442"/>
  <c r="BL9" i="442"/>
  <c r="BP23" i="442" s="1"/>
  <c r="BP29" i="442" s="1"/>
  <c r="BP36" i="442" s="1"/>
  <c r="BP44" i="442" s="1"/>
  <c r="AK9" i="442"/>
  <c r="AG9" i="442"/>
  <c r="Z9" i="442"/>
  <c r="P9" i="442"/>
  <c r="BL8" i="442"/>
  <c r="BP18" i="442" s="1"/>
  <c r="BP22" i="442" s="1"/>
  <c r="BP28" i="442" s="1"/>
  <c r="BP35" i="442" s="1"/>
  <c r="BP43" i="442" s="1"/>
  <c r="AK8" i="442"/>
  <c r="AG8" i="442"/>
  <c r="Z8" i="442"/>
  <c r="P8" i="442"/>
  <c r="AA7" i="442"/>
  <c r="Z7" i="442"/>
  <c r="P7" i="442"/>
  <c r="Q7" i="442" s="1"/>
  <c r="BP6" i="442"/>
  <c r="BP8" i="442" s="1"/>
  <c r="BP11" i="442" s="1"/>
  <c r="BP15" i="442" s="1"/>
  <c r="BP19" i="442" s="1"/>
  <c r="BP25" i="442" s="1"/>
  <c r="BP32" i="442" s="1"/>
  <c r="BP40" i="442" s="1"/>
  <c r="BL6" i="442"/>
  <c r="BP9" i="442" s="1"/>
  <c r="BP12" i="442" s="1"/>
  <c r="BP16" i="442" s="1"/>
  <c r="BP20" i="442" s="1"/>
  <c r="BP26" i="442" s="1"/>
  <c r="BP33" i="442" s="1"/>
  <c r="BP41" i="442" s="1"/>
  <c r="AK6" i="442"/>
  <c r="AG6" i="442"/>
  <c r="Z6" i="442"/>
  <c r="P6" i="442"/>
  <c r="BP5" i="442"/>
  <c r="BP7" i="442" s="1"/>
  <c r="BP10" i="442" s="1"/>
  <c r="BP14" i="442" s="1"/>
  <c r="BH49" i="442" s="1"/>
  <c r="BP24" i="442" s="1"/>
  <c r="BP31" i="442" s="1"/>
  <c r="BP39" i="442" s="1"/>
  <c r="BL14" i="442" s="1"/>
  <c r="AK5" i="442"/>
  <c r="AG5" i="442"/>
  <c r="Z5" i="442"/>
  <c r="P5" i="442"/>
  <c r="D3" i="442"/>
  <c r="K3" i="442" s="1"/>
  <c r="AI2" i="442"/>
  <c r="S2" i="442"/>
  <c r="G2" i="442"/>
  <c r="S1" i="442"/>
  <c r="C22" i="442" l="1"/>
  <c r="AB15" i="442"/>
  <c r="AC15" i="442" s="1"/>
  <c r="E23" i="442"/>
  <c r="R12" i="443"/>
  <c r="AB7" i="443"/>
  <c r="R18" i="443"/>
  <c r="S18" i="443" s="1"/>
  <c r="AB12" i="443"/>
  <c r="AC12" i="443" s="1"/>
  <c r="R16" i="443"/>
  <c r="AN10" i="443"/>
  <c r="AN11" i="443"/>
  <c r="AN9" i="443"/>
  <c r="AI9" i="443" s="1"/>
  <c r="O9" i="443" s="1"/>
  <c r="Q9" i="443" s="1"/>
  <c r="R9" i="443" s="1"/>
  <c r="AN8" i="443"/>
  <c r="AN5" i="443"/>
  <c r="Q14" i="443"/>
  <c r="R14" i="443" s="1"/>
  <c r="S14" i="443" s="1"/>
  <c r="AN19" i="443"/>
  <c r="AI19" i="443" s="1"/>
  <c r="Y19" i="443" s="1"/>
  <c r="AA19" i="443" s="1"/>
  <c r="AB19" i="443" s="1"/>
  <c r="E23" i="443"/>
  <c r="AC7" i="443"/>
  <c r="AC18" i="443"/>
  <c r="AI5" i="443"/>
  <c r="S7" i="443"/>
  <c r="K1" i="443"/>
  <c r="S12" i="443"/>
  <c r="R15" i="443"/>
  <c r="S16" i="443"/>
  <c r="AI14" i="443"/>
  <c r="Y14" i="443" s="1"/>
  <c r="AA14" i="443" s="1"/>
  <c r="AB14" i="443" s="1"/>
  <c r="AB16" i="443"/>
  <c r="AB15" i="443"/>
  <c r="B23" i="443"/>
  <c r="B31" i="443"/>
  <c r="W25" i="443" s="1"/>
  <c r="C31" i="443"/>
  <c r="W39" i="443" s="1"/>
  <c r="BF42" i="443"/>
  <c r="R7" i="442"/>
  <c r="S7" i="442" s="1"/>
  <c r="AN17" i="442"/>
  <c r="AN5" i="442"/>
  <c r="AN19" i="442"/>
  <c r="AI19" i="442" s="1"/>
  <c r="Y19" i="442" s="1"/>
  <c r="AN10" i="442"/>
  <c r="AN6" i="442"/>
  <c r="AN9" i="442"/>
  <c r="AN8" i="442"/>
  <c r="D23" i="442"/>
  <c r="C31" i="442"/>
  <c r="W39" i="442" s="1"/>
  <c r="R15" i="442"/>
  <c r="S15" i="442" s="1"/>
  <c r="AB18" i="442"/>
  <c r="AC18" i="442" s="1"/>
  <c r="Q14" i="442"/>
  <c r="R14" i="442" s="1"/>
  <c r="S14" i="442" s="1"/>
  <c r="R18" i="442"/>
  <c r="S18" i="442" s="1"/>
  <c r="AB7" i="442"/>
  <c r="AC7" i="442" s="1"/>
  <c r="R12" i="442"/>
  <c r="S12" i="442" s="1"/>
  <c r="R16" i="442"/>
  <c r="S16" i="442" s="1"/>
  <c r="AB16" i="442"/>
  <c r="AC16" i="442" s="1"/>
  <c r="AN11" i="442"/>
  <c r="BF29" i="442"/>
  <c r="BF32" i="442"/>
  <c r="BF31" i="442"/>
  <c r="G1" i="442"/>
  <c r="K2" i="442"/>
  <c r="G3" i="442"/>
  <c r="B23" i="442"/>
  <c r="K1" i="442"/>
  <c r="AB12" i="442"/>
  <c r="B31" i="442"/>
  <c r="W25" i="442" s="1"/>
  <c r="BF44" i="442"/>
  <c r="O19" i="442" l="1"/>
  <c r="Q19" i="442" s="1"/>
  <c r="R19" i="442" s="1"/>
  <c r="S19" i="442" s="1"/>
  <c r="AA19" i="442"/>
  <c r="AB19" i="442" s="1"/>
  <c r="AC19" i="442" s="1"/>
  <c r="AI9" i="442"/>
  <c r="Y9" i="443"/>
  <c r="AA9" i="443" s="1"/>
  <c r="AB9" i="443" s="1"/>
  <c r="O19" i="443"/>
  <c r="Q19" i="443" s="1"/>
  <c r="R19" i="443" s="1"/>
  <c r="AI10" i="443"/>
  <c r="Y10" i="443" s="1"/>
  <c r="AA10" i="443" s="1"/>
  <c r="AB10" i="443" s="1"/>
  <c r="T47" i="443"/>
  <c r="T45" i="443"/>
  <c r="AI8" i="443"/>
  <c r="O8" i="443" s="1"/>
  <c r="Q8" i="443" s="1"/>
  <c r="R8" i="443" s="1"/>
  <c r="AI13" i="443"/>
  <c r="AI6" i="443"/>
  <c r="O6" i="443" s="1"/>
  <c r="Q6" i="443" s="1"/>
  <c r="R6" i="443" s="1"/>
  <c r="AI17" i="443"/>
  <c r="O17" i="443" s="1"/>
  <c r="Q17" i="443" s="1"/>
  <c r="R17" i="443" s="1"/>
  <c r="AI11" i="443"/>
  <c r="Y11" i="443" s="1"/>
  <c r="AA11" i="443" s="1"/>
  <c r="AB11" i="443" s="1"/>
  <c r="T41" i="443"/>
  <c r="T49" i="443"/>
  <c r="AC14" i="443"/>
  <c r="S19" i="443"/>
  <c r="AC19" i="443"/>
  <c r="AC9" i="443"/>
  <c r="O11" i="443"/>
  <c r="Q11" i="443" s="1"/>
  <c r="R11" i="443" s="1"/>
  <c r="T48" i="443"/>
  <c r="AC15" i="443"/>
  <c r="Y8" i="443"/>
  <c r="AA8" i="443" s="1"/>
  <c r="AB8" i="443" s="1"/>
  <c r="S15" i="443"/>
  <c r="S9" i="443"/>
  <c r="T42" i="443"/>
  <c r="T46" i="443"/>
  <c r="B34" i="443"/>
  <c r="B24" i="443"/>
  <c r="T40" i="443"/>
  <c r="C23" i="443"/>
  <c r="AC16" i="443"/>
  <c r="T39" i="443"/>
  <c r="T44" i="443"/>
  <c r="T43" i="443"/>
  <c r="O5" i="443"/>
  <c r="Q5" i="443" s="1"/>
  <c r="R5" i="443" s="1"/>
  <c r="Y5" i="443"/>
  <c r="AA5" i="443" s="1"/>
  <c r="AB5" i="443" s="1"/>
  <c r="AI6" i="442"/>
  <c r="AI8" i="442"/>
  <c r="AI5" i="442"/>
  <c r="AI14" i="442"/>
  <c r="Y14" i="442" s="1"/>
  <c r="AI17" i="442"/>
  <c r="AI11" i="442"/>
  <c r="AI13" i="442"/>
  <c r="O13" i="442" s="1"/>
  <c r="AI10" i="442"/>
  <c r="T41" i="442"/>
  <c r="T39" i="442"/>
  <c r="T46" i="442"/>
  <c r="T49" i="442"/>
  <c r="C23" i="442"/>
  <c r="T30" i="442" s="1"/>
  <c r="AC12" i="442"/>
  <c r="T45" i="442"/>
  <c r="T42" i="442"/>
  <c r="T43" i="442"/>
  <c r="T48" i="442"/>
  <c r="B34" i="442"/>
  <c r="T47" i="442"/>
  <c r="T44" i="442"/>
  <c r="B24" i="442"/>
  <c r="T40" i="442"/>
  <c r="Y10" i="442" l="1"/>
  <c r="AA10" i="442" s="1"/>
  <c r="AB10" i="442" s="1"/>
  <c r="AC10" i="442" s="1"/>
  <c r="O10" i="442"/>
  <c r="Q10" i="442" s="1"/>
  <c r="R10" i="442" s="1"/>
  <c r="Y11" i="442"/>
  <c r="AA11" i="442" s="1"/>
  <c r="AB11" i="442" s="1"/>
  <c r="AC11" i="442" s="1"/>
  <c r="O11" i="442"/>
  <c r="Q11" i="442" s="1"/>
  <c r="R11" i="442" s="1"/>
  <c r="Y8" i="442"/>
  <c r="AA8" i="442" s="1"/>
  <c r="AB8" i="442" s="1"/>
  <c r="AC8" i="442" s="1"/>
  <c r="O8" i="442"/>
  <c r="Q8" i="442" s="1"/>
  <c r="R8" i="442" s="1"/>
  <c r="S8" i="442" s="1"/>
  <c r="Y9" i="442"/>
  <c r="AA9" i="442" s="1"/>
  <c r="AB9" i="442" s="1"/>
  <c r="AC9" i="442" s="1"/>
  <c r="O9" i="442"/>
  <c r="Q9" i="442" s="1"/>
  <c r="R9" i="442" s="1"/>
  <c r="S9" i="442" s="1"/>
  <c r="Y13" i="442"/>
  <c r="O5" i="442"/>
  <c r="Q5" i="442" s="1"/>
  <c r="R5" i="442" s="1"/>
  <c r="S5" i="442" s="1"/>
  <c r="Y5" i="442"/>
  <c r="AA5" i="442" s="1"/>
  <c r="AB5" i="442" s="1"/>
  <c r="AC5" i="442" s="1"/>
  <c r="Y17" i="442"/>
  <c r="AA17" i="442" s="1"/>
  <c r="AB17" i="442" s="1"/>
  <c r="AC17" i="442" s="1"/>
  <c r="O17" i="442"/>
  <c r="Q17" i="442" s="1"/>
  <c r="R17" i="442" s="1"/>
  <c r="S17" i="442" s="1"/>
  <c r="Y6" i="442"/>
  <c r="AA6" i="442" s="1"/>
  <c r="AB6" i="442" s="1"/>
  <c r="AC6" i="442" s="1"/>
  <c r="O6" i="442"/>
  <c r="Q6" i="442" s="1"/>
  <c r="R6" i="442" s="1"/>
  <c r="S6" i="442" s="1"/>
  <c r="AA14" i="442"/>
  <c r="AB14" i="442" s="1"/>
  <c r="AC14" i="442" s="1"/>
  <c r="Q13" i="442"/>
  <c r="R13" i="442" s="1"/>
  <c r="S13" i="442" s="1"/>
  <c r="T25" i="442"/>
  <c r="O10" i="443"/>
  <c r="Q10" i="443" s="1"/>
  <c r="R10" i="443" s="1"/>
  <c r="Y6" i="443"/>
  <c r="AA6" i="443" s="1"/>
  <c r="AB6" i="443" s="1"/>
  <c r="Y17" i="443"/>
  <c r="AA17" i="443" s="1"/>
  <c r="AB17" i="443" s="1"/>
  <c r="AC17" i="443" s="1"/>
  <c r="Y13" i="443"/>
  <c r="AA13" i="443" s="1"/>
  <c r="AB13" i="443" s="1"/>
  <c r="AC13" i="443" s="1"/>
  <c r="O13" i="443"/>
  <c r="Q13" i="443" s="1"/>
  <c r="R13" i="443" s="1"/>
  <c r="S13" i="443" s="1"/>
  <c r="S11" i="443"/>
  <c r="AC6" i="443"/>
  <c r="N30" i="443"/>
  <c r="P30" i="443" s="1"/>
  <c r="R35" i="443" s="1"/>
  <c r="N29" i="443"/>
  <c r="P29" i="443" s="1"/>
  <c r="N26" i="443"/>
  <c r="N28" i="443"/>
  <c r="P28" i="443" s="1"/>
  <c r="N25" i="443"/>
  <c r="N27" i="443"/>
  <c r="P27" i="443" s="1"/>
  <c r="AC10" i="443"/>
  <c r="AC11" i="443"/>
  <c r="S6" i="443"/>
  <c r="AC8" i="443"/>
  <c r="S5" i="443"/>
  <c r="S10" i="443"/>
  <c r="AC5" i="443"/>
  <c r="T37" i="443"/>
  <c r="C34" i="443"/>
  <c r="T27" i="443"/>
  <c r="T33" i="443"/>
  <c r="T32" i="443"/>
  <c r="T29" i="443"/>
  <c r="T26" i="443"/>
  <c r="C24" i="443"/>
  <c r="T28" i="443"/>
  <c r="T25" i="443"/>
  <c r="T30" i="443"/>
  <c r="T35" i="443"/>
  <c r="T31" i="443"/>
  <c r="T34" i="443"/>
  <c r="S8" i="443"/>
  <c r="S17" i="443"/>
  <c r="AA13" i="442"/>
  <c r="AB13" i="442" s="1"/>
  <c r="AC13" i="442" s="1"/>
  <c r="T37" i="442"/>
  <c r="T33" i="442"/>
  <c r="T35" i="442"/>
  <c r="C24" i="442"/>
  <c r="N39" i="442" s="1"/>
  <c r="T27" i="442"/>
  <c r="T34" i="442"/>
  <c r="T26" i="442"/>
  <c r="T29" i="442"/>
  <c r="C34" i="442"/>
  <c r="T28" i="442"/>
  <c r="T31" i="442"/>
  <c r="T32" i="442"/>
  <c r="N30" i="442"/>
  <c r="P30" i="442" s="1"/>
  <c r="R35" i="442" s="1"/>
  <c r="N29" i="442"/>
  <c r="P29" i="442" s="1"/>
  <c r="N26" i="442"/>
  <c r="N27" i="442"/>
  <c r="P27" i="442" s="1"/>
  <c r="N25" i="442"/>
  <c r="N28" i="442"/>
  <c r="P28" i="442" s="1"/>
  <c r="R33" i="442" l="1"/>
  <c r="R34" i="443"/>
  <c r="AD5" i="443"/>
  <c r="U15" i="443"/>
  <c r="AE6" i="443"/>
  <c r="T8" i="443"/>
  <c r="AE5" i="443"/>
  <c r="AD17" i="443"/>
  <c r="T5" i="443"/>
  <c r="AE15" i="443"/>
  <c r="AE11" i="443"/>
  <c r="U5" i="443"/>
  <c r="AE10" i="443"/>
  <c r="R33" i="443"/>
  <c r="AE7" i="443"/>
  <c r="T23" i="443"/>
  <c r="S20" i="443"/>
  <c r="T14" i="443"/>
  <c r="T16" i="443"/>
  <c r="T18" i="443"/>
  <c r="T12" i="443"/>
  <c r="T7" i="443"/>
  <c r="T13" i="443"/>
  <c r="T9" i="443"/>
  <c r="U18" i="443"/>
  <c r="T15" i="443"/>
  <c r="T19" i="443"/>
  <c r="U13" i="443"/>
  <c r="T6" i="443"/>
  <c r="U14" i="443"/>
  <c r="T17" i="443"/>
  <c r="U8" i="443"/>
  <c r="AE17" i="443"/>
  <c r="AD8" i="443"/>
  <c r="U6" i="443"/>
  <c r="AD11" i="443"/>
  <c r="P26" i="443"/>
  <c r="R31" i="443" s="1"/>
  <c r="N44" i="443"/>
  <c r="P44" i="443" s="1"/>
  <c r="N40" i="443"/>
  <c r="P40" i="443" s="1"/>
  <c r="N42" i="443"/>
  <c r="P42" i="443" s="1"/>
  <c r="N39" i="443"/>
  <c r="N43" i="443"/>
  <c r="P43" i="443" s="1"/>
  <c r="N41" i="443"/>
  <c r="P41" i="443" s="1"/>
  <c r="AC20" i="443"/>
  <c r="AD7" i="443"/>
  <c r="AD12" i="443"/>
  <c r="AD18" i="443"/>
  <c r="AD9" i="443"/>
  <c r="AE9" i="443"/>
  <c r="AE18" i="443"/>
  <c r="AD16" i="443"/>
  <c r="AD14" i="443"/>
  <c r="AD19" i="443"/>
  <c r="AD15" i="443"/>
  <c r="AE12" i="443"/>
  <c r="AD13" i="443"/>
  <c r="T10" i="443"/>
  <c r="U12" i="443"/>
  <c r="R32" i="443"/>
  <c r="U11" i="443"/>
  <c r="U9" i="443"/>
  <c r="T11" i="443"/>
  <c r="U17" i="443"/>
  <c r="U16" i="443"/>
  <c r="U7" i="443"/>
  <c r="U10" i="443"/>
  <c r="AE16" i="443"/>
  <c r="AE8" i="443"/>
  <c r="AD10" i="443"/>
  <c r="P25" i="443"/>
  <c r="N23" i="443"/>
  <c r="AD6" i="443"/>
  <c r="AE13" i="443"/>
  <c r="AE14" i="443"/>
  <c r="S11" i="442"/>
  <c r="S10" i="442"/>
  <c r="R34" i="442"/>
  <c r="N42" i="442"/>
  <c r="P42" i="442" s="1"/>
  <c r="N44" i="442"/>
  <c r="P44" i="442" s="1"/>
  <c r="N41" i="442"/>
  <c r="P41" i="442" s="1"/>
  <c r="AE8" i="442"/>
  <c r="AD19" i="442"/>
  <c r="AD7" i="442"/>
  <c r="AE11" i="442"/>
  <c r="AE5" i="442"/>
  <c r="AD9" i="442"/>
  <c r="AD14" i="442"/>
  <c r="AD11" i="442"/>
  <c r="AD17" i="442"/>
  <c r="AC20" i="442"/>
  <c r="L39" i="442" s="1"/>
  <c r="AE18" i="442"/>
  <c r="AD10" i="442"/>
  <c r="AD18" i="442"/>
  <c r="AD16" i="442"/>
  <c r="AD8" i="442"/>
  <c r="AE6" i="442"/>
  <c r="AD15" i="442"/>
  <c r="AE12" i="442"/>
  <c r="AD13" i="442"/>
  <c r="AE16" i="442"/>
  <c r="T23" i="442"/>
  <c r="N40" i="442"/>
  <c r="P40" i="442" s="1"/>
  <c r="N43" i="442"/>
  <c r="P43" i="442" s="1"/>
  <c r="AE13" i="442"/>
  <c r="AD6" i="442"/>
  <c r="AE15" i="442"/>
  <c r="AD5" i="442"/>
  <c r="AD12" i="442"/>
  <c r="AE14" i="442"/>
  <c r="AE17" i="442"/>
  <c r="U10" i="442"/>
  <c r="R49" i="442"/>
  <c r="R32" i="442"/>
  <c r="P39" i="442"/>
  <c r="P25" i="442"/>
  <c r="N23" i="442"/>
  <c r="AE10" i="442"/>
  <c r="AE9" i="442"/>
  <c r="P26" i="442"/>
  <c r="R31" i="442" s="1"/>
  <c r="AE7" i="442"/>
  <c r="AD20" i="443" l="1"/>
  <c r="L40" i="443" s="1"/>
  <c r="AE20" i="443"/>
  <c r="L41" i="443" s="1"/>
  <c r="U20" i="443"/>
  <c r="L27" i="443" s="1"/>
  <c r="T20" i="443"/>
  <c r="L26" i="443" s="1"/>
  <c r="R30" i="443"/>
  <c r="R28" i="443"/>
  <c r="R25" i="443"/>
  <c r="R27" i="443"/>
  <c r="P23" i="443"/>
  <c r="R29" i="443"/>
  <c r="AF20" i="443"/>
  <c r="L42" i="443" s="1"/>
  <c r="L39" i="443"/>
  <c r="P39" i="443"/>
  <c r="N37" i="443"/>
  <c r="L25" i="443"/>
  <c r="R42" i="443"/>
  <c r="R26" i="443"/>
  <c r="R49" i="443"/>
  <c r="R46" i="443"/>
  <c r="R45" i="443"/>
  <c r="R48" i="443"/>
  <c r="R44" i="443"/>
  <c r="R47" i="443"/>
  <c r="R41" i="443"/>
  <c r="R40" i="443"/>
  <c r="T10" i="442"/>
  <c r="S20" i="442"/>
  <c r="L25" i="442" s="1"/>
  <c r="U18" i="442"/>
  <c r="T17" i="442"/>
  <c r="U17" i="442"/>
  <c r="T12" i="442"/>
  <c r="U6" i="442"/>
  <c r="U7" i="442"/>
  <c r="U12" i="442"/>
  <c r="T16" i="442"/>
  <c r="T7" i="442"/>
  <c r="T9" i="442"/>
  <c r="T18" i="442"/>
  <c r="U8" i="442"/>
  <c r="U16" i="442"/>
  <c r="T6" i="442"/>
  <c r="U14" i="442"/>
  <c r="U9" i="442"/>
  <c r="T5" i="442"/>
  <c r="U11" i="442"/>
  <c r="U5" i="442"/>
  <c r="T13" i="442"/>
  <c r="T19" i="442"/>
  <c r="T14" i="442"/>
  <c r="U15" i="442"/>
  <c r="T15" i="442"/>
  <c r="T8" i="442"/>
  <c r="T11" i="442"/>
  <c r="U13" i="442"/>
  <c r="R47" i="442"/>
  <c r="R46" i="442"/>
  <c r="R48" i="442"/>
  <c r="R45" i="442"/>
  <c r="R40" i="442"/>
  <c r="AD20" i="442"/>
  <c r="L40" i="442" s="1"/>
  <c r="AE20" i="442"/>
  <c r="L41" i="442" s="1"/>
  <c r="R42" i="442"/>
  <c r="R41" i="442"/>
  <c r="N37" i="442"/>
  <c r="R26" i="442"/>
  <c r="R28" i="442"/>
  <c r="R25" i="442"/>
  <c r="R27" i="442"/>
  <c r="R30" i="442"/>
  <c r="P23" i="442"/>
  <c r="R29" i="442"/>
  <c r="R39" i="442"/>
  <c r="P37" i="442"/>
  <c r="R43" i="442"/>
  <c r="R44" i="442"/>
  <c r="V20" i="443" l="1"/>
  <c r="L28" i="443" s="1"/>
  <c r="L23" i="443" s="1"/>
  <c r="R23" i="443"/>
  <c r="V25" i="443"/>
  <c r="V32" i="443"/>
  <c r="V29" i="443"/>
  <c r="V33" i="443"/>
  <c r="V30" i="443"/>
  <c r="V34" i="443"/>
  <c r="V31" i="443"/>
  <c r="V26" i="443"/>
  <c r="R39" i="443"/>
  <c r="V41" i="443" s="1"/>
  <c r="P37" i="443"/>
  <c r="V28" i="443"/>
  <c r="L37" i="443"/>
  <c r="V27" i="443"/>
  <c r="R43" i="443"/>
  <c r="U20" i="442"/>
  <c r="L27" i="442" s="1"/>
  <c r="T20" i="442"/>
  <c r="L26" i="442" s="1"/>
  <c r="V40" i="442"/>
  <c r="AA40" i="442" s="1"/>
  <c r="AF20" i="442"/>
  <c r="L42" i="442" s="1"/>
  <c r="L37" i="442" s="1"/>
  <c r="R23" i="442"/>
  <c r="V25" i="442"/>
  <c r="V33" i="442"/>
  <c r="V32" i="442"/>
  <c r="V34" i="442"/>
  <c r="V30" i="442"/>
  <c r="V29" i="442"/>
  <c r="V31" i="442"/>
  <c r="V42" i="442"/>
  <c r="V26" i="442"/>
  <c r="R37" i="442"/>
  <c r="V39" i="442"/>
  <c r="V46" i="442"/>
  <c r="V48" i="442"/>
  <c r="V45" i="442"/>
  <c r="V43" i="442"/>
  <c r="V47" i="442"/>
  <c r="V44" i="442"/>
  <c r="V28" i="442"/>
  <c r="V27" i="442"/>
  <c r="V41" i="442"/>
  <c r="V42" i="443" l="1"/>
  <c r="AC41" i="443"/>
  <c r="AC39" i="443"/>
  <c r="AC40" i="443"/>
  <c r="AG28" i="443"/>
  <c r="AG25" i="443"/>
  <c r="AG29" i="443"/>
  <c r="AG27" i="443"/>
  <c r="AG26" i="443"/>
  <c r="AA25" i="443"/>
  <c r="AA26" i="443"/>
  <c r="AM30" i="443"/>
  <c r="AM25" i="443"/>
  <c r="AM32" i="443"/>
  <c r="AM28" i="443"/>
  <c r="AM26" i="443"/>
  <c r="AM27" i="443"/>
  <c r="AM29" i="443"/>
  <c r="AM31" i="443"/>
  <c r="R37" i="443"/>
  <c r="V39" i="443"/>
  <c r="V45" i="443"/>
  <c r="V47" i="443"/>
  <c r="V48" i="443"/>
  <c r="V44" i="443"/>
  <c r="V46" i="443"/>
  <c r="V43" i="443"/>
  <c r="V40" i="443"/>
  <c r="AI26" i="443"/>
  <c r="AI30" i="443"/>
  <c r="AI25" i="443"/>
  <c r="AI27" i="443"/>
  <c r="AI29" i="443"/>
  <c r="AI28" i="443"/>
  <c r="Y25" i="443"/>
  <c r="V23" i="443"/>
  <c r="V35" i="443" s="1"/>
  <c r="AE27" i="443"/>
  <c r="AE25" i="443"/>
  <c r="AE28" i="443"/>
  <c r="AE26" i="443"/>
  <c r="AK30" i="443"/>
  <c r="AK25" i="443"/>
  <c r="AK26" i="443"/>
  <c r="AK27" i="443"/>
  <c r="AK29" i="443"/>
  <c r="AK28" i="443"/>
  <c r="AK31" i="443"/>
  <c r="AQ34" i="443"/>
  <c r="AQ27" i="443"/>
  <c r="AQ32" i="443"/>
  <c r="AQ28" i="443"/>
  <c r="AQ29" i="443"/>
  <c r="AQ31" i="443"/>
  <c r="AQ26" i="443"/>
  <c r="AQ33" i="443"/>
  <c r="AQ30" i="443"/>
  <c r="AQ25" i="443"/>
  <c r="AC27" i="443"/>
  <c r="AC25" i="443"/>
  <c r="AC26" i="443"/>
  <c r="AE41" i="443"/>
  <c r="AE39" i="443"/>
  <c r="AE40" i="443"/>
  <c r="AE42" i="443"/>
  <c r="AO33" i="443"/>
  <c r="AO29" i="443"/>
  <c r="AO28" i="443"/>
  <c r="AO27" i="443"/>
  <c r="AO32" i="443"/>
  <c r="AO26" i="443"/>
  <c r="AO31" i="443"/>
  <c r="AO25" i="443"/>
  <c r="AO30" i="443"/>
  <c r="AA39" i="442"/>
  <c r="AA37" i="442" s="1"/>
  <c r="V20" i="442"/>
  <c r="L28" i="442" s="1"/>
  <c r="L23" i="442" s="1"/>
  <c r="AG40" i="442"/>
  <c r="AG39" i="442"/>
  <c r="AG42" i="442"/>
  <c r="AG41" i="442"/>
  <c r="AG43" i="442"/>
  <c r="AE39" i="442"/>
  <c r="AE42" i="442"/>
  <c r="AE40" i="442"/>
  <c r="AE41" i="442"/>
  <c r="Y25" i="442"/>
  <c r="V23" i="442"/>
  <c r="V35" i="442" s="1"/>
  <c r="V22" i="442" s="1"/>
  <c r="AK41" i="442"/>
  <c r="AK40" i="442"/>
  <c r="AK45" i="442"/>
  <c r="AK44" i="442"/>
  <c r="AK39" i="442"/>
  <c r="AK43" i="442"/>
  <c r="AK42" i="442"/>
  <c r="Y39" i="442"/>
  <c r="V37" i="442"/>
  <c r="V49" i="442" s="1"/>
  <c r="V36" i="442" s="1"/>
  <c r="AM32" i="442"/>
  <c r="AM30" i="442"/>
  <c r="AM27" i="442"/>
  <c r="AM28" i="442"/>
  <c r="AM31" i="442"/>
  <c r="AM29" i="442"/>
  <c r="AM26" i="442"/>
  <c r="AM25" i="442"/>
  <c r="AI41" i="442"/>
  <c r="AI43" i="442"/>
  <c r="AI39" i="442"/>
  <c r="AI42" i="442"/>
  <c r="AI44" i="442"/>
  <c r="AI40" i="442"/>
  <c r="AQ39" i="442"/>
  <c r="AQ46" i="442"/>
  <c r="AQ48" i="442"/>
  <c r="AQ47" i="442"/>
  <c r="AQ41" i="442"/>
  <c r="AQ43" i="442"/>
  <c r="AQ45" i="442"/>
  <c r="AQ42" i="442"/>
  <c r="AQ44" i="442"/>
  <c r="AQ40" i="442"/>
  <c r="AG25" i="442"/>
  <c r="AG29" i="442"/>
  <c r="AG28" i="442"/>
  <c r="AG27" i="442"/>
  <c r="AG26" i="442"/>
  <c r="AC27" i="442"/>
  <c r="AC26" i="442"/>
  <c r="AC25" i="442"/>
  <c r="AQ31" i="442"/>
  <c r="AQ26" i="442"/>
  <c r="AQ29" i="442"/>
  <c r="AQ34" i="442"/>
  <c r="AQ27" i="442"/>
  <c r="AQ30" i="442"/>
  <c r="AQ33" i="442"/>
  <c r="AQ32" i="442"/>
  <c r="AQ28" i="442"/>
  <c r="AQ25" i="442"/>
  <c r="AE27" i="442"/>
  <c r="AE25" i="442"/>
  <c r="AE28" i="442"/>
  <c r="AE26" i="442"/>
  <c r="AK27" i="442"/>
  <c r="AK29" i="442"/>
  <c r="AK31" i="442"/>
  <c r="AK26" i="442"/>
  <c r="AK28" i="442"/>
  <c r="AK30" i="442"/>
  <c r="AK25" i="442"/>
  <c r="AC41" i="442"/>
  <c r="AC39" i="442"/>
  <c r="AC40" i="442"/>
  <c r="AO41" i="442"/>
  <c r="AO42" i="442"/>
  <c r="AO43" i="442"/>
  <c r="AO47" i="442"/>
  <c r="AO46" i="442"/>
  <c r="AO40" i="442"/>
  <c r="AO45" i="442"/>
  <c r="AO39" i="442"/>
  <c r="AO44" i="442"/>
  <c r="AM43" i="442"/>
  <c r="AM45" i="442"/>
  <c r="AM39" i="442"/>
  <c r="AM46" i="442"/>
  <c r="AM42" i="442"/>
  <c r="AM40" i="442"/>
  <c r="AM44" i="442"/>
  <c r="AM41" i="442"/>
  <c r="AA26" i="442"/>
  <c r="AA25" i="442"/>
  <c r="AI29" i="442"/>
  <c r="AI26" i="442"/>
  <c r="AI27" i="442"/>
  <c r="AI28" i="442"/>
  <c r="AI30" i="442"/>
  <c r="AI25" i="442"/>
  <c r="AO29" i="442"/>
  <c r="AO33" i="442"/>
  <c r="AO28" i="442"/>
  <c r="AO32" i="442"/>
  <c r="AO25" i="442"/>
  <c r="AO30" i="442"/>
  <c r="AO31" i="442"/>
  <c r="AO26" i="442"/>
  <c r="AO27" i="442"/>
  <c r="AC23" i="443" l="1"/>
  <c r="AS33" i="443"/>
  <c r="J33" i="443" s="1"/>
  <c r="AS28" i="443"/>
  <c r="J28" i="443" s="1"/>
  <c r="AS34" i="443"/>
  <c r="J34" i="443" s="1"/>
  <c r="AS35" i="443"/>
  <c r="J35" i="443" s="1"/>
  <c r="AS32" i="443"/>
  <c r="J32" i="443" s="1"/>
  <c r="AS29" i="443"/>
  <c r="J29" i="443" s="1"/>
  <c r="AS26" i="443"/>
  <c r="J26" i="443" s="1"/>
  <c r="AS30" i="443"/>
  <c r="AS25" i="443"/>
  <c r="AS31" i="443"/>
  <c r="J31" i="443" s="1"/>
  <c r="AS27" i="443"/>
  <c r="J27" i="443" s="1"/>
  <c r="AQ46" i="443"/>
  <c r="AQ48" i="443"/>
  <c r="AQ47" i="443"/>
  <c r="AQ42" i="443"/>
  <c r="AQ41" i="443"/>
  <c r="AQ44" i="443"/>
  <c r="AQ40" i="443"/>
  <c r="AQ45" i="443"/>
  <c r="AQ39" i="443"/>
  <c r="AQ43" i="443"/>
  <c r="AM23" i="443"/>
  <c r="AE37" i="443"/>
  <c r="AE23" i="443"/>
  <c r="J25" i="443"/>
  <c r="Y23" i="443"/>
  <c r="AO41" i="443"/>
  <c r="AO46" i="443"/>
  <c r="AO45" i="443"/>
  <c r="AO39" i="443"/>
  <c r="AO40" i="443"/>
  <c r="AO43" i="443"/>
  <c r="AO42" i="443"/>
  <c r="AO44" i="443"/>
  <c r="AO47" i="443"/>
  <c r="AQ23" i="443"/>
  <c r="J30" i="443"/>
  <c r="AM45" i="443"/>
  <c r="AM42" i="443"/>
  <c r="AM41" i="443"/>
  <c r="AM43" i="443"/>
  <c r="AM44" i="443"/>
  <c r="AM40" i="443"/>
  <c r="AM39" i="443"/>
  <c r="AM46" i="443"/>
  <c r="AK41" i="443"/>
  <c r="AK44" i="443"/>
  <c r="AK43" i="443"/>
  <c r="AK45" i="443"/>
  <c r="AK39" i="443"/>
  <c r="AK42" i="443"/>
  <c r="AK40" i="443"/>
  <c r="AC37" i="443"/>
  <c r="AA40" i="443"/>
  <c r="AA39" i="443"/>
  <c r="Y39" i="443"/>
  <c r="V37" i="443"/>
  <c r="V49" i="443" s="1"/>
  <c r="V36" i="443" s="1"/>
  <c r="AK23" i="443"/>
  <c r="AI23" i="443"/>
  <c r="AG43" i="443"/>
  <c r="AG41" i="443"/>
  <c r="AG39" i="443"/>
  <c r="AG40" i="443"/>
  <c r="AG42" i="443"/>
  <c r="AO23" i="443"/>
  <c r="V22" i="443"/>
  <c r="AI43" i="443"/>
  <c r="AI42" i="443"/>
  <c r="AI41" i="443"/>
  <c r="AI39" i="443"/>
  <c r="AI44" i="443"/>
  <c r="AI40" i="443"/>
  <c r="AA23" i="443"/>
  <c r="AG23" i="443"/>
  <c r="AQ23" i="442"/>
  <c r="AI23" i="442"/>
  <c r="AK23" i="442"/>
  <c r="AO23" i="442"/>
  <c r="AM23" i="442"/>
  <c r="AG23" i="442"/>
  <c r="AM37" i="442"/>
  <c r="AO37" i="442"/>
  <c r="AE23" i="442"/>
  <c r="AC23" i="442"/>
  <c r="AE37" i="442"/>
  <c r="AG37" i="442"/>
  <c r="AA23" i="442"/>
  <c r="AC37" i="442"/>
  <c r="AQ37" i="442"/>
  <c r="AI37" i="442"/>
  <c r="AK37" i="442"/>
  <c r="AS31" i="442"/>
  <c r="AS28" i="442"/>
  <c r="J28" i="442" s="1"/>
  <c r="AS27" i="442"/>
  <c r="J27" i="442" s="1"/>
  <c r="AS25" i="442"/>
  <c r="AS35" i="442"/>
  <c r="J35" i="442" s="1"/>
  <c r="AS30" i="442"/>
  <c r="J30" i="442" s="1"/>
  <c r="AS26" i="442"/>
  <c r="J26" i="442" s="1"/>
  <c r="AS34" i="442"/>
  <c r="J34" i="442" s="1"/>
  <c r="AS33" i="442"/>
  <c r="J33" i="442" s="1"/>
  <c r="AS32" i="442"/>
  <c r="J32" i="442" s="1"/>
  <c r="AS29" i="442"/>
  <c r="J29" i="442" s="1"/>
  <c r="Y37" i="442"/>
  <c r="J31" i="442"/>
  <c r="AS46" i="442"/>
  <c r="J46" i="442" s="1"/>
  <c r="AS43" i="442"/>
  <c r="J43" i="442" s="1"/>
  <c r="AS47" i="442"/>
  <c r="J47" i="442" s="1"/>
  <c r="AS44" i="442"/>
  <c r="J44" i="442" s="1"/>
  <c r="AS45" i="442"/>
  <c r="J45" i="442" s="1"/>
  <c r="AS40" i="442"/>
  <c r="J40" i="442" s="1"/>
  <c r="AS49" i="442"/>
  <c r="J49" i="442" s="1"/>
  <c r="AS48" i="442"/>
  <c r="J48" i="442" s="1"/>
  <c r="AS39" i="442"/>
  <c r="AS41" i="442"/>
  <c r="J41" i="442" s="1"/>
  <c r="AS42" i="442"/>
  <c r="J42" i="442" s="1"/>
  <c r="Y23" i="442"/>
  <c r="H26" i="443" l="1"/>
  <c r="H34" i="443"/>
  <c r="AK37" i="443"/>
  <c r="AA37" i="443"/>
  <c r="H31" i="443"/>
  <c r="H28" i="443"/>
  <c r="H27" i="443"/>
  <c r="AI37" i="443"/>
  <c r="H30" i="443"/>
  <c r="AO37" i="443"/>
  <c r="H32" i="443"/>
  <c r="AM37" i="443"/>
  <c r="J23" i="443"/>
  <c r="H25" i="443"/>
  <c r="AS23" i="443"/>
  <c r="AS22" i="443" s="1"/>
  <c r="H29" i="443"/>
  <c r="AS43" i="443"/>
  <c r="J43" i="443" s="1"/>
  <c r="AS45" i="443"/>
  <c r="AS39" i="443"/>
  <c r="J39" i="443" s="1"/>
  <c r="AS48" i="443"/>
  <c r="J48" i="443" s="1"/>
  <c r="AS42" i="443"/>
  <c r="J42" i="443" s="1"/>
  <c r="AS49" i="443"/>
  <c r="J49" i="443" s="1"/>
  <c r="AS47" i="443"/>
  <c r="J47" i="443" s="1"/>
  <c r="AS40" i="443"/>
  <c r="J40" i="443" s="1"/>
  <c r="AS41" i="443"/>
  <c r="J41" i="443" s="1"/>
  <c r="AS46" i="443"/>
  <c r="J46" i="443" s="1"/>
  <c r="AS44" i="443"/>
  <c r="J44" i="443" s="1"/>
  <c r="J45" i="443"/>
  <c r="AG37" i="443"/>
  <c r="Y37" i="443"/>
  <c r="H33" i="443"/>
  <c r="AQ37" i="443"/>
  <c r="H35" i="443"/>
  <c r="AS23" i="442"/>
  <c r="AS22" i="442" s="1"/>
  <c r="AS37" i="442"/>
  <c r="AS36" i="442" s="1"/>
  <c r="H47" i="442"/>
  <c r="H32" i="442"/>
  <c r="H30" i="442"/>
  <c r="J25" i="442"/>
  <c r="H25" i="442" s="1"/>
  <c r="H45" i="442"/>
  <c r="H44" i="442"/>
  <c r="H46" i="442"/>
  <c r="H33" i="442"/>
  <c r="H48" i="442"/>
  <c r="J39" i="442"/>
  <c r="H41" i="442" s="1"/>
  <c r="H43" i="442"/>
  <c r="H49" i="442"/>
  <c r="H31" i="442"/>
  <c r="H35" i="442"/>
  <c r="H34" i="442"/>
  <c r="H29" i="442"/>
  <c r="H44" i="443" l="1"/>
  <c r="BR44" i="443" s="1"/>
  <c r="H40" i="443"/>
  <c r="BN5" i="443" s="1"/>
  <c r="H48" i="443"/>
  <c r="BN13" i="443" s="1"/>
  <c r="BR19" i="443"/>
  <c r="H47" i="443"/>
  <c r="BJ54" i="443" s="1"/>
  <c r="H46" i="443"/>
  <c r="BJ10" i="443" s="1"/>
  <c r="BR23" i="443"/>
  <c r="BJ17" i="443"/>
  <c r="H41" i="443"/>
  <c r="BJ5" i="443" s="1"/>
  <c r="H42" i="443"/>
  <c r="BJ6" i="443" s="1"/>
  <c r="BJ38" i="443"/>
  <c r="H23" i="443"/>
  <c r="BJ8" i="443"/>
  <c r="J37" i="443"/>
  <c r="H39" i="443"/>
  <c r="BN4" i="443" s="1"/>
  <c r="AS37" i="443"/>
  <c r="AS36" i="443" s="1"/>
  <c r="BN9" i="443"/>
  <c r="H45" i="443"/>
  <c r="H43" i="443"/>
  <c r="BJ7" i="443" s="1"/>
  <c r="H49" i="443"/>
  <c r="BJ48" i="443" s="1"/>
  <c r="BR36" i="443"/>
  <c r="BR29" i="443"/>
  <c r="BJ25" i="443"/>
  <c r="BJ32" i="443"/>
  <c r="J23" i="442"/>
  <c r="BJ44" i="442"/>
  <c r="BJ45" i="442"/>
  <c r="BN9" i="442"/>
  <c r="BR30" i="442"/>
  <c r="BR28" i="442"/>
  <c r="BJ54" i="442"/>
  <c r="BJ46" i="442"/>
  <c r="BN14" i="442"/>
  <c r="H28" i="442"/>
  <c r="BJ31" i="442" s="1"/>
  <c r="H27" i="442"/>
  <c r="BJ27" i="442" s="1"/>
  <c r="BJ48" i="442"/>
  <c r="H26" i="442"/>
  <c r="BJ21" i="442" s="1"/>
  <c r="BR29" i="442"/>
  <c r="H40" i="442"/>
  <c r="BR19" i="442" s="1"/>
  <c r="BR16" i="442"/>
  <c r="BR26" i="442"/>
  <c r="BJ53" i="442"/>
  <c r="BJ51" i="442"/>
  <c r="BJ50" i="442"/>
  <c r="BR23" i="442"/>
  <c r="BN10" i="442"/>
  <c r="BR20" i="442"/>
  <c r="BJ52" i="442"/>
  <c r="BR22" i="442"/>
  <c r="BJ57" i="442"/>
  <c r="BR38" i="442"/>
  <c r="BR37" i="442"/>
  <c r="BR36" i="442"/>
  <c r="BJ58" i="442"/>
  <c r="BR35" i="442"/>
  <c r="BR33" i="442"/>
  <c r="BN12" i="442"/>
  <c r="BN11" i="442"/>
  <c r="BJ59" i="442"/>
  <c r="BR45" i="442"/>
  <c r="BR44" i="442"/>
  <c r="BR43" i="442"/>
  <c r="BR41" i="442"/>
  <c r="BR46" i="442"/>
  <c r="BR47" i="442"/>
  <c r="BN13" i="442"/>
  <c r="BJ56" i="442"/>
  <c r="BJ55" i="442"/>
  <c r="BR18" i="442"/>
  <c r="BJ47" i="442"/>
  <c r="BJ39" i="442"/>
  <c r="BJ42" i="442"/>
  <c r="BJ41" i="442"/>
  <c r="BJ40" i="442"/>
  <c r="BJ38" i="442"/>
  <c r="BR12" i="442"/>
  <c r="BJ43" i="442"/>
  <c r="BN8" i="442"/>
  <c r="BR11" i="442"/>
  <c r="BJ13" i="442"/>
  <c r="BJ12" i="442"/>
  <c r="BJ8" i="442"/>
  <c r="BJ9" i="442"/>
  <c r="BJ10" i="442"/>
  <c r="BJ5" i="442"/>
  <c r="BJ11" i="442"/>
  <c r="BJ7" i="442"/>
  <c r="J37" i="442"/>
  <c r="H39" i="442"/>
  <c r="BR10" i="442" s="1"/>
  <c r="H42" i="442"/>
  <c r="BR13" i="442" s="1"/>
  <c r="BN7" i="443" l="1"/>
  <c r="BR25" i="443"/>
  <c r="BR32" i="443"/>
  <c r="BJ47" i="443"/>
  <c r="BR8" i="443"/>
  <c r="BR15" i="443"/>
  <c r="BR6" i="443"/>
  <c r="BJ4" i="443"/>
  <c r="BJ55" i="443"/>
  <c r="BJ57" i="443"/>
  <c r="BJ21" i="443"/>
  <c r="BR12" i="443"/>
  <c r="BR7" i="443"/>
  <c r="BR26" i="443"/>
  <c r="BR40" i="443"/>
  <c r="BJ40" i="443"/>
  <c r="BJ24" i="443"/>
  <c r="BR5" i="443"/>
  <c r="BJ36" i="443"/>
  <c r="BR24" i="443"/>
  <c r="BR31" i="443"/>
  <c r="BJ52" i="443"/>
  <c r="BJ37" i="443"/>
  <c r="BJ29" i="443"/>
  <c r="BR28" i="443"/>
  <c r="BR14" i="443"/>
  <c r="BJ12" i="443"/>
  <c r="BR10" i="443"/>
  <c r="BJ23" i="443"/>
  <c r="BR34" i="443"/>
  <c r="BR17" i="443"/>
  <c r="BR13" i="443"/>
  <c r="BJ31" i="443"/>
  <c r="BR27" i="443"/>
  <c r="BR35" i="443"/>
  <c r="BR18" i="443"/>
  <c r="BR11" i="443"/>
  <c r="BJ42" i="443"/>
  <c r="BR45" i="443"/>
  <c r="BJ18" i="443"/>
  <c r="BN10" i="443"/>
  <c r="BR47" i="443"/>
  <c r="BJ20" i="443"/>
  <c r="BJ51" i="443"/>
  <c r="BJ27" i="443"/>
  <c r="BR30" i="443"/>
  <c r="BJ56" i="443"/>
  <c r="BR37" i="443"/>
  <c r="BJ44" i="443"/>
  <c r="H37" i="443"/>
  <c r="BR4" i="443"/>
  <c r="BR39" i="443"/>
  <c r="BJ49" i="443"/>
  <c r="BJ39" i="443"/>
  <c r="BJ41" i="443"/>
  <c r="BR41" i="443"/>
  <c r="BR20" i="443"/>
  <c r="BJ14" i="443"/>
  <c r="BJ33" i="443"/>
  <c r="BN6" i="443"/>
  <c r="BJ26" i="443"/>
  <c r="BJ28" i="443"/>
  <c r="BN12" i="443"/>
  <c r="BR38" i="443"/>
  <c r="BJ59" i="443"/>
  <c r="BJ53" i="443"/>
  <c r="BJ22" i="443"/>
  <c r="BR16" i="443"/>
  <c r="BJ45" i="443"/>
  <c r="BJ43" i="443"/>
  <c r="BJ9" i="443"/>
  <c r="BJ19" i="443"/>
  <c r="BR46" i="443"/>
  <c r="BJ50" i="443"/>
  <c r="BR9" i="443"/>
  <c r="BJ34" i="443"/>
  <c r="BJ35" i="443"/>
  <c r="BJ30" i="443"/>
  <c r="BN11" i="443"/>
  <c r="BR33" i="443"/>
  <c r="BJ58" i="443"/>
  <c r="BJ16" i="443"/>
  <c r="BR22" i="443"/>
  <c r="BR43" i="443"/>
  <c r="BJ46" i="443"/>
  <c r="BN14" i="443"/>
  <c r="BJ13" i="443"/>
  <c r="BJ11" i="443"/>
  <c r="BN8" i="443"/>
  <c r="BR42" i="443"/>
  <c r="BJ15" i="443"/>
  <c r="BR21" i="443"/>
  <c r="BJ36" i="442"/>
  <c r="H23" i="442"/>
  <c r="BJ4" i="442"/>
  <c r="BR40" i="442"/>
  <c r="BR32" i="442"/>
  <c r="BR15" i="442"/>
  <c r="BJ34" i="442"/>
  <c r="BJ19" i="442"/>
  <c r="BR39" i="442"/>
  <c r="BR31" i="442"/>
  <c r="BR21" i="442"/>
  <c r="BR9" i="442"/>
  <c r="BJ16" i="442"/>
  <c r="BJ14" i="442"/>
  <c r="BJ25" i="442"/>
  <c r="BJ26" i="442"/>
  <c r="BJ28" i="442"/>
  <c r="BJ30" i="442"/>
  <c r="BJ24" i="442"/>
  <c r="BJ29" i="442"/>
  <c r="BR6" i="442"/>
  <c r="BJ37" i="442"/>
  <c r="BJ32" i="442"/>
  <c r="BR8" i="442"/>
  <c r="BJ35" i="442"/>
  <c r="BJ33" i="442"/>
  <c r="BJ20" i="442"/>
  <c r="BJ17" i="442"/>
  <c r="BJ18" i="442"/>
  <c r="BJ49" i="442"/>
  <c r="BN6" i="442"/>
  <c r="BN5" i="442"/>
  <c r="BR25" i="442"/>
  <c r="BJ22" i="442"/>
  <c r="BR27" i="442"/>
  <c r="BN7" i="442"/>
  <c r="BJ15" i="442"/>
  <c r="BR17" i="442"/>
  <c r="BJ23" i="442"/>
  <c r="BN4" i="442"/>
  <c r="BR42" i="442"/>
  <c r="H37" i="442"/>
  <c r="BR4" i="442"/>
  <c r="BR24" i="442"/>
  <c r="BR5" i="442"/>
  <c r="BR14" i="442"/>
  <c r="BR7" i="442"/>
  <c r="BJ6" i="442"/>
  <c r="BR34" i="442"/>
  <c r="B38" i="443" l="1"/>
  <c r="B37" i="443"/>
  <c r="B39" i="443"/>
  <c r="B37" i="442"/>
  <c r="B39" i="442"/>
  <c r="B38" i="442"/>
  <c r="B36" i="443" l="1"/>
  <c r="B36" i="442"/>
  <c r="Z14" i="436" l="1"/>
  <c r="P14" i="436"/>
  <c r="AI19" i="436" l="1"/>
  <c r="AI14" i="436"/>
  <c r="AI9" i="436"/>
  <c r="AN19" i="436"/>
  <c r="AN17" i="436"/>
  <c r="AI17" i="436" s="1"/>
  <c r="AN14" i="436"/>
  <c r="AN11" i="436"/>
  <c r="AI11" i="436" s="1"/>
  <c r="AN10" i="436"/>
  <c r="AI10" i="436" s="1"/>
  <c r="AN9" i="436"/>
  <c r="AN8" i="436"/>
  <c r="AI8" i="436" s="1"/>
  <c r="AN6" i="436"/>
  <c r="AI6" i="436" s="1"/>
  <c r="AN5" i="436"/>
  <c r="AI13" i="436" l="1"/>
  <c r="AI5" i="436"/>
  <c r="AG19" i="436"/>
  <c r="AK19" i="436"/>
  <c r="Z17" i="436"/>
  <c r="P17" i="436"/>
  <c r="AK17" i="436"/>
  <c r="AG17" i="436"/>
  <c r="AK11" i="436"/>
  <c r="AG11" i="436"/>
  <c r="AG10" i="436"/>
  <c r="AK10" i="436"/>
  <c r="AK9" i="436"/>
  <c r="AG9" i="436"/>
  <c r="AK8" i="436"/>
  <c r="AG8" i="436"/>
  <c r="AK6" i="436"/>
  <c r="AG6" i="436"/>
  <c r="AK5" i="436"/>
  <c r="AG5" i="436"/>
  <c r="AI2" i="436"/>
  <c r="D3" i="436"/>
  <c r="G1" i="436" s="1"/>
  <c r="K1" i="436"/>
  <c r="BF48" i="436"/>
  <c r="BF47" i="436"/>
  <c r="BF46" i="436"/>
  <c r="BE45" i="436"/>
  <c r="BE44" i="436"/>
  <c r="BF45" i="436" s="1"/>
  <c r="BD44" i="436"/>
  <c r="BF43" i="436"/>
  <c r="BE43" i="436"/>
  <c r="BF44" i="436" s="1"/>
  <c r="BD43" i="436"/>
  <c r="BC43" i="436"/>
  <c r="BF42" i="436"/>
  <c r="BE42" i="436"/>
  <c r="BD42" i="436"/>
  <c r="BC42" i="436"/>
  <c r="BF41" i="436"/>
  <c r="BE41" i="436"/>
  <c r="BD41" i="436"/>
  <c r="BC41" i="436"/>
  <c r="BF40" i="436"/>
  <c r="BE40" i="436"/>
  <c r="BD40" i="436"/>
  <c r="BC40" i="436"/>
  <c r="BC39" i="436"/>
  <c r="AS38" i="436"/>
  <c r="AR38" i="436"/>
  <c r="AQ38" i="436"/>
  <c r="AP38" i="436"/>
  <c r="AO38" i="436"/>
  <c r="AN38" i="436"/>
  <c r="AM38" i="436"/>
  <c r="AL38" i="436"/>
  <c r="AK38" i="436"/>
  <c r="AJ38" i="436"/>
  <c r="AI38" i="436"/>
  <c r="AH38" i="436"/>
  <c r="AG38" i="436"/>
  <c r="AF38" i="436"/>
  <c r="AE38" i="436"/>
  <c r="AD38" i="436"/>
  <c r="AC38" i="436"/>
  <c r="AB38" i="436"/>
  <c r="AA38" i="436"/>
  <c r="Z38" i="436"/>
  <c r="Y38" i="436"/>
  <c r="X38" i="436"/>
  <c r="W38" i="436"/>
  <c r="V38" i="436"/>
  <c r="U38" i="436"/>
  <c r="T38" i="436"/>
  <c r="S38" i="436"/>
  <c r="R38" i="436"/>
  <c r="Q38" i="436"/>
  <c r="P38" i="436"/>
  <c r="O38" i="436"/>
  <c r="N38" i="436"/>
  <c r="M38" i="436"/>
  <c r="L38" i="436"/>
  <c r="K38" i="436"/>
  <c r="J38" i="436"/>
  <c r="I38" i="436"/>
  <c r="H38" i="436"/>
  <c r="G38" i="436"/>
  <c r="BF34" i="436"/>
  <c r="BF33" i="436"/>
  <c r="C33" i="436"/>
  <c r="B33" i="436"/>
  <c r="C32" i="436"/>
  <c r="B32" i="436"/>
  <c r="BE31" i="436"/>
  <c r="BF32" i="436" s="1"/>
  <c r="BH30" i="436"/>
  <c r="BH37" i="436" s="1"/>
  <c r="BH43" i="436" s="1"/>
  <c r="BH48" i="436" s="1"/>
  <c r="BH53" i="436" s="1"/>
  <c r="BH56" i="436" s="1"/>
  <c r="BH58" i="436" s="1"/>
  <c r="BH59" i="436" s="1"/>
  <c r="BE30" i="436"/>
  <c r="BF31" i="436" s="1"/>
  <c r="BD30" i="436"/>
  <c r="E30" i="436"/>
  <c r="D30" i="436"/>
  <c r="BH29" i="436"/>
  <c r="BH36" i="436" s="1"/>
  <c r="BH42" i="436" s="1"/>
  <c r="BH47" i="436" s="1"/>
  <c r="BH52" i="436" s="1"/>
  <c r="BH55" i="436" s="1"/>
  <c r="BH57" i="436" s="1"/>
  <c r="BL13" i="436" s="1"/>
  <c r="BE29" i="436"/>
  <c r="BF30" i="436" s="1"/>
  <c r="BD29" i="436"/>
  <c r="BC29" i="436"/>
  <c r="C29" i="436"/>
  <c r="B29" i="436"/>
  <c r="BP28" i="436"/>
  <c r="BP35" i="436" s="1"/>
  <c r="BP43" i="436" s="1"/>
  <c r="BH28" i="436"/>
  <c r="BH35" i="436" s="1"/>
  <c r="BH41" i="436" s="1"/>
  <c r="BH46" i="436" s="1"/>
  <c r="BH51" i="436" s="1"/>
  <c r="BH54" i="436" s="1"/>
  <c r="BE28" i="436"/>
  <c r="BF29" i="436" s="1"/>
  <c r="BD28" i="436"/>
  <c r="BC28" i="436"/>
  <c r="BH27" i="436"/>
  <c r="BH34" i="436" s="1"/>
  <c r="BH40" i="436" s="1"/>
  <c r="BH45" i="436" s="1"/>
  <c r="BH50" i="436" s="1"/>
  <c r="BF27" i="436"/>
  <c r="BE27" i="436"/>
  <c r="BF28" i="436" s="1"/>
  <c r="BD27" i="436"/>
  <c r="BC27" i="436"/>
  <c r="C27" i="436"/>
  <c r="B27" i="436"/>
  <c r="BH26" i="436"/>
  <c r="BH33" i="436" s="1"/>
  <c r="BH39" i="436" s="1"/>
  <c r="BH44" i="436" s="1"/>
  <c r="BF26" i="436"/>
  <c r="BE26" i="436"/>
  <c r="BD26" i="436"/>
  <c r="BC26" i="436"/>
  <c r="E26" i="436"/>
  <c r="E27" i="436" s="1"/>
  <c r="D26" i="436"/>
  <c r="D27" i="436" s="1"/>
  <c r="C26" i="436"/>
  <c r="B26" i="436"/>
  <c r="BH25" i="436"/>
  <c r="BH32" i="436" s="1"/>
  <c r="BH38" i="436" s="1"/>
  <c r="BC25" i="436"/>
  <c r="E25" i="436"/>
  <c r="D25" i="436"/>
  <c r="D23" i="436" s="1"/>
  <c r="C25" i="436"/>
  <c r="B25" i="436"/>
  <c r="BH24" i="436"/>
  <c r="BH31" i="436" s="1"/>
  <c r="BH23" i="436"/>
  <c r="BL7" i="436" s="1"/>
  <c r="BP13" i="436" s="1"/>
  <c r="BP17" i="436" s="1"/>
  <c r="BP21" i="436" s="1"/>
  <c r="BP27" i="436" s="1"/>
  <c r="BP34" i="436" s="1"/>
  <c r="BP42" i="436" s="1"/>
  <c r="B22" i="436"/>
  <c r="C22" i="436" s="1"/>
  <c r="BP20" i="436"/>
  <c r="BP26" i="436" s="1"/>
  <c r="BP33" i="436" s="1"/>
  <c r="BP41" i="436" s="1"/>
  <c r="B20" i="436"/>
  <c r="B21" i="436" s="1"/>
  <c r="Z19" i="436"/>
  <c r="P19" i="436"/>
  <c r="Q18" i="436"/>
  <c r="AA16" i="436"/>
  <c r="Q16" i="436"/>
  <c r="C16" i="436"/>
  <c r="B16" i="436"/>
  <c r="AA15" i="436"/>
  <c r="Q15" i="436"/>
  <c r="Z13" i="436"/>
  <c r="P13" i="436"/>
  <c r="BP12" i="436"/>
  <c r="BP16" i="436" s="1"/>
  <c r="BL12" i="436"/>
  <c r="BP47" i="436" s="1"/>
  <c r="AA12" i="436"/>
  <c r="Q12" i="436"/>
  <c r="BL11" i="436"/>
  <c r="BP38" i="436" s="1"/>
  <c r="BP46" i="436" s="1"/>
  <c r="Z11" i="436"/>
  <c r="P11" i="436"/>
  <c r="BL10" i="436"/>
  <c r="BP30" i="436" s="1"/>
  <c r="BP37" i="436" s="1"/>
  <c r="BP45" i="436" s="1"/>
  <c r="Z10" i="436"/>
  <c r="P10" i="436"/>
  <c r="BP9" i="436"/>
  <c r="BL9" i="436"/>
  <c r="BP23" i="436" s="1"/>
  <c r="BP29" i="436" s="1"/>
  <c r="BP36" i="436" s="1"/>
  <c r="BP44" i="436" s="1"/>
  <c r="Z9" i="436"/>
  <c r="P9" i="436"/>
  <c r="BL8" i="436"/>
  <c r="BP18" i="436" s="1"/>
  <c r="BP22" i="436" s="1"/>
  <c r="Z8" i="436"/>
  <c r="P8" i="436"/>
  <c r="AA7" i="436"/>
  <c r="Z7" i="436"/>
  <c r="Q7" i="436"/>
  <c r="P7" i="436"/>
  <c r="BP6" i="436"/>
  <c r="BP8" i="436" s="1"/>
  <c r="BP11" i="436" s="1"/>
  <c r="BP15" i="436" s="1"/>
  <c r="BP19" i="436" s="1"/>
  <c r="BP25" i="436" s="1"/>
  <c r="BP32" i="436" s="1"/>
  <c r="BP40" i="436" s="1"/>
  <c r="BL6" i="436"/>
  <c r="Z6" i="436"/>
  <c r="P6" i="436"/>
  <c r="BP5" i="436"/>
  <c r="BP7" i="436" s="1"/>
  <c r="BP10" i="436" s="1"/>
  <c r="BP14" i="436" s="1"/>
  <c r="BH49" i="436" s="1"/>
  <c r="BP24" i="436" s="1"/>
  <c r="BP31" i="436" s="1"/>
  <c r="BP39" i="436" s="1"/>
  <c r="BL14" i="436" s="1"/>
  <c r="Z5" i="436"/>
  <c r="P5" i="436"/>
  <c r="K3" i="436"/>
  <c r="K2" i="436"/>
  <c r="S2" i="436"/>
  <c r="S1" i="436"/>
  <c r="O5" i="435"/>
  <c r="Y17" i="436" l="1"/>
  <c r="O13" i="436"/>
  <c r="Y13" i="436"/>
  <c r="O17" i="436"/>
  <c r="B31" i="436"/>
  <c r="W25" i="436" s="1"/>
  <c r="E23" i="436"/>
  <c r="AA18" i="436"/>
  <c r="G2" i="436"/>
  <c r="G3" i="436"/>
  <c r="B23" i="436"/>
  <c r="T43" i="436" s="1"/>
  <c r="C31" i="436"/>
  <c r="W39" i="436" s="1"/>
  <c r="R5" i="435"/>
  <c r="Q10" i="436" l="1"/>
  <c r="R10" i="436" s="1"/>
  <c r="Q11" i="436"/>
  <c r="R11" i="436" s="1"/>
  <c r="Q5" i="436"/>
  <c r="R5" i="436" s="1"/>
  <c r="AA19" i="436"/>
  <c r="AB19" i="436" s="1"/>
  <c r="Q19" i="436"/>
  <c r="R19" i="436" s="1"/>
  <c r="Y14" i="436"/>
  <c r="AA14" i="436" s="1"/>
  <c r="AB14" i="436" s="1"/>
  <c r="O14" i="436"/>
  <c r="Q14" i="436" s="1"/>
  <c r="R14" i="436" s="1"/>
  <c r="T39" i="436"/>
  <c r="T41" i="436"/>
  <c r="T46" i="436"/>
  <c r="T48" i="436"/>
  <c r="T45" i="436"/>
  <c r="T49" i="436"/>
  <c r="T42" i="436"/>
  <c r="AA10" i="436"/>
  <c r="AB10" i="436" s="1"/>
  <c r="Q13" i="436"/>
  <c r="R13" i="436" s="1"/>
  <c r="AA13" i="436"/>
  <c r="AB13" i="436" s="1"/>
  <c r="AA11" i="436"/>
  <c r="AB11" i="436" s="1"/>
  <c r="Q8" i="436"/>
  <c r="R8" i="436" s="1"/>
  <c r="AA8" i="436"/>
  <c r="AB8" i="436" s="1"/>
  <c r="AA6" i="436"/>
  <c r="AB6" i="436" s="1"/>
  <c r="Q6" i="436"/>
  <c r="R6" i="436" s="1"/>
  <c r="AA5" i="436"/>
  <c r="AB5" i="436" s="1"/>
  <c r="Q17" i="436"/>
  <c r="R17" i="436" s="1"/>
  <c r="AA17" i="436"/>
  <c r="AB17" i="436" s="1"/>
  <c r="Q9" i="436"/>
  <c r="R9" i="436" s="1"/>
  <c r="AA9" i="436"/>
  <c r="AB9" i="436" s="1"/>
  <c r="R16" i="436"/>
  <c r="AB15" i="436"/>
  <c r="R12" i="436"/>
  <c r="R7" i="436"/>
  <c r="AB16" i="436"/>
  <c r="R15" i="436"/>
  <c r="R18" i="436"/>
  <c r="AB7" i="436"/>
  <c r="AB18" i="436"/>
  <c r="AB12" i="436"/>
  <c r="B34" i="436"/>
  <c r="T47" i="436"/>
  <c r="T44" i="436"/>
  <c r="T40" i="436"/>
  <c r="B24" i="436"/>
  <c r="C23" i="436"/>
  <c r="Z14" i="435"/>
  <c r="P14" i="435"/>
  <c r="Y14" i="435"/>
  <c r="O14" i="435"/>
  <c r="Y11" i="435"/>
  <c r="O11" i="435"/>
  <c r="Y10" i="435"/>
  <c r="O10" i="435"/>
  <c r="Y9" i="435"/>
  <c r="O9" i="435"/>
  <c r="Y8" i="435"/>
  <c r="O8" i="435"/>
  <c r="Y6" i="435"/>
  <c r="O6" i="435"/>
  <c r="Y5" i="435"/>
  <c r="Z9" i="435"/>
  <c r="P9" i="435"/>
  <c r="Z7" i="435"/>
  <c r="P7" i="435"/>
  <c r="V1" i="435"/>
  <c r="AE2" i="435"/>
  <c r="U2" i="435"/>
  <c r="T37" i="436" l="1"/>
  <c r="S18" i="436"/>
  <c r="AC15" i="436"/>
  <c r="S5" i="436"/>
  <c r="AC12" i="436"/>
  <c r="AC7" i="436"/>
  <c r="AC14" i="436"/>
  <c r="S11" i="436"/>
  <c r="S7" i="436"/>
  <c r="AC13" i="436"/>
  <c r="AC17" i="436"/>
  <c r="S6" i="436"/>
  <c r="S12" i="436"/>
  <c r="C34" i="436"/>
  <c r="T27" i="436"/>
  <c r="T32" i="436"/>
  <c r="T26" i="436"/>
  <c r="C24" i="436"/>
  <c r="T28" i="436"/>
  <c r="T25" i="436"/>
  <c r="T29" i="436"/>
  <c r="T34" i="436"/>
  <c r="T33" i="436"/>
  <c r="T30" i="436"/>
  <c r="T35" i="436"/>
  <c r="T31" i="436"/>
  <c r="N30" i="436"/>
  <c r="P30" i="436" s="1"/>
  <c r="R35" i="436" s="1"/>
  <c r="N26" i="436"/>
  <c r="N28" i="436"/>
  <c r="P28" i="436" s="1"/>
  <c r="N25" i="436"/>
  <c r="N29" i="436"/>
  <c r="P29" i="436" s="1"/>
  <c r="R34" i="436" s="1"/>
  <c r="N27" i="436"/>
  <c r="P27" i="436" s="1"/>
  <c r="AC6" i="436"/>
  <c r="S13" i="436"/>
  <c r="S8" i="436"/>
  <c r="S17" i="436"/>
  <c r="S15" i="436"/>
  <c r="AC9" i="436"/>
  <c r="S14" i="436"/>
  <c r="S19" i="436"/>
  <c r="S9" i="436"/>
  <c r="AC10" i="436"/>
  <c r="AC8" i="436"/>
  <c r="AC18" i="436"/>
  <c r="AC11" i="436"/>
  <c r="AC5" i="436"/>
  <c r="AC16" i="436"/>
  <c r="S10" i="436"/>
  <c r="AC19" i="436"/>
  <c r="S16" i="436"/>
  <c r="O10" i="285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AD19" i="436" l="1"/>
  <c r="U10" i="436"/>
  <c r="AE5" i="436"/>
  <c r="U7" i="436"/>
  <c r="U9" i="436"/>
  <c r="AD11" i="436"/>
  <c r="AE15" i="436"/>
  <c r="T7" i="436"/>
  <c r="U5" i="436"/>
  <c r="AE10" i="436"/>
  <c r="U13" i="436"/>
  <c r="T6" i="436"/>
  <c r="U11" i="436"/>
  <c r="U16" i="436"/>
  <c r="T17" i="436"/>
  <c r="AE7" i="436"/>
  <c r="U12" i="436"/>
  <c r="AE12" i="436"/>
  <c r="AD16" i="436"/>
  <c r="AC20" i="436"/>
  <c r="L39" i="436" s="1"/>
  <c r="AD8" i="436"/>
  <c r="T19" i="436"/>
  <c r="T14" i="436"/>
  <c r="T15" i="436"/>
  <c r="U17" i="436"/>
  <c r="T8" i="436"/>
  <c r="AD13" i="436"/>
  <c r="AD14" i="436"/>
  <c r="AD15" i="436"/>
  <c r="T16" i="436"/>
  <c r="T10" i="436"/>
  <c r="AE16" i="436"/>
  <c r="AE11" i="436"/>
  <c r="AD18" i="436"/>
  <c r="AE8" i="436"/>
  <c r="AD9" i="436"/>
  <c r="AD6" i="436"/>
  <c r="P25" i="436"/>
  <c r="N23" i="436"/>
  <c r="N43" i="436"/>
  <c r="P43" i="436" s="1"/>
  <c r="N41" i="436"/>
  <c r="P41" i="436" s="1"/>
  <c r="N44" i="436"/>
  <c r="P44" i="436" s="1"/>
  <c r="N40" i="436"/>
  <c r="P40" i="436" s="1"/>
  <c r="N42" i="436"/>
  <c r="P42" i="436" s="1"/>
  <c r="N39" i="436"/>
  <c r="U6" i="436"/>
  <c r="AE17" i="436"/>
  <c r="AE13" i="436"/>
  <c r="T11" i="436"/>
  <c r="AE14" i="436"/>
  <c r="AD7" i="436"/>
  <c r="T18" i="436"/>
  <c r="AD5" i="436"/>
  <c r="AE18" i="436"/>
  <c r="AD10" i="436"/>
  <c r="T9" i="436"/>
  <c r="U15" i="436"/>
  <c r="U8" i="436"/>
  <c r="T13" i="436"/>
  <c r="AE6" i="436"/>
  <c r="R33" i="436"/>
  <c r="AD17" i="436"/>
  <c r="T5" i="436"/>
  <c r="U18" i="436"/>
  <c r="U14" i="436"/>
  <c r="AE9" i="436"/>
  <c r="R32" i="436"/>
  <c r="P26" i="436"/>
  <c r="R31" i="436" s="1"/>
  <c r="T23" i="436"/>
  <c r="T12" i="436"/>
  <c r="AD12" i="436"/>
  <c r="S20" i="436"/>
  <c r="L25" i="436" s="1"/>
  <c r="Y19" i="435"/>
  <c r="Y18" i="435"/>
  <c r="Y17" i="435"/>
  <c r="Y13" i="435"/>
  <c r="O13" i="435"/>
  <c r="O19" i="435"/>
  <c r="O18" i="435"/>
  <c r="O17" i="435"/>
  <c r="P13" i="285"/>
  <c r="Z13" i="285"/>
  <c r="P13" i="435"/>
  <c r="AE20" i="436" l="1"/>
  <c r="L41" i="436" s="1"/>
  <c r="T20" i="436"/>
  <c r="L26" i="436" s="1"/>
  <c r="U20" i="436"/>
  <c r="L27" i="436" s="1"/>
  <c r="AD20" i="436"/>
  <c r="L40" i="436" s="1"/>
  <c r="P39" i="436"/>
  <c r="R40" i="436" s="1"/>
  <c r="N37" i="436"/>
  <c r="R28" i="436"/>
  <c r="R25" i="436"/>
  <c r="R29" i="436"/>
  <c r="R27" i="436"/>
  <c r="P23" i="436"/>
  <c r="R30" i="436"/>
  <c r="R26" i="436"/>
  <c r="R47" i="436"/>
  <c r="R44" i="436"/>
  <c r="R49" i="436"/>
  <c r="R46" i="436"/>
  <c r="R45" i="436"/>
  <c r="R48" i="436"/>
  <c r="Z13" i="435"/>
  <c r="V26" i="436" l="1"/>
  <c r="AA25" i="436" s="1"/>
  <c r="R43" i="436"/>
  <c r="V20" i="436"/>
  <c r="L28" i="436" s="1"/>
  <c r="AF20" i="436"/>
  <c r="L42" i="436" s="1"/>
  <c r="R42" i="436"/>
  <c r="R23" i="436"/>
  <c r="V25" i="436"/>
  <c r="V31" i="436"/>
  <c r="V33" i="436"/>
  <c r="V34" i="436"/>
  <c r="V29" i="436"/>
  <c r="V30" i="436"/>
  <c r="V32" i="436"/>
  <c r="R41" i="436"/>
  <c r="V28" i="436"/>
  <c r="V27" i="436"/>
  <c r="R39" i="436"/>
  <c r="P37" i="436"/>
  <c r="Q9" i="435"/>
  <c r="BF48" i="435"/>
  <c r="BF47" i="435"/>
  <c r="BF46" i="435"/>
  <c r="BE45" i="435"/>
  <c r="BE44" i="435"/>
  <c r="BF45" i="435" s="1"/>
  <c r="BD44" i="435"/>
  <c r="BE43" i="435"/>
  <c r="BF44" i="435" s="1"/>
  <c r="BD43" i="435"/>
  <c r="BC43" i="435"/>
  <c r="BH42" i="435"/>
  <c r="BH47" i="435" s="1"/>
  <c r="BH52" i="435" s="1"/>
  <c r="BH55" i="435" s="1"/>
  <c r="BH57" i="435" s="1"/>
  <c r="BL13" i="435" s="1"/>
  <c r="BF42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H36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E29" i="435"/>
  <c r="BF30" i="435" s="1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F28" i="435" s="1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D25" i="435"/>
  <c r="C25" i="435"/>
  <c r="B25" i="435"/>
  <c r="BH24" i="435"/>
  <c r="BH31" i="435" s="1"/>
  <c r="BH23" i="435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AA10" i="435"/>
  <c r="Z10" i="435"/>
  <c r="P10" i="435"/>
  <c r="Q10" i="435" s="1"/>
  <c r="BP9" i="435"/>
  <c r="BP12" i="435" s="1"/>
  <c r="BP16" i="435" s="1"/>
  <c r="BP20" i="435" s="1"/>
  <c r="BP26" i="435" s="1"/>
  <c r="BP33" i="435" s="1"/>
  <c r="BP41" i="435" s="1"/>
  <c r="BL9" i="435"/>
  <c r="BP23" i="435" s="1"/>
  <c r="BP29" i="435" s="1"/>
  <c r="BP36" i="435" s="1"/>
  <c r="BP44" i="435" s="1"/>
  <c r="AA9" i="435"/>
  <c r="BP8" i="435"/>
  <c r="BP11" i="435" s="1"/>
  <c r="BP15" i="435" s="1"/>
  <c r="BP19" i="435" s="1"/>
  <c r="BP25" i="435" s="1"/>
  <c r="BP32" i="435" s="1"/>
  <c r="BP40" i="435" s="1"/>
  <c r="BL8" i="435"/>
  <c r="BP18" i="435" s="1"/>
  <c r="BP22" i="435" s="1"/>
  <c r="BP28" i="435" s="1"/>
  <c r="BP35" i="435" s="1"/>
  <c r="BP43" i="435" s="1"/>
  <c r="Z8" i="435"/>
  <c r="AA8" i="435"/>
  <c r="P8" i="435"/>
  <c r="Q8" i="435" s="1"/>
  <c r="BP7" i="435"/>
  <c r="BP10" i="435" s="1"/>
  <c r="BP14" i="435" s="1"/>
  <c r="BH49" i="435" s="1"/>
  <c r="BP24" i="435" s="1"/>
  <c r="BP31" i="435" s="1"/>
  <c r="BP39" i="435" s="1"/>
  <c r="BL14" i="435" s="1"/>
  <c r="BL7" i="435"/>
  <c r="BP13" i="435" s="1"/>
  <c r="BP17" i="435" s="1"/>
  <c r="BP21" i="435" s="1"/>
  <c r="BP27" i="435" s="1"/>
  <c r="BP34" i="435" s="1"/>
  <c r="BP42" i="435" s="1"/>
  <c r="AA7" i="435"/>
  <c r="Q7" i="435"/>
  <c r="BP6" i="435"/>
  <c r="BL6" i="435"/>
  <c r="Z6" i="435"/>
  <c r="P6" i="435"/>
  <c r="Q6" i="435" s="1"/>
  <c r="BP5" i="435"/>
  <c r="Z5" i="435"/>
  <c r="AA5" i="435"/>
  <c r="P5" i="435"/>
  <c r="Q5" i="435" s="1"/>
  <c r="D3" i="435"/>
  <c r="S2" i="435"/>
  <c r="S1" i="435"/>
  <c r="AA26" i="436" l="1"/>
  <c r="AA23" i="436"/>
  <c r="L23" i="436"/>
  <c r="R37" i="436"/>
  <c r="V39" i="436"/>
  <c r="V48" i="436"/>
  <c r="V45" i="436"/>
  <c r="V46" i="436"/>
  <c r="V43" i="436"/>
  <c r="V44" i="436"/>
  <c r="V47" i="436"/>
  <c r="AO33" i="436"/>
  <c r="AO29" i="436"/>
  <c r="AO25" i="436"/>
  <c r="AO32" i="436"/>
  <c r="AO27" i="436"/>
  <c r="AO26" i="436"/>
  <c r="AO28" i="436"/>
  <c r="AO30" i="436"/>
  <c r="AO31" i="436"/>
  <c r="AC27" i="436"/>
  <c r="AC25" i="436"/>
  <c r="AC26" i="436"/>
  <c r="AI29" i="436"/>
  <c r="AI25" i="436"/>
  <c r="AI28" i="436"/>
  <c r="AI30" i="436"/>
  <c r="AI27" i="436"/>
  <c r="AI26" i="436"/>
  <c r="AK27" i="436"/>
  <c r="AK29" i="436"/>
  <c r="AK25" i="436"/>
  <c r="AK26" i="436"/>
  <c r="AK31" i="436"/>
  <c r="AK28" i="436"/>
  <c r="AK30" i="436"/>
  <c r="V41" i="436"/>
  <c r="AG27" i="436"/>
  <c r="AG26" i="436"/>
  <c r="AG25" i="436"/>
  <c r="AG28" i="436"/>
  <c r="AG29" i="436"/>
  <c r="Y25" i="436"/>
  <c r="V23" i="436"/>
  <c r="V35" i="436" s="1"/>
  <c r="V22" i="436" s="1"/>
  <c r="V42" i="436"/>
  <c r="AE28" i="436"/>
  <c r="AE26" i="436"/>
  <c r="AE27" i="436"/>
  <c r="AE25" i="436"/>
  <c r="AM32" i="436"/>
  <c r="AM27" i="436"/>
  <c r="AM25" i="436"/>
  <c r="AM30" i="436"/>
  <c r="AM31" i="436"/>
  <c r="AM29" i="436"/>
  <c r="AM26" i="436"/>
  <c r="AM28" i="436"/>
  <c r="AQ34" i="436"/>
  <c r="AQ25" i="436"/>
  <c r="AQ26" i="436"/>
  <c r="AQ32" i="436"/>
  <c r="AQ27" i="436"/>
  <c r="AQ31" i="436"/>
  <c r="AQ33" i="436"/>
  <c r="AQ29" i="436"/>
  <c r="AQ28" i="436"/>
  <c r="AQ30" i="436"/>
  <c r="V40" i="436"/>
  <c r="E23" i="435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AG23" i="436" l="1"/>
  <c r="AC23" i="436"/>
  <c r="L37" i="436"/>
  <c r="AA39" i="436"/>
  <c r="AA40" i="436"/>
  <c r="AM23" i="436"/>
  <c r="AC40" i="436"/>
  <c r="AC41" i="436"/>
  <c r="AC39" i="436"/>
  <c r="AI23" i="436"/>
  <c r="AI44" i="436"/>
  <c r="AI40" i="436"/>
  <c r="AI41" i="436"/>
  <c r="AI43" i="436"/>
  <c r="AI39" i="436"/>
  <c r="AI42" i="436"/>
  <c r="AK44" i="436"/>
  <c r="AK45" i="436"/>
  <c r="AK39" i="436"/>
  <c r="AK42" i="436"/>
  <c r="AK43" i="436"/>
  <c r="AK41" i="436"/>
  <c r="AK40" i="436"/>
  <c r="AS29" i="436"/>
  <c r="J29" i="436" s="1"/>
  <c r="AS30" i="436"/>
  <c r="AS25" i="436"/>
  <c r="AS26" i="436"/>
  <c r="J26" i="436" s="1"/>
  <c r="AS34" i="436"/>
  <c r="AS27" i="436"/>
  <c r="J27" i="436" s="1"/>
  <c r="AS33" i="436"/>
  <c r="AS28" i="436"/>
  <c r="J28" i="436" s="1"/>
  <c r="AS35" i="436"/>
  <c r="J35" i="436" s="1"/>
  <c r="AS32" i="436"/>
  <c r="AS31" i="436"/>
  <c r="AK23" i="436"/>
  <c r="J33" i="436"/>
  <c r="AG42" i="436"/>
  <c r="AG43" i="436"/>
  <c r="AG40" i="436"/>
  <c r="AG41" i="436"/>
  <c r="AG39" i="436"/>
  <c r="AQ47" i="436"/>
  <c r="AQ41" i="436"/>
  <c r="AQ43" i="436"/>
  <c r="AQ44" i="436"/>
  <c r="AQ39" i="436"/>
  <c r="AQ46" i="436"/>
  <c r="AQ45" i="436"/>
  <c r="AQ42" i="436"/>
  <c r="AQ48" i="436"/>
  <c r="AQ40" i="436"/>
  <c r="J34" i="436"/>
  <c r="J32" i="436"/>
  <c r="J25" i="436"/>
  <c r="Y23" i="436"/>
  <c r="J30" i="436"/>
  <c r="AM41" i="436"/>
  <c r="AM39" i="436"/>
  <c r="AM46" i="436"/>
  <c r="AM44" i="436"/>
  <c r="AM43" i="436"/>
  <c r="AM45" i="436"/>
  <c r="AM42" i="436"/>
  <c r="AM40" i="436"/>
  <c r="Y39" i="436"/>
  <c r="V37" i="436"/>
  <c r="V49" i="436" s="1"/>
  <c r="AQ23" i="436"/>
  <c r="AE23" i="436"/>
  <c r="AE41" i="436"/>
  <c r="AE39" i="436"/>
  <c r="AE40" i="436"/>
  <c r="AE42" i="436"/>
  <c r="J31" i="436"/>
  <c r="AO23" i="436"/>
  <c r="AO47" i="436"/>
  <c r="AO44" i="436"/>
  <c r="AO41" i="436"/>
  <c r="AO46" i="436"/>
  <c r="AO43" i="436"/>
  <c r="AO42" i="436"/>
  <c r="AO45" i="436"/>
  <c r="AO39" i="436"/>
  <c r="AO40" i="436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H31" i="436" l="1"/>
  <c r="AE37" i="436"/>
  <c r="H26" i="436"/>
  <c r="AI37" i="436"/>
  <c r="H27" i="436"/>
  <c r="AO37" i="436"/>
  <c r="H30" i="436"/>
  <c r="H32" i="436"/>
  <c r="AG37" i="436"/>
  <c r="AS49" i="436"/>
  <c r="J49" i="436" s="1"/>
  <c r="AS46" i="436"/>
  <c r="J46" i="436" s="1"/>
  <c r="AS43" i="436"/>
  <c r="J43" i="436" s="1"/>
  <c r="AS45" i="436"/>
  <c r="AS44" i="436"/>
  <c r="AS40" i="436"/>
  <c r="J40" i="436" s="1"/>
  <c r="AS48" i="436"/>
  <c r="J48" i="436" s="1"/>
  <c r="AS42" i="436"/>
  <c r="AS41" i="436"/>
  <c r="J41" i="436" s="1"/>
  <c r="AS47" i="436"/>
  <c r="J47" i="436" s="1"/>
  <c r="AS39" i="436"/>
  <c r="J39" i="436" s="1"/>
  <c r="H34" i="436"/>
  <c r="H33" i="436"/>
  <c r="H35" i="436"/>
  <c r="AC37" i="436"/>
  <c r="H29" i="436"/>
  <c r="V36" i="436"/>
  <c r="AM37" i="436"/>
  <c r="J23" i="436"/>
  <c r="H25" i="436"/>
  <c r="AK37" i="436"/>
  <c r="J44" i="436"/>
  <c r="AA37" i="436"/>
  <c r="J42" i="436"/>
  <c r="Y37" i="436"/>
  <c r="H28" i="436"/>
  <c r="AQ37" i="436"/>
  <c r="AS23" i="436"/>
  <c r="AS22" i="436" s="1"/>
  <c r="J45" i="436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P26" i="435"/>
  <c r="R31" i="435" s="1"/>
  <c r="R32" i="435"/>
  <c r="P25" i="435"/>
  <c r="N23" i="435"/>
  <c r="H43" i="436" l="1"/>
  <c r="BJ16" i="436" s="1"/>
  <c r="H48" i="436"/>
  <c r="BJ21" i="436" s="1"/>
  <c r="H45" i="436"/>
  <c r="BN10" i="436" s="1"/>
  <c r="H42" i="436"/>
  <c r="BR21" i="436" s="1"/>
  <c r="H44" i="436"/>
  <c r="BR36" i="436" s="1"/>
  <c r="H46" i="436"/>
  <c r="BR38" i="436" s="1"/>
  <c r="H47" i="436"/>
  <c r="BJ35" i="436" s="1"/>
  <c r="AS37" i="436"/>
  <c r="AS36" i="436" s="1"/>
  <c r="BR28" i="436"/>
  <c r="H23" i="436"/>
  <c r="BJ12" i="436"/>
  <c r="H40" i="436"/>
  <c r="BR8" i="436" s="1"/>
  <c r="BR18" i="436"/>
  <c r="J37" i="436"/>
  <c r="H39" i="436"/>
  <c r="BR31" i="436" s="1"/>
  <c r="H41" i="436"/>
  <c r="BR33" i="436" s="1"/>
  <c r="H49" i="436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H52" i="285"/>
  <c r="BH55" i="285" s="1"/>
  <c r="BH57" i="285" s="1"/>
  <c r="BL13" i="285" s="1"/>
  <c r="BF48" i="285"/>
  <c r="BF47" i="285"/>
  <c r="BF46" i="285"/>
  <c r="BH45" i="285"/>
  <c r="BH50" i="285" s="1"/>
  <c r="BL11" i="285" s="1"/>
  <c r="BP38" i="285" s="1"/>
  <c r="BP46" i="285" s="1"/>
  <c r="BE45" i="285"/>
  <c r="BE44" i="285"/>
  <c r="BF45" i="285" s="1"/>
  <c r="BD44" i="285"/>
  <c r="BE43" i="285"/>
  <c r="BF44" i="285" s="1"/>
  <c r="BD43" i="285"/>
  <c r="BC43" i="285"/>
  <c r="BE42" i="285"/>
  <c r="BF43" i="285" s="1"/>
  <c r="BD42" i="285"/>
  <c r="BC42" i="285"/>
  <c r="BF41" i="285"/>
  <c r="BE41" i="285"/>
  <c r="BF42" i="285" s="1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F29" i="285" s="1"/>
  <c r="BD28" i="285"/>
  <c r="BC28" i="285"/>
  <c r="BH27" i="285"/>
  <c r="BH34" i="285" s="1"/>
  <c r="BH40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C25" i="285"/>
  <c r="E25" i="285"/>
  <c r="D25" i="285"/>
  <c r="C25" i="285"/>
  <c r="B25" i="285"/>
  <c r="BH24" i="285"/>
  <c r="BH31" i="285" s="1"/>
  <c r="BH23" i="285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BL9" i="285"/>
  <c r="BP23" i="285" s="1"/>
  <c r="BP29" i="285" s="1"/>
  <c r="BP36" i="285" s="1"/>
  <c r="BP44" i="285" s="1"/>
  <c r="AA9" i="285"/>
  <c r="Q9" i="285"/>
  <c r="BP8" i="285"/>
  <c r="BP11" i="285" s="1"/>
  <c r="BP15" i="285" s="1"/>
  <c r="BP19" i="285" s="1"/>
  <c r="BP25" i="285" s="1"/>
  <c r="BP32" i="285" s="1"/>
  <c r="BP40" i="285" s="1"/>
  <c r="BL8" i="285"/>
  <c r="BP18" i="285" s="1"/>
  <c r="BP22" i="285" s="1"/>
  <c r="BP28" i="285" s="1"/>
  <c r="BP35" i="285" s="1"/>
  <c r="BP43" i="285" s="1"/>
  <c r="Z8" i="285"/>
  <c r="P8" i="285"/>
  <c r="BL7" i="285"/>
  <c r="BP13" i="285" s="1"/>
  <c r="BP17" i="285" s="1"/>
  <c r="BP21" i="285" s="1"/>
  <c r="BP27" i="285" s="1"/>
  <c r="BP34" i="285" s="1"/>
  <c r="BP42" i="285" s="1"/>
  <c r="AA7" i="285"/>
  <c r="Q7" i="285"/>
  <c r="BP6" i="285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BJ42" i="436" l="1"/>
  <c r="BJ55" i="436"/>
  <c r="BR43" i="436"/>
  <c r="BJ31" i="436"/>
  <c r="BJ7" i="436"/>
  <c r="BJ24" i="436"/>
  <c r="BN8" i="436"/>
  <c r="BR35" i="436"/>
  <c r="BJ44" i="436"/>
  <c r="BR22" i="436"/>
  <c r="BR45" i="436"/>
  <c r="BJ47" i="436"/>
  <c r="BJ9" i="436"/>
  <c r="BJ36" i="436"/>
  <c r="BR30" i="436"/>
  <c r="BN13" i="436"/>
  <c r="BJ52" i="436"/>
  <c r="BJ57" i="436"/>
  <c r="BJ29" i="436"/>
  <c r="BR34" i="436"/>
  <c r="BN7" i="436"/>
  <c r="BJ39" i="436"/>
  <c r="BJ18" i="436"/>
  <c r="BJ26" i="436"/>
  <c r="BJ15" i="436"/>
  <c r="BJ6" i="436"/>
  <c r="BR17" i="436"/>
  <c r="BR13" i="436"/>
  <c r="BJ23" i="436"/>
  <c r="BR42" i="436"/>
  <c r="BR27" i="436"/>
  <c r="BJ33" i="436"/>
  <c r="BR37" i="436"/>
  <c r="BJ32" i="436"/>
  <c r="BJ10" i="436"/>
  <c r="BR29" i="436"/>
  <c r="BJ34" i="436"/>
  <c r="BN9" i="436"/>
  <c r="BR44" i="436"/>
  <c r="BJ25" i="436"/>
  <c r="BJ38" i="436"/>
  <c r="BJ8" i="436"/>
  <c r="BJ46" i="436"/>
  <c r="BJ40" i="436"/>
  <c r="BJ45" i="436"/>
  <c r="BJ41" i="436"/>
  <c r="BR46" i="436"/>
  <c r="BN11" i="436"/>
  <c r="BR47" i="436"/>
  <c r="BJ11" i="436"/>
  <c r="BR14" i="436"/>
  <c r="BR39" i="436"/>
  <c r="BR15" i="436"/>
  <c r="BR40" i="436"/>
  <c r="BR10" i="436"/>
  <c r="BJ53" i="436"/>
  <c r="BJ22" i="436"/>
  <c r="BJ19" i="436"/>
  <c r="BJ50" i="436"/>
  <c r="BJ14" i="436"/>
  <c r="BR20" i="436"/>
  <c r="BR41" i="436"/>
  <c r="BR12" i="436"/>
  <c r="BR24" i="436"/>
  <c r="BJ20" i="436"/>
  <c r="BJ51" i="436"/>
  <c r="BR6" i="436"/>
  <c r="BJ27" i="436"/>
  <c r="BN14" i="436"/>
  <c r="H37" i="436"/>
  <c r="BJ49" i="436"/>
  <c r="BR4" i="436"/>
  <c r="BJ59" i="436"/>
  <c r="BR11" i="436"/>
  <c r="BJ43" i="436"/>
  <c r="BN4" i="436"/>
  <c r="BJ13" i="436"/>
  <c r="BJ54" i="436"/>
  <c r="BN12" i="436"/>
  <c r="BR32" i="436"/>
  <c r="BJ37" i="436"/>
  <c r="BR5" i="436"/>
  <c r="BJ28" i="436"/>
  <c r="BR16" i="436"/>
  <c r="BJ48" i="436"/>
  <c r="BN5" i="436"/>
  <c r="BR19" i="436"/>
  <c r="BJ4" i="436"/>
  <c r="BJ5" i="436"/>
  <c r="BR26" i="436"/>
  <c r="BR25" i="436"/>
  <c r="BJ56" i="436"/>
  <c r="BJ58" i="436"/>
  <c r="BR7" i="436"/>
  <c r="BR9" i="436"/>
  <c r="BN6" i="436"/>
  <c r="BJ30" i="436"/>
  <c r="BJ17" i="436"/>
  <c r="BR23" i="436"/>
  <c r="R43" i="435"/>
  <c r="V27" i="435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27" i="435"/>
  <c r="AC26" i="435"/>
  <c r="AC25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B38" i="436" l="1"/>
  <c r="B37" i="436"/>
  <c r="B39" i="436"/>
  <c r="T17" i="435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B36" i="436" l="1"/>
  <c r="R16" i="285"/>
  <c r="S16" i="285" s="1"/>
  <c r="R12" i="285"/>
  <c r="S12" i="285" s="1"/>
  <c r="R11" i="285"/>
  <c r="S11" i="285" s="1"/>
  <c r="AB8" i="285"/>
  <c r="AC8" i="285" s="1"/>
  <c r="R7" i="285"/>
  <c r="S7" i="285" s="1"/>
  <c r="R5" i="285"/>
  <c r="S5" i="285" s="1"/>
  <c r="AB9" i="285"/>
  <c r="AC9" i="285" s="1"/>
  <c r="AB5" i="285"/>
  <c r="AC5" i="285" s="1"/>
  <c r="AB6" i="285"/>
  <c r="AC6" i="285" s="1"/>
  <c r="R6" i="285"/>
  <c r="S6" i="285" s="1"/>
  <c r="AM23" i="435"/>
  <c r="AE23" i="435"/>
  <c r="AO23" i="435"/>
  <c r="AK23" i="435"/>
  <c r="AI23" i="435"/>
  <c r="AQ23" i="435"/>
  <c r="AA23" i="435"/>
  <c r="AG23" i="435"/>
  <c r="AE20" i="435"/>
  <c r="AD20" i="435"/>
  <c r="AD21" i="435" s="1"/>
  <c r="U20" i="435"/>
  <c r="T20" i="435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J32" i="435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D12" i="285" s="1"/>
  <c r="AB17" i="285"/>
  <c r="AC17" i="285" s="1"/>
  <c r="AB14" i="285"/>
  <c r="AC14" i="285" s="1"/>
  <c r="AB18" i="285"/>
  <c r="AC18" i="285" s="1"/>
  <c r="R14" i="285"/>
  <c r="S14" i="285" s="1"/>
  <c r="R19" i="285"/>
  <c r="S19" i="285" s="1"/>
  <c r="AB16" i="285"/>
  <c r="AC16" i="285" s="1"/>
  <c r="AB19" i="285"/>
  <c r="AC19" i="285" s="1"/>
  <c r="AB7" i="285"/>
  <c r="AC7" i="285" s="1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AE21" i="435" l="1"/>
  <c r="L41" i="435" s="1"/>
  <c r="T21" i="435"/>
  <c r="L26" i="435" s="1"/>
  <c r="U21" i="435"/>
  <c r="L27" i="435" s="1"/>
  <c r="T7" i="285"/>
  <c r="T10" i="285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F20" i="435"/>
  <c r="V20" i="435"/>
  <c r="AS46" i="435"/>
  <c r="AS43" i="435"/>
  <c r="J43" i="435" s="1"/>
  <c r="AS47" i="435"/>
  <c r="AS41" i="435"/>
  <c r="J41" i="435" s="1"/>
  <c r="AS48" i="435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47" i="435"/>
  <c r="J48" i="435"/>
  <c r="AS22" i="435"/>
  <c r="J39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AE20" i="285" s="1"/>
  <c r="AE21" i="285" s="1"/>
  <c r="L41" i="285" s="1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AF21" i="435" l="1"/>
  <c r="AC21" i="435" s="1"/>
  <c r="L39" i="435" s="1"/>
  <c r="V21" i="435"/>
  <c r="L28" i="435" s="1"/>
  <c r="J37" i="435"/>
  <c r="AS37" i="435"/>
  <c r="AS36" i="435" s="1"/>
  <c r="L40" i="435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L42" i="435" l="1"/>
  <c r="L37" i="435" s="1"/>
  <c r="S21" i="435"/>
  <c r="L25" i="435" s="1"/>
  <c r="H33" i="435" s="1"/>
  <c r="H39" i="435"/>
  <c r="H41" i="435"/>
  <c r="H40" i="435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H42" i="435" l="1"/>
  <c r="H49" i="435"/>
  <c r="H43" i="435"/>
  <c r="BR35" i="435" s="1"/>
  <c r="H47" i="435"/>
  <c r="H27" i="435"/>
  <c r="H34" i="435"/>
  <c r="BJ59" i="435" s="1"/>
  <c r="H29" i="435"/>
  <c r="BJ43" i="435" s="1"/>
  <c r="L23" i="435"/>
  <c r="H28" i="435"/>
  <c r="BR8" i="435" s="1"/>
  <c r="H25" i="435"/>
  <c r="BJ5" i="435" s="1"/>
  <c r="H32" i="435"/>
  <c r="BR27" i="435" s="1"/>
  <c r="H26" i="435"/>
  <c r="H31" i="435"/>
  <c r="H35" i="435"/>
  <c r="BN14" i="435" s="1"/>
  <c r="H30" i="435"/>
  <c r="BR16" i="435" s="1"/>
  <c r="H44" i="435"/>
  <c r="H48" i="435"/>
  <c r="H46" i="435"/>
  <c r="H45" i="435"/>
  <c r="BN12" i="435"/>
  <c r="BN6" i="435"/>
  <c r="BN7" i="435"/>
  <c r="BR5" i="435"/>
  <c r="BR31" i="435"/>
  <c r="BJ58" i="435"/>
  <c r="BR33" i="435"/>
  <c r="BR32" i="435"/>
  <c r="BR34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J20" i="435" l="1"/>
  <c r="BR43" i="435"/>
  <c r="BR39" i="435"/>
  <c r="BJ4" i="435"/>
  <c r="BJ11" i="435"/>
  <c r="BR44" i="435"/>
  <c r="BR41" i="435"/>
  <c r="BR40" i="435"/>
  <c r="BR47" i="435"/>
  <c r="BJ13" i="435"/>
  <c r="BJ51" i="435"/>
  <c r="BJ24" i="435"/>
  <c r="BR42" i="435"/>
  <c r="BJ6" i="435"/>
  <c r="BN4" i="435"/>
  <c r="BJ37" i="435"/>
  <c r="BJ28" i="435"/>
  <c r="BR22" i="435"/>
  <c r="BJ23" i="435"/>
  <c r="BJ30" i="435"/>
  <c r="BR6" i="435"/>
  <c r="BR28" i="435"/>
  <c r="BR24" i="435"/>
  <c r="BJ54" i="435"/>
  <c r="BJ41" i="435"/>
  <c r="BJ33" i="435"/>
  <c r="BJ56" i="435"/>
  <c r="BR26" i="435"/>
  <c r="BR25" i="435"/>
  <c r="BJ7" i="435"/>
  <c r="BR29" i="435"/>
  <c r="BJ8" i="435"/>
  <c r="BJ25" i="435"/>
  <c r="BR36" i="435"/>
  <c r="BN8" i="435"/>
  <c r="BR10" i="435"/>
  <c r="BR11" i="435"/>
  <c r="BR12" i="435"/>
  <c r="BR13" i="435"/>
  <c r="BJ34" i="435"/>
  <c r="BR9" i="435"/>
  <c r="BR7" i="435"/>
  <c r="BJ31" i="435"/>
  <c r="BJ35" i="435"/>
  <c r="BJ36" i="435"/>
  <c r="BJ15" i="435"/>
  <c r="BN13" i="435"/>
  <c r="BJ12" i="435"/>
  <c r="BJ55" i="435"/>
  <c r="BJ9" i="435"/>
  <c r="BR45" i="435"/>
  <c r="BR30" i="435"/>
  <c r="BN10" i="435"/>
  <c r="BR15" i="435"/>
  <c r="H23" i="435"/>
  <c r="BJ17" i="435"/>
  <c r="BJ48" i="435"/>
  <c r="BR4" i="435"/>
  <c r="BJ22" i="435"/>
  <c r="BR14" i="435"/>
  <c r="BR18" i="435"/>
  <c r="BN5" i="435"/>
  <c r="BR17" i="435"/>
  <c r="BJ46" i="435"/>
  <c r="BR20" i="435"/>
  <c r="BJ14" i="435"/>
  <c r="BJ16" i="435"/>
  <c r="BJ49" i="435"/>
  <c r="BJ18" i="435"/>
  <c r="BJ50" i="435"/>
  <c r="BR21" i="435"/>
  <c r="BJ53" i="435"/>
  <c r="BR19" i="435"/>
  <c r="BJ10" i="435"/>
  <c r="BJ45" i="435"/>
  <c r="BJ52" i="435"/>
  <c r="BJ19" i="435"/>
  <c r="BJ21" i="435"/>
  <c r="BJ27" i="435"/>
  <c r="BJ40" i="435"/>
  <c r="BR38" i="435"/>
  <c r="BN11" i="435"/>
  <c r="BR46" i="435"/>
  <c r="BJ57" i="435"/>
  <c r="BJ47" i="435"/>
  <c r="BJ29" i="435"/>
  <c r="BJ38" i="435"/>
  <c r="BJ44" i="435"/>
  <c r="BN9" i="435"/>
  <c r="BJ26" i="435"/>
  <c r="BJ39" i="435"/>
  <c r="BR23" i="435"/>
  <c r="BJ32" i="435"/>
  <c r="H37" i="435"/>
  <c r="BJ42" i="435"/>
  <c r="BR37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7" i="435" l="1"/>
  <c r="B39" i="435"/>
  <c r="B38" i="435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36" i="435" l="1"/>
  <c r="BN11" i="285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F46" i="273"/>
  <c r="BH45" i="273"/>
  <c r="BH50" i="273" s="1"/>
  <c r="BE45" i="273"/>
  <c r="BF44" i="273"/>
  <c r="BE44" i="273"/>
  <c r="BF45" i="273" s="1"/>
  <c r="BD44" i="273"/>
  <c r="BE43" i="273"/>
  <c r="BD43" i="273"/>
  <c r="BC43" i="273"/>
  <c r="BE42" i="273"/>
  <c r="BF43" i="273" s="1"/>
  <c r="BD42" i="273"/>
  <c r="BC42" i="273"/>
  <c r="BF41" i="273"/>
  <c r="BE41" i="273"/>
  <c r="BF42" i="273" s="1"/>
  <c r="BD41" i="273"/>
  <c r="BC41" i="273"/>
  <c r="BF40" i="273"/>
  <c r="BE40" i="273"/>
  <c r="BD40" i="273"/>
  <c r="BC40" i="273"/>
  <c r="BH39" i="273"/>
  <c r="BH44" i="273" s="1"/>
  <c r="BL10" i="273" s="1"/>
  <c r="BP30" i="273" s="1"/>
  <c r="BP37" i="273" s="1"/>
  <c r="BP45" i="273" s="1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H33" i="273"/>
  <c r="BF33" i="273"/>
  <c r="C32" i="273"/>
  <c r="B32" i="273"/>
  <c r="BH31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F30" i="273" s="1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F28" i="273"/>
  <c r="BE28" i="273"/>
  <c r="BF29" i="273" s="1"/>
  <c r="BD28" i="273"/>
  <c r="BC28" i="273"/>
  <c r="BH27" i="273"/>
  <c r="BH34" i="273" s="1"/>
  <c r="BH40" i="273" s="1"/>
  <c r="BF27" i="273"/>
  <c r="BE27" i="273"/>
  <c r="BD27" i="273"/>
  <c r="BC27" i="273"/>
  <c r="C27" i="273"/>
  <c r="B27" i="273"/>
  <c r="BH26" i="273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23" i="273"/>
  <c r="B22" i="273"/>
  <c r="C22" i="273" s="1"/>
  <c r="B20" i="273"/>
  <c r="B21" i="273" s="1"/>
  <c r="AA19" i="273"/>
  <c r="Z19" i="273"/>
  <c r="Y19" i="273"/>
  <c r="P19" i="273"/>
  <c r="O19" i="273"/>
  <c r="Q19" i="273" s="1"/>
  <c r="BP18" i="273"/>
  <c r="BP22" i="273" s="1"/>
  <c r="BP28" i="273" s="1"/>
  <c r="BP35" i="273" s="1"/>
  <c r="BP43" i="273" s="1"/>
  <c r="AA18" i="273"/>
  <c r="Q18" i="273"/>
  <c r="Z17" i="273"/>
  <c r="AA17" i="273" s="1"/>
  <c r="Y17" i="273"/>
  <c r="Q17" i="273"/>
  <c r="P17" i="273"/>
  <c r="O17" i="273"/>
  <c r="AA16" i="273"/>
  <c r="Y16" i="273"/>
  <c r="Q16" i="273"/>
  <c r="O16" i="273"/>
  <c r="AA15" i="273"/>
  <c r="Q15" i="273"/>
  <c r="AA14" i="273"/>
  <c r="Y14" i="273"/>
  <c r="Q14" i="273"/>
  <c r="O14" i="273"/>
  <c r="Z13" i="273"/>
  <c r="AA13" i="273" s="1"/>
  <c r="P13" i="273"/>
  <c r="Q13" i="273" s="1"/>
  <c r="BL12" i="273"/>
  <c r="BP47" i="273" s="1"/>
  <c r="AA12" i="273"/>
  <c r="Q12" i="273"/>
  <c r="BL11" i="273"/>
  <c r="BP38" i="273" s="1"/>
  <c r="BP46" i="273" s="1"/>
  <c r="AA11" i="273"/>
  <c r="Z11" i="273"/>
  <c r="Y11" i="273"/>
  <c r="P11" i="273"/>
  <c r="Q11" i="273" s="1"/>
  <c r="O11" i="273"/>
  <c r="Z10" i="273"/>
  <c r="AA10" i="273" s="1"/>
  <c r="Y10" i="273"/>
  <c r="P10" i="273"/>
  <c r="Q10" i="273" s="1"/>
  <c r="O10" i="273"/>
  <c r="BL9" i="273"/>
  <c r="BP23" i="273" s="1"/>
  <c r="BP29" i="273" s="1"/>
  <c r="BP36" i="273" s="1"/>
  <c r="BP44" i="273" s="1"/>
  <c r="Y9" i="273"/>
  <c r="AA9" i="273" s="1"/>
  <c r="Q9" i="273"/>
  <c r="O9" i="273"/>
  <c r="BL8" i="273"/>
  <c r="Z8" i="273"/>
  <c r="AA8" i="273" s="1"/>
  <c r="Y8" i="273"/>
  <c r="P8" i="273"/>
  <c r="Q8" i="273" s="1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AA6" i="273" s="1"/>
  <c r="Q6" i="273"/>
  <c r="P6" i="273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Q5" i="273" s="1"/>
  <c r="O5" i="273"/>
  <c r="K3" i="273"/>
  <c r="G3" i="273"/>
  <c r="D3" i="273"/>
  <c r="S2" i="273"/>
  <c r="K2" i="273"/>
  <c r="G2" i="273"/>
  <c r="AF1" i="273"/>
  <c r="S1" i="273"/>
  <c r="K1" i="273"/>
  <c r="L1" i="273" s="1"/>
  <c r="M1" i="273" s="1"/>
  <c r="M2" i="273" s="1"/>
  <c r="H1" i="273"/>
  <c r="G1" i="273"/>
  <c r="E23" i="273" l="1"/>
  <c r="R19" i="273"/>
  <c r="AB16" i="273"/>
  <c r="AB14" i="273"/>
  <c r="AB19" i="273"/>
  <c r="AB18" i="273"/>
  <c r="R17" i="273"/>
  <c r="R16" i="273"/>
  <c r="R15" i="273"/>
  <c r="R14" i="273"/>
  <c r="R18" i="273"/>
  <c r="R12" i="273"/>
  <c r="R10" i="273"/>
  <c r="AB9" i="273"/>
  <c r="R8" i="273"/>
  <c r="AB7" i="273"/>
  <c r="R5" i="273"/>
  <c r="AB6" i="273"/>
  <c r="AB17" i="273"/>
  <c r="R13" i="273"/>
  <c r="R11" i="273"/>
  <c r="AB10" i="273"/>
  <c r="AB8" i="273"/>
  <c r="R7" i="273"/>
  <c r="AB5" i="273"/>
  <c r="R6" i="273"/>
  <c r="AB15" i="273"/>
  <c r="AB12" i="273"/>
  <c r="AB13" i="273"/>
  <c r="AB11" i="273"/>
  <c r="R9" i="273"/>
  <c r="C31" i="273"/>
  <c r="W38" i="273" s="1"/>
  <c r="B23" i="273"/>
  <c r="C23" i="273" s="1"/>
  <c r="D27" i="273"/>
  <c r="D23" i="273" s="1"/>
  <c r="T33" i="273" l="1"/>
  <c r="T34" i="273"/>
  <c r="B31" i="273"/>
  <c r="AC5" i="273"/>
  <c r="S10" i="273"/>
  <c r="AC12" i="273"/>
  <c r="S7" i="273"/>
  <c r="S13" i="273"/>
  <c r="AC7" i="273"/>
  <c r="S12" i="273"/>
  <c r="AC14" i="273"/>
  <c r="T47" i="273"/>
  <c r="T45" i="273"/>
  <c r="B34" i="273"/>
  <c r="B24" i="273"/>
  <c r="T43" i="273"/>
  <c r="T48" i="273"/>
  <c r="S9" i="273"/>
  <c r="AC15" i="273"/>
  <c r="AC8" i="273"/>
  <c r="AD6" i="273" s="1"/>
  <c r="AC17" i="273"/>
  <c r="S8" i="273"/>
  <c r="S18" i="273"/>
  <c r="S17" i="273"/>
  <c r="AC16" i="273"/>
  <c r="AC13" i="273"/>
  <c r="S11" i="273"/>
  <c r="S5" i="273"/>
  <c r="U10" i="273" s="1"/>
  <c r="S15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T5" i="273" s="1"/>
  <c r="AC10" i="273"/>
  <c r="AC6" i="273"/>
  <c r="AD5" i="273" s="1"/>
  <c r="AC9" i="273"/>
  <c r="AD13" i="273" s="1"/>
  <c r="S14" i="273"/>
  <c r="AC18" i="273"/>
  <c r="T19" i="273"/>
  <c r="S19" i="273"/>
  <c r="U14" i="273" l="1"/>
  <c r="AE6" i="273"/>
  <c r="AE10" i="273"/>
  <c r="U17" i="273"/>
  <c r="U15" i="273"/>
  <c r="AE17" i="273"/>
  <c r="U5" i="273"/>
  <c r="U7" i="273"/>
  <c r="U11" i="273"/>
  <c r="AE11" i="273"/>
  <c r="U6" i="273"/>
  <c r="AE15" i="273"/>
  <c r="AE16" i="273"/>
  <c r="U9" i="273"/>
  <c r="AE7" i="273"/>
  <c r="T16" i="273"/>
  <c r="T15" i="273"/>
  <c r="T11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T10" i="273"/>
  <c r="AE9" i="273"/>
  <c r="AD11" i="273"/>
  <c r="AE18" i="273"/>
  <c r="T14" i="273"/>
  <c r="AD10" i="273"/>
  <c r="T6" i="273"/>
  <c r="T20" i="273" s="1"/>
  <c r="L25" i="273" s="1"/>
  <c r="AD19" i="273"/>
  <c r="U8" i="273"/>
  <c r="U20" i="273" s="1"/>
  <c r="L26" i="273" s="1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R33" i="273" l="1"/>
  <c r="R48" i="273"/>
  <c r="R47" i="273"/>
  <c r="R45" i="273"/>
  <c r="R46" i="273"/>
  <c r="R44" i="273"/>
  <c r="V20" i="273"/>
  <c r="L27" i="273" s="1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39" i="273"/>
  <c r="R40" i="273"/>
  <c r="R31" i="273"/>
  <c r="R32" i="273"/>
  <c r="R41" i="273"/>
  <c r="R42" i="273"/>
  <c r="R25" i="273" l="1"/>
  <c r="L22" i="273"/>
  <c r="R38" i="273"/>
  <c r="P36" i="273"/>
  <c r="L36" i="273"/>
  <c r="R28" i="273"/>
  <c r="R26" i="273"/>
  <c r="P22" i="273"/>
  <c r="R29" i="273"/>
  <c r="R24" i="273"/>
  <c r="R27" i="273"/>
  <c r="V27" i="273" s="1"/>
  <c r="V26" i="273" l="1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BR29" i="273"/>
  <c r="H32" i="273"/>
  <c r="H28" i="273"/>
  <c r="H42" i="273"/>
  <c r="AS21" i="273"/>
  <c r="J38" i="273"/>
  <c r="H45" i="273"/>
  <c r="H46" i="273"/>
  <c r="H48" i="273"/>
  <c r="H34" i="273"/>
  <c r="H24" i="273" l="1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<sst xmlns="http://schemas.openxmlformats.org/spreadsheetml/2006/main" count="1575" uniqueCount="245">
  <si>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</si>
  <si>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</si>
  <si>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</si>
  <si>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</si>
  <si>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</si>
  <si>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</si>
  <si>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</si>
  <si>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</si>
  <si>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</si>
  <si>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</si>
  <si>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</si>
  <si>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</si>
  <si>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</si>
  <si>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</si>
  <si>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</si>
  <si>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</si>
  <si>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</si>
  <si>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</si>
  <si>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</si>
  <si>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</si>
  <si>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</si>
  <si>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</si>
  <si>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</si>
  <si>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</si>
  <si>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</si>
  <si>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</si>
  <si>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</si>
  <si>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</si>
  <si>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</si>
  <si>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</si>
  <si>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</si>
  <si>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</si>
  <si>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</si>
  <si>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</si>
  <si>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</si>
  <si>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</si>
  <si>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</si>
  <si>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</si>
  <si>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</si>
  <si>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</si>
  <si>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</si>
  <si>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</si>
  <si>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</si>
  <si>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</si>
  <si>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</si>
  <si>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</si>
  <si>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</si>
  <si>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</si>
  <si>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</si>
  <si>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</si>
  <si>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</si>
  <si>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</si>
  <si>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</si>
  <si>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</si>
  <si>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</si>
  <si>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</si>
  <si>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</si>
  <si>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</si>
  <si>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</si>
  <si>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</si>
  <si>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</si>
  <si>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</si>
  <si>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</si>
  <si>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</si>
  <si>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</si>
  <si>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</si>
  <si>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</si>
  <si>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</si>
  <si>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</si>
  <si>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</si>
  <si>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</si>
  <si>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</si>
  <si>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</si>
  <si>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</si>
  <si>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</si>
  <si>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</si>
  <si>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</si>
  <si>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</si>
  <si>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</si>
  <si>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</si>
  <si>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</si>
  <si>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</si>
  <si>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</si>
  <si>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</si>
  <si>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</si>
  <si>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</si>
  <si>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</si>
  <si>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</si>
  <si>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</si>
  <si>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</si>
  <si>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</si>
  <si>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</si>
  <si>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</si>
  <si>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</si>
  <si>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</si>
  <si>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</si>
  <si>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</si>
  <si>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</si>
  <si>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</si>
  <si>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</si>
  <si>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</si>
  <si>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</si>
  <si>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</si>
  <si>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</si>
  <si>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</si>
  <si>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</si>
  <si>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</si>
  <si>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</si>
  <si>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</si>
  <si>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</si>
  <si>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</si>
  <si>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</si>
  <si>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</si>
  <si>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</si>
  <si>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</si>
  <si>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</si>
  <si>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</si>
  <si>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</si>
  <si>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</si>
  <si>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</si>
  <si>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</si>
  <si>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</si>
  <si>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</si>
  <si>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</si>
  <si>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</si>
  <si>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</si>
  <si>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</si>
  <si>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</si>
  <si>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</si>
  <si>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</si>
  <si>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</si>
  <si>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</si>
  <si>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</si>
  <si>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</si>
  <si>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</si>
  <si>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</si>
  <si>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</si>
  <si>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</si>
  <si>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</si>
  <si>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</si>
  <si>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</si>
  <si>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</si>
  <si>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</si>
  <si>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</si>
  <si>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JC</t>
  </si>
  <si>
    <t>NEU</t>
  </si>
  <si>
    <t>IMP</t>
  </si>
  <si>
    <t>All</t>
  </si>
  <si>
    <t>0,4</t>
  </si>
  <si>
    <t>rap</t>
  </si>
  <si>
    <t>FORMACION</t>
  </si>
  <si>
    <t>&lt;3</t>
  </si>
  <si>
    <t>Eventos</t>
  </si>
  <si>
    <t>pA</t>
  </si>
  <si>
    <t>CAB</t>
  </si>
  <si>
    <t>Jugador</t>
  </si>
  <si>
    <t>PA</t>
  </si>
  <si>
    <t>Estat</t>
  </si>
  <si>
    <t>Anys</t>
  </si>
  <si>
    <t>D. Mann</t>
  </si>
  <si>
    <t>32.70</t>
  </si>
  <si>
    <t>N. Gerbet</t>
  </si>
  <si>
    <t>30.96</t>
  </si>
  <si>
    <t>L. Elder</t>
  </si>
  <si>
    <t>G×1</t>
  </si>
  <si>
    <t>30.17</t>
  </si>
  <si>
    <t>G. Roussel</t>
  </si>
  <si>
    <t>34.12</t>
  </si>
  <si>
    <t>C. Bitters</t>
  </si>
  <si>
    <t>31.68</t>
  </si>
  <si>
    <t>E. Silva</t>
  </si>
  <si>
    <t>33.14</t>
  </si>
  <si>
    <t>L. Nash</t>
  </si>
  <si>
    <t>29.79</t>
  </si>
  <si>
    <t>K. Rödl</t>
  </si>
  <si>
    <t>35.52</t>
  </si>
  <si>
    <t>M. Sibian</t>
  </si>
  <si>
    <t>H. Ikomi</t>
  </si>
  <si>
    <t>33.23</t>
  </si>
  <si>
    <t>A. Roßdorf</t>
  </si>
  <si>
    <t>34.68</t>
  </si>
  <si>
    <t>A. Develer</t>
  </si>
  <si>
    <t>33.82</t>
  </si>
  <si>
    <t>V. Breßler</t>
  </si>
  <si>
    <t>32.66</t>
  </si>
  <si>
    <t>A. Sandoval</t>
  </si>
  <si>
    <t>36.15</t>
  </si>
  <si>
    <t>A. Albarrán</t>
  </si>
  <si>
    <t>18.59</t>
  </si>
  <si>
    <t>F. NájeraEntrenador</t>
  </si>
  <si>
    <t>36.81</t>
  </si>
  <si>
    <t>J. Asefi</t>
  </si>
  <si>
    <t>18.63</t>
  </si>
  <si>
    <t>J. Stoker</t>
  </si>
  <si>
    <t>19.91</t>
  </si>
  <si>
    <t>L. SalmivainioEntrenador</t>
  </si>
  <si>
    <t>46.99</t>
  </si>
  <si>
    <t>R. Hayden</t>
  </si>
  <si>
    <t>18.13</t>
  </si>
  <si>
    <t>TSI</t>
  </si>
  <si>
    <t>Lid</t>
  </si>
  <si>
    <t>Fo</t>
  </si>
  <si>
    <t>Res</t>
  </si>
  <si>
    <t>Fi</t>
  </si>
  <si>
    <t>MB</t>
  </si>
  <si>
    <t>Últim</t>
  </si>
  <si>
    <t>RT</t>
  </si>
  <si>
    <t>Pos</t>
  </si>
  <si>
    <t>Sou</t>
  </si>
  <si>
    <t>GL</t>
  </si>
  <si>
    <t>HR</t>
  </si>
  <si>
    <t>PO</t>
  </si>
  <si>
    <t>10.5</t>
  </si>
  <si>
    <t>8.5</t>
  </si>
  <si>
    <t>9.5</t>
  </si>
  <si>
    <t>MC</t>
  </si>
  <si>
    <t>6.5</t>
  </si>
  <si>
    <t>5.5</t>
  </si>
  <si>
    <t>?</t>
  </si>
  <si>
    <t>4.5</t>
  </si>
  <si>
    <t>3.5</t>
  </si>
  <si>
    <t>Goblins</t>
  </si>
  <si>
    <t>AIM</t>
  </si>
  <si>
    <t>CA</t>
  </si>
  <si>
    <t>32.71</t>
  </si>
  <si>
    <t>30.97</t>
  </si>
  <si>
    <t>30.18</t>
  </si>
  <si>
    <t>34.13</t>
  </si>
  <si>
    <t>31.69</t>
  </si>
  <si>
    <t>33.15</t>
  </si>
  <si>
    <t>29.80</t>
  </si>
  <si>
    <t>35.53</t>
  </si>
  <si>
    <t>33.24</t>
  </si>
  <si>
    <t>34.69</t>
  </si>
  <si>
    <t>33.83</t>
  </si>
  <si>
    <t>32.67</t>
  </si>
  <si>
    <t>36.16</t>
  </si>
  <si>
    <t>18.60</t>
  </si>
  <si>
    <t>36.82</t>
  </si>
  <si>
    <t>18.64</t>
  </si>
  <si>
    <t>19.92</t>
  </si>
  <si>
    <t>18.14</t>
  </si>
  <si>
    <t>Dif_TSI</t>
  </si>
  <si>
    <t>DifF</t>
  </si>
  <si>
    <t>DifR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</si>
</sst>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4" fillId="0" borderId="1" xfId="1" applyNumberFormat="1" applyFont="1" applyFill="1" applyBorder="1" applyAlignment="1">
      <alignment horizontal="center"/>
    </xf>
    <xf numFmtId="166" fontId="5" fillId="0" borderId="1" xfId="1" applyNumberFormat="1" applyFont="1" applyFill="1" applyBorder="1" applyAlignment="1">
      <alignment horizontal="center"/>
    </xf>
    <xf numFmtId="166" fontId="4" fillId="14" borderId="1" xfId="1" applyNumberFormat="1" applyFont="1" applyFill="1" applyBorder="1" applyAlignment="1">
      <alignment horizontal="center"/>
    </xf>
    <xf numFmtId="166" fontId="5" fillId="14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1" xfId="0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/>
    <xf numFmtId="14" fontId="0" fillId="0" borderId="0" xfId="0" applyNumberFormat="1"/>
    <xf numFmtId="9" fontId="5" fillId="9" borderId="1" xfId="2" applyNumberFormat="1" applyFont="1" applyFill="1" applyBorder="1"/>
    <xf numFmtId="0" fontId="3" fillId="9" borderId="0" xfId="0" applyFont="1" applyFill="1"/>
    <xf numFmtId="0" fontId="3" fillId="0" borderId="0" xfId="0" applyFont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8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'Goblins-OBIWAN'!$G$25:$G$35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'Goblins-OBIWAN'!$H$25:$H$35</c:f>
              <c:numCache>
                <c:formatCode>0.0%</c:formatCode>
                <c:ptCount val="11"/>
                <c:pt idx="0">
                  <c:v>1.7953293836062173E-2</c:v>
                </c:pt>
                <c:pt idx="1">
                  <c:v>9.4368514328365405E-2</c:v>
                </c:pt>
                <c:pt idx="2">
                  <c:v>0.21014502063125143</c:v>
                </c:pt>
                <c:pt idx="3">
                  <c:v>0.26688489773640023</c:v>
                </c:pt>
                <c:pt idx="4">
                  <c:v>0.21877855367746896</c:v>
                </c:pt>
                <c:pt idx="5">
                  <c:v>0.12358832077921528</c:v>
                </c:pt>
                <c:pt idx="6">
                  <c:v>4.9902843433881794E-2</c:v>
                </c:pt>
                <c:pt idx="7">
                  <c:v>1.4672334562973205E-2</c:v>
                </c:pt>
                <c:pt idx="8">
                  <c:v>3.1557298860386473E-3</c:v>
                </c:pt>
                <c:pt idx="9">
                  <c:v>4.9208899746433976E-4</c:v>
                </c:pt>
                <c:pt idx="10">
                  <c:v>5.4216365885647271E-5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'Goblins-OBIWAN'!$H$39:$H$49</c:f>
              <c:numCache>
                <c:formatCode>0.0%</c:formatCode>
                <c:ptCount val="11"/>
                <c:pt idx="0">
                  <c:v>1.5471230862608329E-2</c:v>
                </c:pt>
                <c:pt idx="1">
                  <c:v>7.6939555144782165E-2</c:v>
                </c:pt>
                <c:pt idx="2">
                  <c:v>0.17446572369547103</c:v>
                </c:pt>
                <c:pt idx="3">
                  <c:v>0.23971561316215531</c:v>
                </c:pt>
                <c:pt idx="4">
                  <c:v>0.22386659312657523</c:v>
                </c:pt>
                <c:pt idx="5">
                  <c:v>0.15118346185058193</c:v>
                </c:pt>
                <c:pt idx="6">
                  <c:v>7.6708720357658883E-2</c:v>
                </c:pt>
                <c:pt idx="7">
                  <c:v>2.9959602744717394E-2</c:v>
                </c:pt>
                <c:pt idx="8">
                  <c:v>9.1134438778405786E-3</c:v>
                </c:pt>
                <c:pt idx="9">
                  <c:v>2.146643742757472E-3</c:v>
                </c:pt>
                <c:pt idx="10">
                  <c:v>3.7870470911612021E-4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915312"/>
        <c:axId val="281915704"/>
      </c:lineChart>
      <c:catAx>
        <c:axId val="28191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1915704"/>
        <c:crosses val="autoZero"/>
        <c:auto val="1"/>
        <c:lblAlgn val="ctr"/>
        <c:lblOffset val="100"/>
        <c:noMultiLvlLbl val="0"/>
      </c:catAx>
      <c:valAx>
        <c:axId val="28191570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1915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710600"/>
        <c:axId val="284714912"/>
      </c:lineChart>
      <c:catAx>
        <c:axId val="284710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4714912"/>
        <c:crosses val="autoZero"/>
        <c:auto val="1"/>
        <c:lblAlgn val="ctr"/>
        <c:lblOffset val="100"/>
        <c:noMultiLvlLbl val="0"/>
      </c:catAx>
      <c:valAx>
        <c:axId val="2847149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471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'Goblins-OBIWAN'!$B$37:$B$39</c:f>
              <c:numCache>
                <c:formatCode>0.0%</c:formatCode>
                <c:ptCount val="3"/>
                <c:pt idx="0">
                  <c:v>0.18013712773228452</c:v>
                </c:pt>
                <c:pt idx="1">
                  <c:v>0.465645854753238</c:v>
                </c:pt>
                <c:pt idx="2">
                  <c:v>0.35410793215123748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'Goblins-OBIWAN_352'!$G$25:$G$35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'Goblins-OBIWAN_352'!$H$25:$H$35</c:f>
              <c:numCache>
                <c:formatCode>0.0%</c:formatCode>
                <c:ptCount val="11"/>
                <c:pt idx="0">
                  <c:v>1.5206799062970931E-2</c:v>
                </c:pt>
                <c:pt idx="1">
                  <c:v>8.3676903966717273E-2</c:v>
                </c:pt>
                <c:pt idx="2">
                  <c:v>0.19585001838202654</c:v>
                </c:pt>
                <c:pt idx="3">
                  <c:v>0.26185738301237782</c:v>
                </c:pt>
                <c:pt idx="4">
                  <c:v>0.2265450707418942</c:v>
                </c:pt>
                <c:pt idx="5">
                  <c:v>0.13549770546144707</c:v>
                </c:pt>
                <c:pt idx="6">
                  <c:v>5.8137361725116993E-2</c:v>
                </c:pt>
                <c:pt idx="7">
                  <c:v>1.8233438432095673E-2</c:v>
                </c:pt>
                <c:pt idx="8">
                  <c:v>4.1999878306169308E-3</c:v>
                </c:pt>
                <c:pt idx="9">
                  <c:v>7.044020323124095E-4</c:v>
                </c:pt>
                <c:pt idx="10">
                  <c:v>8.386480615656927E-5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'Goblins-OBIWAN_352'!$H$39:$H$49</c:f>
              <c:numCache>
                <c:formatCode>0.0%</c:formatCode>
                <c:ptCount val="11"/>
                <c:pt idx="0">
                  <c:v>3.4147309427739907E-2</c:v>
                </c:pt>
                <c:pt idx="1">
                  <c:v>0.13180880213523752</c:v>
                </c:pt>
                <c:pt idx="2">
                  <c:v>0.23446761017354317</c:v>
                </c:pt>
                <c:pt idx="3">
                  <c:v>0.25469161495314585</c:v>
                </c:pt>
                <c:pt idx="4">
                  <c:v>0.18869388240094701</c:v>
                </c:pt>
                <c:pt idx="5">
                  <c:v>0.100838354623728</c:v>
                </c:pt>
                <c:pt idx="6">
                  <c:v>4.0070822665574782E-2</c:v>
                </c:pt>
                <c:pt idx="7">
                  <c:v>1.2020250159429539E-2</c:v>
                </c:pt>
                <c:pt idx="8">
                  <c:v>2.7312504307055226E-3</c:v>
                </c:pt>
                <c:pt idx="9">
                  <c:v>4.6625957129045549E-4</c:v>
                </c:pt>
                <c:pt idx="10">
                  <c:v>5.842971077539448E-5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261696"/>
        <c:axId val="284262480"/>
      </c:lineChart>
      <c:catAx>
        <c:axId val="28426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4262480"/>
        <c:crosses val="autoZero"/>
        <c:auto val="1"/>
        <c:lblAlgn val="ctr"/>
        <c:lblOffset val="100"/>
        <c:noMultiLvlLbl val="0"/>
      </c:catAx>
      <c:valAx>
        <c:axId val="28426248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4261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'Goblins-OBIWAN_352'!$B$37:$B$39</c:f>
              <c:numCache>
                <c:formatCode>0.0%</c:formatCode>
                <c:ptCount val="3"/>
                <c:pt idx="0">
                  <c:v>0.1831336108477695</c:v>
                </c:pt>
                <c:pt idx="1">
                  <c:v>0.33802972733258552</c:v>
                </c:pt>
                <c:pt idx="2">
                  <c:v>0.47874032411180284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'SIMULADOR&gt;22-12-17_v2'!$G$25:$G$35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'SIMULADOR&gt;22-12-17_v2'!$H$25:$H$35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'SIMULADOR&gt;22-12-17_v2'!$H$39:$H$49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264048"/>
        <c:axId val="284258952"/>
      </c:lineChart>
      <c:catAx>
        <c:axId val="28426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4258952"/>
        <c:crosses val="autoZero"/>
        <c:auto val="1"/>
        <c:lblAlgn val="ctr"/>
        <c:lblOffset val="100"/>
        <c:noMultiLvlLbl val="0"/>
      </c:catAx>
      <c:valAx>
        <c:axId val="28425895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4264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'SIMULADOR&gt;22-12-17_v2'!$B$37:$B$39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0.11729554082099101</c:v>
                </c:pt>
                <c:pt idx="1">
                  <c:v>0.27152796609913654</c:v>
                </c:pt>
                <c:pt idx="2">
                  <c:v>0.2917401663391731</c:v>
                </c:pt>
                <c:pt idx="3">
                  <c:v>0.19309454238427987</c:v>
                </c:pt>
                <c:pt idx="4">
                  <c:v>8.8066690842485224E-2</c:v>
                </c:pt>
                <c:pt idx="5">
                  <c:v>2.9304768260192272E-2</c:v>
                </c:pt>
                <c:pt idx="6">
                  <c:v>7.3378102626105316E-3</c:v>
                </c:pt>
                <c:pt idx="7">
                  <c:v>1.402822717321473E-3</c:v>
                </c:pt>
                <c:pt idx="8">
                  <c:v>2.0507712971897473E-4</c:v>
                </c:pt>
                <c:pt idx="9">
                  <c:v>2.266480783309812E-5</c:v>
                </c:pt>
                <c:pt idx="10">
                  <c:v>1.8421385796623046E-6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3.5891216279918037E-2</c:v>
                </c:pt>
                <c:pt idx="1">
                  <c:v>0.13394167206785365</c:v>
                </c:pt>
                <c:pt idx="2">
                  <c:v>0.23283735761668781</c:v>
                </c:pt>
                <c:pt idx="3">
                  <c:v>0.25045819541552683</c:v>
                </c:pt>
                <c:pt idx="4">
                  <c:v>0.18649765693945197</c:v>
                </c:pt>
                <c:pt idx="5">
                  <c:v>0.10169269462425716</c:v>
                </c:pt>
                <c:pt idx="6">
                  <c:v>4.1800753514072017E-2</c:v>
                </c:pt>
                <c:pt idx="7">
                  <c:v>1.3107590682356623E-2</c:v>
                </c:pt>
                <c:pt idx="8">
                  <c:v>3.1309638772704018E-3</c:v>
                </c:pt>
                <c:pt idx="9">
                  <c:v>5.6156131532783256E-4</c:v>
                </c:pt>
                <c:pt idx="10">
                  <c:v>7.336160298841875E-5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260912"/>
        <c:axId val="284260520"/>
      </c:lineChart>
      <c:catAx>
        <c:axId val="28426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4260520"/>
        <c:crosses val="autoZero"/>
        <c:auto val="1"/>
        <c:lblAlgn val="ctr"/>
        <c:lblOffset val="100"/>
        <c:noMultiLvlLbl val="0"/>
      </c:catAx>
      <c:valAx>
        <c:axId val="28426052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4260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0.17659899041025631</c:v>
                </c:pt>
                <c:pt idx="1">
                  <c:v>0.59597225178515745</c:v>
                </c:pt>
                <c:pt idx="2">
                  <c:v>0.227419831552787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709424"/>
        <c:axId val="284711776"/>
      </c:lineChart>
      <c:catAx>
        <c:axId val="28470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4711776"/>
        <c:crosses val="autoZero"/>
        <c:auto val="1"/>
        <c:lblAlgn val="ctr"/>
        <c:lblOffset val="100"/>
        <c:noMultiLvlLbl val="0"/>
      </c:catAx>
      <c:valAx>
        <c:axId val="28471177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4709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L21"/>
  <sheetViews>
    <sheetView workbookViewId="0">
      <selection activeCell="A6" sqref="A6"/>
    </sheetView>
  </sheetViews>
  <sheetFormatPr baseColWidth="10" defaultRowHeight="15" x14ac:dyDescent="0.25"/>
  <cols>
    <col min="1" max="1" width="23.28515625" bestFit="1" customWidth="1"/>
    <col min="2" max="2" width="4.5703125" bestFit="1" customWidth="1"/>
    <col min="3" max="3" width="5.28515625" bestFit="1" customWidth="1"/>
    <col min="4" max="4" width="6.5703125" bestFit="1" customWidth="1"/>
    <col min="5" max="5" width="7" bestFit="1" customWidth="1"/>
    <col min="6" max="6" width="3.5703125" bestFit="1" customWidth="1"/>
    <col min="7" max="7" width="4.140625" bestFit="1" customWidth="1"/>
    <col min="8" max="8" width="3.140625" bestFit="1" customWidth="1"/>
    <col min="9" max="9" width="4.140625" bestFit="1" customWidth="1"/>
    <col min="10" max="10" width="3" bestFit="1" customWidth="1"/>
    <col min="11" max="11" width="3.85546875" bestFit="1" customWidth="1"/>
    <col min="12" max="12" width="10.7109375" bestFit="1" customWidth="1"/>
    <col min="13" max="13" width="4.5703125" bestFit="1" customWidth="1"/>
    <col min="14" max="14" width="4.140625" bestFit="1" customWidth="1"/>
    <col min="15" max="15" width="6" bestFit="1" customWidth="1"/>
    <col min="16" max="16" width="3.140625" bestFit="1" customWidth="1"/>
    <col min="17" max="17" width="4" bestFit="1" customWidth="1"/>
    <col min="18" max="18" width="3.42578125" bestFit="1" customWidth="1"/>
    <col min="19" max="19" width="23.28515625" bestFit="1" customWidth="1"/>
    <col min="20" max="20" width="5.28515625" bestFit="1" customWidth="1"/>
    <col min="21" max="21" width="6.5703125" bestFit="1" customWidth="1"/>
    <col min="22" max="22" width="7" bestFit="1" customWidth="1"/>
    <col min="23" max="23" width="3.5703125" bestFit="1" customWidth="1"/>
    <col min="24" max="24" width="4.140625" bestFit="1" customWidth="1"/>
    <col min="25" max="25" width="3.140625" bestFit="1" customWidth="1"/>
    <col min="26" max="26" width="4.140625" bestFit="1" customWidth="1"/>
    <col min="27" max="27" width="3" bestFit="1" customWidth="1"/>
    <col min="28" max="28" width="3.85546875" bestFit="1" customWidth="1"/>
    <col min="29" max="29" width="10.7109375" bestFit="1" customWidth="1"/>
    <col min="30" max="30" width="4.5703125" bestFit="1" customWidth="1"/>
    <col min="31" max="31" width="4.140625" bestFit="1" customWidth="1"/>
    <col min="32" max="32" width="6" bestFit="1" customWidth="1"/>
    <col min="33" max="33" width="3.140625" bestFit="1" customWidth="1"/>
    <col min="34" max="34" width="4" bestFit="1" customWidth="1"/>
    <col min="35" max="35" width="3.42578125" bestFit="1" customWidth="1"/>
    <col min="36" max="36" width="7.140625" bestFit="1" customWidth="1"/>
    <col min="37" max="37" width="4.5703125" bestFit="1" customWidth="1"/>
    <col min="38" max="38" width="4.7109375" bestFit="1" customWidth="1"/>
  </cols>
  <sheetData>
    <row r="1" spans="1:38" s="14" customFormat="1" x14ac:dyDescent="0.25">
      <c r="A1" s="14" t="s">
        <v>155</v>
      </c>
      <c r="B1" s="14" t="s">
        <v>156</v>
      </c>
      <c r="C1" s="14" t="s">
        <v>157</v>
      </c>
      <c r="D1" s="14" t="s">
        <v>158</v>
      </c>
      <c r="E1" s="14" t="s">
        <v>199</v>
      </c>
      <c r="F1" s="14" t="s">
        <v>200</v>
      </c>
      <c r="G1" s="14" t="s">
        <v>127</v>
      </c>
      <c r="H1" s="14" t="s">
        <v>201</v>
      </c>
      <c r="I1" s="14" t="s">
        <v>202</v>
      </c>
      <c r="J1" s="14" t="s">
        <v>203</v>
      </c>
      <c r="K1" s="14" t="s">
        <v>204</v>
      </c>
      <c r="L1" s="14" t="s">
        <v>205</v>
      </c>
      <c r="M1" s="14" t="s">
        <v>206</v>
      </c>
      <c r="N1" s="14" t="s">
        <v>207</v>
      </c>
      <c r="O1" s="14" t="s">
        <v>208</v>
      </c>
      <c r="P1" s="14" t="s">
        <v>209</v>
      </c>
      <c r="Q1" s="14" t="s">
        <v>103</v>
      </c>
      <c r="R1" s="14" t="s">
        <v>210</v>
      </c>
      <c r="S1" s="14" t="s">
        <v>155</v>
      </c>
      <c r="T1" s="14" t="s">
        <v>157</v>
      </c>
      <c r="U1" s="14" t="s">
        <v>158</v>
      </c>
      <c r="V1" s="14" t="s">
        <v>199</v>
      </c>
      <c r="W1" s="14" t="s">
        <v>200</v>
      </c>
      <c r="X1" s="14" t="s">
        <v>127</v>
      </c>
      <c r="Y1" s="14" t="s">
        <v>201</v>
      </c>
      <c r="Z1" s="14" t="s">
        <v>202</v>
      </c>
      <c r="AA1" s="14" t="s">
        <v>203</v>
      </c>
      <c r="AB1" s="14" t="s">
        <v>204</v>
      </c>
      <c r="AC1" s="14" t="s">
        <v>205</v>
      </c>
      <c r="AD1" s="14" t="s">
        <v>206</v>
      </c>
      <c r="AE1" s="14" t="s">
        <v>207</v>
      </c>
      <c r="AF1" s="14" t="s">
        <v>208</v>
      </c>
      <c r="AG1" s="14" t="s">
        <v>209</v>
      </c>
      <c r="AH1" s="14" t="s">
        <v>103</v>
      </c>
      <c r="AI1" s="14" t="s">
        <v>210</v>
      </c>
      <c r="AJ1" s="210" t="s">
        <v>242</v>
      </c>
      <c r="AK1" s="210" t="s">
        <v>243</v>
      </c>
      <c r="AL1" s="210" t="s">
        <v>244</v>
      </c>
    </row>
    <row r="2" spans="1:38" x14ac:dyDescent="0.25">
      <c r="A2" s="14" t="s">
        <v>179</v>
      </c>
      <c r="B2" t="s">
        <v>123</v>
      </c>
      <c r="C2" t="s">
        <v>164</v>
      </c>
      <c r="D2" t="s">
        <v>180</v>
      </c>
      <c r="E2">
        <v>25440</v>
      </c>
      <c r="F2">
        <v>4</v>
      </c>
      <c r="G2">
        <v>14</v>
      </c>
      <c r="H2">
        <v>4</v>
      </c>
      <c r="I2">
        <v>6</v>
      </c>
      <c r="J2">
        <v>14</v>
      </c>
      <c r="L2" s="208">
        <v>43111</v>
      </c>
      <c r="M2" t="s">
        <v>216</v>
      </c>
      <c r="N2" t="s">
        <v>18</v>
      </c>
      <c r="O2">
        <v>26256</v>
      </c>
      <c r="P2">
        <v>0</v>
      </c>
      <c r="Q2">
        <v>72</v>
      </c>
      <c r="R2" t="s">
        <v>210</v>
      </c>
      <c r="S2" t="s">
        <v>179</v>
      </c>
      <c r="T2" t="s">
        <v>164</v>
      </c>
      <c r="U2" t="s">
        <v>233</v>
      </c>
      <c r="V2">
        <v>25060</v>
      </c>
      <c r="W2">
        <v>4</v>
      </c>
      <c r="X2">
        <v>14</v>
      </c>
      <c r="Y2">
        <v>4</v>
      </c>
      <c r="Z2">
        <v>6</v>
      </c>
      <c r="AA2">
        <v>14</v>
      </c>
      <c r="AC2" s="208">
        <v>43111</v>
      </c>
      <c r="AD2" t="s">
        <v>216</v>
      </c>
      <c r="AE2" t="s">
        <v>18</v>
      </c>
      <c r="AF2">
        <v>26256</v>
      </c>
      <c r="AG2">
        <v>0</v>
      </c>
      <c r="AH2">
        <v>72</v>
      </c>
      <c r="AI2" t="s">
        <v>210</v>
      </c>
      <c r="AJ2">
        <f t="shared" ref="AJ2:AJ21" si="0">V2-E2</f>
        <v>-380</v>
      </c>
      <c r="AK2" s="13">
        <f>Y2-H2</f>
        <v>0</v>
      </c>
      <c r="AL2" s="13">
        <f>Z2-I2</f>
        <v>0</v>
      </c>
    </row>
    <row r="3" spans="1:38" x14ac:dyDescent="0.25">
      <c r="A3" t="s">
        <v>185</v>
      </c>
      <c r="B3" t="s">
        <v>131</v>
      </c>
      <c r="D3" t="s">
        <v>186</v>
      </c>
      <c r="E3">
        <v>4550</v>
      </c>
      <c r="F3">
        <v>6</v>
      </c>
      <c r="G3">
        <v>12</v>
      </c>
      <c r="H3">
        <v>8</v>
      </c>
      <c r="I3">
        <v>6</v>
      </c>
      <c r="J3">
        <v>14</v>
      </c>
      <c r="L3" s="208">
        <v>43108</v>
      </c>
      <c r="M3">
        <v>7</v>
      </c>
      <c r="N3" t="s">
        <v>18</v>
      </c>
      <c r="O3">
        <v>2868</v>
      </c>
      <c r="P3">
        <v>0</v>
      </c>
      <c r="Q3">
        <v>38</v>
      </c>
      <c r="R3" t="s">
        <v>210</v>
      </c>
      <c r="S3" t="s">
        <v>185</v>
      </c>
      <c r="U3" t="s">
        <v>236</v>
      </c>
      <c r="V3">
        <v>4610</v>
      </c>
      <c r="W3">
        <v>6</v>
      </c>
      <c r="X3">
        <v>12</v>
      </c>
      <c r="Y3">
        <v>8</v>
      </c>
      <c r="Z3">
        <v>6</v>
      </c>
      <c r="AA3">
        <v>14</v>
      </c>
      <c r="AC3" s="208">
        <v>43108</v>
      </c>
      <c r="AD3">
        <v>7</v>
      </c>
      <c r="AE3" t="s">
        <v>18</v>
      </c>
      <c r="AF3">
        <v>2868</v>
      </c>
      <c r="AG3">
        <v>0</v>
      </c>
      <c r="AH3">
        <v>38</v>
      </c>
      <c r="AI3" t="s">
        <v>210</v>
      </c>
      <c r="AJ3">
        <f t="shared" si="0"/>
        <v>60</v>
      </c>
      <c r="AK3" s="13">
        <f t="shared" ref="AK3:AK21" si="1">Y3-H3</f>
        <v>0</v>
      </c>
      <c r="AL3" s="13">
        <f t="shared" ref="AL3:AL21" si="2">Z3-I3</f>
        <v>0</v>
      </c>
    </row>
    <row r="4" spans="1:38" x14ac:dyDescent="0.25">
      <c r="A4" t="s">
        <v>193</v>
      </c>
      <c r="D4" t="s">
        <v>194</v>
      </c>
      <c r="E4">
        <v>1520</v>
      </c>
      <c r="F4">
        <v>3</v>
      </c>
      <c r="G4">
        <v>2</v>
      </c>
      <c r="H4">
        <v>7</v>
      </c>
      <c r="I4">
        <v>7</v>
      </c>
      <c r="J4">
        <v>20</v>
      </c>
      <c r="K4" t="s">
        <v>218</v>
      </c>
      <c r="L4" s="208">
        <v>43097</v>
      </c>
      <c r="M4">
        <v>3</v>
      </c>
      <c r="N4" t="s">
        <v>18</v>
      </c>
      <c r="O4">
        <v>370</v>
      </c>
      <c r="P4">
        <v>0</v>
      </c>
      <c r="Q4">
        <v>4</v>
      </c>
      <c r="R4" t="s">
        <v>210</v>
      </c>
      <c r="S4" t="s">
        <v>193</v>
      </c>
      <c r="U4" t="s">
        <v>240</v>
      </c>
      <c r="V4">
        <v>1510</v>
      </c>
      <c r="W4">
        <v>3</v>
      </c>
      <c r="X4">
        <v>2</v>
      </c>
      <c r="Y4">
        <v>7</v>
      </c>
      <c r="Z4">
        <v>7</v>
      </c>
      <c r="AA4">
        <v>20</v>
      </c>
      <c r="AB4" t="s">
        <v>218</v>
      </c>
      <c r="AC4" s="208">
        <v>43097</v>
      </c>
      <c r="AD4">
        <v>3</v>
      </c>
      <c r="AE4" t="s">
        <v>18</v>
      </c>
      <c r="AF4">
        <v>370</v>
      </c>
      <c r="AG4">
        <v>0</v>
      </c>
      <c r="AH4">
        <v>4</v>
      </c>
      <c r="AI4" t="s">
        <v>210</v>
      </c>
      <c r="AJ4">
        <f t="shared" si="0"/>
        <v>-10</v>
      </c>
      <c r="AK4" s="13">
        <f t="shared" si="1"/>
        <v>0</v>
      </c>
      <c r="AL4" s="13">
        <f t="shared" si="2"/>
        <v>0</v>
      </c>
    </row>
    <row r="5" spans="1:38" x14ac:dyDescent="0.25">
      <c r="A5" s="14" t="s">
        <v>161</v>
      </c>
      <c r="B5" t="s">
        <v>123</v>
      </c>
      <c r="D5" t="s">
        <v>162</v>
      </c>
      <c r="E5">
        <v>256510</v>
      </c>
      <c r="F5">
        <v>2</v>
      </c>
      <c r="G5">
        <v>11</v>
      </c>
      <c r="H5">
        <v>6</v>
      </c>
      <c r="I5">
        <v>7</v>
      </c>
      <c r="J5">
        <v>20</v>
      </c>
      <c r="L5" s="208">
        <v>43111</v>
      </c>
      <c r="M5" t="s">
        <v>212</v>
      </c>
      <c r="N5" t="s">
        <v>22</v>
      </c>
      <c r="O5">
        <v>25632</v>
      </c>
      <c r="P5">
        <v>2</v>
      </c>
      <c r="Q5">
        <v>140</v>
      </c>
      <c r="R5" t="s">
        <v>210</v>
      </c>
      <c r="S5" t="s">
        <v>161</v>
      </c>
      <c r="U5" t="s">
        <v>225</v>
      </c>
      <c r="V5">
        <v>257540</v>
      </c>
      <c r="W5">
        <v>2</v>
      </c>
      <c r="X5">
        <v>11</v>
      </c>
      <c r="Y5">
        <v>6</v>
      </c>
      <c r="Z5">
        <v>7</v>
      </c>
      <c r="AA5">
        <v>20</v>
      </c>
      <c r="AC5" s="208">
        <v>43111</v>
      </c>
      <c r="AD5" t="s">
        <v>212</v>
      </c>
      <c r="AE5" t="s">
        <v>22</v>
      </c>
      <c r="AF5">
        <v>25632</v>
      </c>
      <c r="AG5">
        <v>2</v>
      </c>
      <c r="AH5">
        <v>140</v>
      </c>
      <c r="AI5" t="s">
        <v>210</v>
      </c>
      <c r="AJ5">
        <f t="shared" si="0"/>
        <v>1030</v>
      </c>
      <c r="AK5" s="13">
        <f t="shared" si="1"/>
        <v>0</v>
      </c>
      <c r="AL5" s="13">
        <f t="shared" si="2"/>
        <v>0</v>
      </c>
    </row>
    <row r="6" spans="1:38" x14ac:dyDescent="0.25">
      <c r="A6" s="14" t="s">
        <v>163</v>
      </c>
      <c r="B6" t="s">
        <v>123</v>
      </c>
      <c r="C6" t="s">
        <v>164</v>
      </c>
      <c r="D6" t="s">
        <v>165</v>
      </c>
      <c r="E6">
        <v>211470</v>
      </c>
      <c r="F6">
        <v>4</v>
      </c>
      <c r="G6">
        <v>7</v>
      </c>
      <c r="H6">
        <v>7</v>
      </c>
      <c r="I6">
        <v>8</v>
      </c>
      <c r="J6">
        <v>20</v>
      </c>
      <c r="L6" s="208">
        <v>43108</v>
      </c>
      <c r="M6" t="s">
        <v>212</v>
      </c>
      <c r="N6" t="s">
        <v>22</v>
      </c>
      <c r="O6">
        <v>28392</v>
      </c>
      <c r="P6">
        <v>0</v>
      </c>
      <c r="Q6">
        <v>96</v>
      </c>
      <c r="R6" t="s">
        <v>210</v>
      </c>
      <c r="S6" t="s">
        <v>163</v>
      </c>
      <c r="T6" t="s">
        <v>164</v>
      </c>
      <c r="U6" t="s">
        <v>226</v>
      </c>
      <c r="V6">
        <v>212150</v>
      </c>
      <c r="W6">
        <v>4</v>
      </c>
      <c r="X6">
        <v>7</v>
      </c>
      <c r="Y6">
        <v>7</v>
      </c>
      <c r="Z6">
        <v>8</v>
      </c>
      <c r="AA6">
        <v>20</v>
      </c>
      <c r="AC6" s="208">
        <v>43108</v>
      </c>
      <c r="AD6" t="s">
        <v>212</v>
      </c>
      <c r="AE6" t="s">
        <v>22</v>
      </c>
      <c r="AF6">
        <v>28392</v>
      </c>
      <c r="AG6">
        <v>0</v>
      </c>
      <c r="AH6">
        <v>96</v>
      </c>
      <c r="AI6" t="s">
        <v>210</v>
      </c>
      <c r="AJ6">
        <f t="shared" si="0"/>
        <v>680</v>
      </c>
      <c r="AK6" s="13">
        <f t="shared" si="1"/>
        <v>0</v>
      </c>
      <c r="AL6" s="13">
        <f t="shared" si="2"/>
        <v>0</v>
      </c>
    </row>
    <row r="7" spans="1:38" x14ac:dyDescent="0.25">
      <c r="A7" s="14" t="s">
        <v>170</v>
      </c>
      <c r="B7" t="s">
        <v>123</v>
      </c>
      <c r="D7" t="s">
        <v>171</v>
      </c>
      <c r="E7">
        <v>124120</v>
      </c>
      <c r="F7">
        <v>4</v>
      </c>
      <c r="G7">
        <v>14</v>
      </c>
      <c r="H7">
        <v>7</v>
      </c>
      <c r="I7">
        <v>7</v>
      </c>
      <c r="J7">
        <v>17</v>
      </c>
      <c r="L7" s="208">
        <v>43111</v>
      </c>
      <c r="M7" t="s">
        <v>214</v>
      </c>
      <c r="N7" t="s">
        <v>22</v>
      </c>
      <c r="O7">
        <v>36960</v>
      </c>
      <c r="P7">
        <v>2</v>
      </c>
      <c r="Q7">
        <v>136</v>
      </c>
      <c r="R7" t="s">
        <v>210</v>
      </c>
      <c r="S7" t="s">
        <v>170</v>
      </c>
      <c r="U7" t="s">
        <v>229</v>
      </c>
      <c r="V7">
        <v>120430</v>
      </c>
      <c r="W7">
        <v>4</v>
      </c>
      <c r="X7">
        <v>14</v>
      </c>
      <c r="Y7">
        <v>7</v>
      </c>
      <c r="Z7">
        <v>7</v>
      </c>
      <c r="AA7">
        <v>17</v>
      </c>
      <c r="AC7" s="208">
        <v>43111</v>
      </c>
      <c r="AD7" t="s">
        <v>214</v>
      </c>
      <c r="AE7" t="s">
        <v>22</v>
      </c>
      <c r="AF7">
        <v>36960</v>
      </c>
      <c r="AG7">
        <v>2</v>
      </c>
      <c r="AH7">
        <v>136</v>
      </c>
      <c r="AI7" t="s">
        <v>210</v>
      </c>
      <c r="AJ7">
        <f t="shared" si="0"/>
        <v>-3690</v>
      </c>
      <c r="AK7" s="13">
        <f t="shared" si="1"/>
        <v>0</v>
      </c>
      <c r="AL7" s="13">
        <f t="shared" si="2"/>
        <v>0</v>
      </c>
    </row>
    <row r="8" spans="1:38" x14ac:dyDescent="0.25">
      <c r="A8" t="s">
        <v>187</v>
      </c>
      <c r="D8" t="s">
        <v>188</v>
      </c>
      <c r="E8">
        <v>1430</v>
      </c>
      <c r="F8">
        <v>3</v>
      </c>
      <c r="G8">
        <v>2</v>
      </c>
      <c r="H8">
        <v>7</v>
      </c>
      <c r="I8">
        <v>6</v>
      </c>
      <c r="J8">
        <v>20</v>
      </c>
      <c r="K8" t="s">
        <v>218</v>
      </c>
      <c r="L8" s="208">
        <v>43090</v>
      </c>
      <c r="M8" t="s">
        <v>219</v>
      </c>
      <c r="N8" t="s">
        <v>22</v>
      </c>
      <c r="O8">
        <v>310</v>
      </c>
      <c r="P8">
        <v>0</v>
      </c>
      <c r="Q8">
        <v>1</v>
      </c>
      <c r="R8" t="s">
        <v>210</v>
      </c>
      <c r="S8" t="s">
        <v>187</v>
      </c>
      <c r="U8" t="s">
        <v>237</v>
      </c>
      <c r="V8">
        <v>1460</v>
      </c>
      <c r="W8">
        <v>3</v>
      </c>
      <c r="X8">
        <v>2</v>
      </c>
      <c r="Y8">
        <v>7</v>
      </c>
      <c r="Z8">
        <v>6</v>
      </c>
      <c r="AA8">
        <v>20</v>
      </c>
      <c r="AB8" t="s">
        <v>218</v>
      </c>
      <c r="AC8" s="208">
        <v>43090</v>
      </c>
      <c r="AD8" t="s">
        <v>219</v>
      </c>
      <c r="AE8" t="s">
        <v>22</v>
      </c>
      <c r="AF8">
        <v>310</v>
      </c>
      <c r="AG8">
        <v>0</v>
      </c>
      <c r="AH8">
        <v>1</v>
      </c>
      <c r="AI8" t="s">
        <v>210</v>
      </c>
      <c r="AJ8">
        <f t="shared" si="0"/>
        <v>30</v>
      </c>
      <c r="AK8" s="13">
        <f t="shared" si="1"/>
        <v>0</v>
      </c>
      <c r="AL8" s="13">
        <f t="shared" si="2"/>
        <v>0</v>
      </c>
    </row>
    <row r="9" spans="1:38" x14ac:dyDescent="0.25">
      <c r="A9" t="s">
        <v>191</v>
      </c>
      <c r="B9" t="s">
        <v>131</v>
      </c>
      <c r="D9" t="s">
        <v>192</v>
      </c>
      <c r="E9">
        <v>3430</v>
      </c>
      <c r="F9">
        <v>5</v>
      </c>
      <c r="G9">
        <v>2</v>
      </c>
      <c r="H9">
        <v>5</v>
      </c>
      <c r="I9">
        <v>8</v>
      </c>
      <c r="J9">
        <v>20</v>
      </c>
      <c r="K9" t="s">
        <v>218</v>
      </c>
      <c r="L9" s="208">
        <v>43104</v>
      </c>
      <c r="M9" t="s">
        <v>220</v>
      </c>
      <c r="N9" t="s">
        <v>22</v>
      </c>
      <c r="O9">
        <v>410</v>
      </c>
      <c r="P9">
        <v>0</v>
      </c>
      <c r="Q9">
        <v>5</v>
      </c>
      <c r="R9" t="s">
        <v>210</v>
      </c>
      <c r="S9" t="s">
        <v>191</v>
      </c>
      <c r="U9" t="s">
        <v>239</v>
      </c>
      <c r="V9">
        <v>3270</v>
      </c>
      <c r="W9">
        <v>5</v>
      </c>
      <c r="X9">
        <v>2</v>
      </c>
      <c r="Y9">
        <v>5</v>
      </c>
      <c r="Z9">
        <v>8</v>
      </c>
      <c r="AA9">
        <v>20</v>
      </c>
      <c r="AB9" t="s">
        <v>218</v>
      </c>
      <c r="AC9" s="208">
        <v>43104</v>
      </c>
      <c r="AD9" t="s">
        <v>220</v>
      </c>
      <c r="AE9" t="s">
        <v>22</v>
      </c>
      <c r="AF9">
        <v>410</v>
      </c>
      <c r="AG9">
        <v>0</v>
      </c>
      <c r="AH9">
        <v>5</v>
      </c>
      <c r="AI9" t="s">
        <v>210</v>
      </c>
      <c r="AJ9">
        <f t="shared" si="0"/>
        <v>-160</v>
      </c>
      <c r="AK9" s="13">
        <f t="shared" si="1"/>
        <v>0</v>
      </c>
      <c r="AL9" s="13">
        <f t="shared" si="2"/>
        <v>0</v>
      </c>
    </row>
    <row r="10" spans="1:38" x14ac:dyDescent="0.25">
      <c r="A10" t="s">
        <v>197</v>
      </c>
      <c r="B10" t="s">
        <v>123</v>
      </c>
      <c r="D10" t="s">
        <v>198</v>
      </c>
      <c r="E10">
        <v>1820</v>
      </c>
      <c r="F10">
        <v>4</v>
      </c>
      <c r="G10">
        <v>2</v>
      </c>
      <c r="H10">
        <v>6</v>
      </c>
      <c r="I10">
        <v>7</v>
      </c>
      <c r="J10">
        <v>20</v>
      </c>
      <c r="K10" t="s">
        <v>218</v>
      </c>
      <c r="L10" s="208">
        <v>43104</v>
      </c>
      <c r="M10" t="s">
        <v>219</v>
      </c>
      <c r="N10" t="s">
        <v>22</v>
      </c>
      <c r="O10">
        <v>330</v>
      </c>
      <c r="P10">
        <v>0</v>
      </c>
      <c r="Q10">
        <v>3</v>
      </c>
      <c r="S10" t="s">
        <v>197</v>
      </c>
      <c r="U10" t="s">
        <v>241</v>
      </c>
      <c r="V10">
        <v>1930</v>
      </c>
      <c r="W10">
        <v>4</v>
      </c>
      <c r="X10">
        <v>2</v>
      </c>
      <c r="Y10">
        <v>7</v>
      </c>
      <c r="Z10">
        <v>7</v>
      </c>
      <c r="AA10">
        <v>20</v>
      </c>
      <c r="AB10" t="s">
        <v>218</v>
      </c>
      <c r="AC10" s="208">
        <v>43104</v>
      </c>
      <c r="AD10" t="s">
        <v>219</v>
      </c>
      <c r="AE10" t="s">
        <v>22</v>
      </c>
      <c r="AF10">
        <v>330</v>
      </c>
      <c r="AG10">
        <v>0</v>
      </c>
      <c r="AH10">
        <v>3</v>
      </c>
      <c r="AJ10">
        <f t="shared" si="0"/>
        <v>110</v>
      </c>
      <c r="AK10" s="13">
        <f t="shared" si="1"/>
        <v>1</v>
      </c>
      <c r="AL10" s="13">
        <f t="shared" si="2"/>
        <v>0</v>
      </c>
    </row>
    <row r="11" spans="1:38" x14ac:dyDescent="0.25">
      <c r="A11" s="14" t="s">
        <v>168</v>
      </c>
      <c r="B11" t="s">
        <v>123</v>
      </c>
      <c r="D11" t="s">
        <v>169</v>
      </c>
      <c r="E11">
        <v>263960</v>
      </c>
      <c r="F11">
        <v>2</v>
      </c>
      <c r="G11">
        <v>12</v>
      </c>
      <c r="H11">
        <v>7</v>
      </c>
      <c r="I11">
        <v>7</v>
      </c>
      <c r="J11">
        <v>12</v>
      </c>
      <c r="L11" s="208">
        <v>43111</v>
      </c>
      <c r="M11">
        <v>10</v>
      </c>
      <c r="N11" t="s">
        <v>20</v>
      </c>
      <c r="O11">
        <v>25220</v>
      </c>
      <c r="P11">
        <v>1</v>
      </c>
      <c r="Q11">
        <v>45</v>
      </c>
      <c r="R11" t="s">
        <v>210</v>
      </c>
      <c r="S11" t="s">
        <v>168</v>
      </c>
      <c r="U11" t="s">
        <v>228</v>
      </c>
      <c r="V11">
        <v>278560</v>
      </c>
      <c r="W11">
        <v>2</v>
      </c>
      <c r="X11">
        <v>12</v>
      </c>
      <c r="Y11">
        <v>7</v>
      </c>
      <c r="Z11">
        <v>7</v>
      </c>
      <c r="AA11">
        <v>12</v>
      </c>
      <c r="AC11" s="208">
        <v>43111</v>
      </c>
      <c r="AD11">
        <v>10</v>
      </c>
      <c r="AE11" t="s">
        <v>20</v>
      </c>
      <c r="AF11">
        <v>25220</v>
      </c>
      <c r="AG11">
        <v>1</v>
      </c>
      <c r="AH11">
        <v>45</v>
      </c>
      <c r="AI11" t="s">
        <v>210</v>
      </c>
      <c r="AJ11">
        <f t="shared" si="0"/>
        <v>14600</v>
      </c>
      <c r="AK11" s="13">
        <f t="shared" si="1"/>
        <v>0</v>
      </c>
      <c r="AL11" s="13">
        <f t="shared" si="2"/>
        <v>0</v>
      </c>
    </row>
    <row r="12" spans="1:38" x14ac:dyDescent="0.25">
      <c r="A12" t="s">
        <v>189</v>
      </c>
      <c r="B12" t="s">
        <v>123</v>
      </c>
      <c r="D12" t="s">
        <v>190</v>
      </c>
      <c r="E12">
        <v>12030</v>
      </c>
      <c r="F12">
        <v>6</v>
      </c>
      <c r="G12">
        <v>13</v>
      </c>
      <c r="H12">
        <v>5</v>
      </c>
      <c r="I12">
        <v>4</v>
      </c>
      <c r="J12">
        <v>20</v>
      </c>
      <c r="L12" s="208">
        <v>43111</v>
      </c>
      <c r="M12" t="s">
        <v>216</v>
      </c>
      <c r="N12" t="s">
        <v>20</v>
      </c>
      <c r="O12">
        <v>5232</v>
      </c>
      <c r="P12">
        <v>0</v>
      </c>
      <c r="Q12">
        <v>67</v>
      </c>
      <c r="R12" t="s">
        <v>210</v>
      </c>
      <c r="S12" t="s">
        <v>189</v>
      </c>
      <c r="U12" t="s">
        <v>238</v>
      </c>
      <c r="V12">
        <v>12170</v>
      </c>
      <c r="W12">
        <v>6</v>
      </c>
      <c r="X12">
        <v>13</v>
      </c>
      <c r="Y12">
        <v>5</v>
      </c>
      <c r="Z12">
        <v>4</v>
      </c>
      <c r="AA12">
        <v>20</v>
      </c>
      <c r="AC12" s="208">
        <v>43111</v>
      </c>
      <c r="AD12" t="s">
        <v>216</v>
      </c>
      <c r="AE12" t="s">
        <v>20</v>
      </c>
      <c r="AF12">
        <v>5232</v>
      </c>
      <c r="AG12">
        <v>0</v>
      </c>
      <c r="AH12">
        <v>67</v>
      </c>
      <c r="AI12" t="s">
        <v>210</v>
      </c>
      <c r="AJ12">
        <f t="shared" si="0"/>
        <v>140</v>
      </c>
      <c r="AK12" s="13">
        <f t="shared" si="1"/>
        <v>0</v>
      </c>
      <c r="AL12" s="13">
        <f t="shared" si="2"/>
        <v>0</v>
      </c>
    </row>
    <row r="13" spans="1:38" x14ac:dyDescent="0.25">
      <c r="A13" s="14" t="s">
        <v>166</v>
      </c>
      <c r="B13" t="s">
        <v>123</v>
      </c>
      <c r="D13" t="s">
        <v>167</v>
      </c>
      <c r="E13">
        <v>25220</v>
      </c>
      <c r="F13">
        <v>3</v>
      </c>
      <c r="G13">
        <v>13</v>
      </c>
      <c r="H13">
        <v>6</v>
      </c>
      <c r="I13">
        <v>6</v>
      </c>
      <c r="J13">
        <v>20</v>
      </c>
      <c r="L13" s="208">
        <v>43111</v>
      </c>
      <c r="M13" t="s">
        <v>213</v>
      </c>
      <c r="N13" t="s">
        <v>17</v>
      </c>
      <c r="O13">
        <v>13680</v>
      </c>
      <c r="P13">
        <v>0</v>
      </c>
      <c r="Q13">
        <v>51</v>
      </c>
      <c r="R13" t="s">
        <v>210</v>
      </c>
      <c r="S13" t="s">
        <v>166</v>
      </c>
      <c r="U13" t="s">
        <v>227</v>
      </c>
      <c r="V13">
        <v>23090</v>
      </c>
      <c r="W13">
        <v>3</v>
      </c>
      <c r="X13">
        <v>13</v>
      </c>
      <c r="Y13">
        <v>5</v>
      </c>
      <c r="Z13">
        <v>6</v>
      </c>
      <c r="AA13">
        <v>20</v>
      </c>
      <c r="AC13" s="208">
        <v>43111</v>
      </c>
      <c r="AD13" t="s">
        <v>213</v>
      </c>
      <c r="AE13" t="s">
        <v>17</v>
      </c>
      <c r="AF13">
        <v>13680</v>
      </c>
      <c r="AG13">
        <v>0</v>
      </c>
      <c r="AH13">
        <v>51</v>
      </c>
      <c r="AI13" t="s">
        <v>210</v>
      </c>
      <c r="AJ13">
        <f t="shared" si="0"/>
        <v>-2130</v>
      </c>
      <c r="AK13" s="13">
        <f t="shared" si="1"/>
        <v>-1</v>
      </c>
      <c r="AL13" s="13">
        <f t="shared" si="2"/>
        <v>0</v>
      </c>
    </row>
    <row r="14" spans="1:38" x14ac:dyDescent="0.25">
      <c r="A14" t="s">
        <v>181</v>
      </c>
      <c r="B14" t="s">
        <v>123</v>
      </c>
      <c r="D14" t="s">
        <v>182</v>
      </c>
      <c r="E14">
        <v>40400</v>
      </c>
      <c r="F14">
        <v>3</v>
      </c>
      <c r="G14">
        <v>12</v>
      </c>
      <c r="H14">
        <v>4</v>
      </c>
      <c r="I14">
        <v>7</v>
      </c>
      <c r="J14">
        <v>10</v>
      </c>
      <c r="L14" s="208">
        <v>43108</v>
      </c>
      <c r="M14" t="s">
        <v>217</v>
      </c>
      <c r="N14" t="s">
        <v>17</v>
      </c>
      <c r="O14">
        <v>30636</v>
      </c>
      <c r="P14">
        <v>0</v>
      </c>
      <c r="Q14">
        <v>40</v>
      </c>
      <c r="R14" t="s">
        <v>210</v>
      </c>
      <c r="S14" t="s">
        <v>181</v>
      </c>
      <c r="U14" t="s">
        <v>234</v>
      </c>
      <c r="V14">
        <v>45390</v>
      </c>
      <c r="W14">
        <v>3</v>
      </c>
      <c r="X14">
        <v>12</v>
      </c>
      <c r="Y14">
        <v>5</v>
      </c>
      <c r="Z14">
        <v>7</v>
      </c>
      <c r="AA14">
        <v>10</v>
      </c>
      <c r="AC14" s="208">
        <v>43108</v>
      </c>
      <c r="AD14" t="s">
        <v>217</v>
      </c>
      <c r="AE14" t="s">
        <v>17</v>
      </c>
      <c r="AF14">
        <v>30636</v>
      </c>
      <c r="AG14">
        <v>0</v>
      </c>
      <c r="AH14">
        <v>40</v>
      </c>
      <c r="AI14" t="s">
        <v>210</v>
      </c>
      <c r="AJ14">
        <f t="shared" si="0"/>
        <v>4990</v>
      </c>
      <c r="AK14" s="13">
        <f t="shared" si="1"/>
        <v>1</v>
      </c>
      <c r="AL14" s="13">
        <f t="shared" si="2"/>
        <v>0</v>
      </c>
    </row>
    <row r="15" spans="1:38" x14ac:dyDescent="0.25">
      <c r="A15" t="s">
        <v>183</v>
      </c>
      <c r="B15" t="s">
        <v>123</v>
      </c>
      <c r="D15" t="s">
        <v>184</v>
      </c>
      <c r="E15">
        <v>46860</v>
      </c>
      <c r="F15">
        <v>3</v>
      </c>
      <c r="G15">
        <v>9</v>
      </c>
      <c r="H15">
        <v>4</v>
      </c>
      <c r="I15">
        <v>6</v>
      </c>
      <c r="J15">
        <v>20</v>
      </c>
      <c r="L15" s="208">
        <v>43111</v>
      </c>
      <c r="M15" t="s">
        <v>217</v>
      </c>
      <c r="N15" t="s">
        <v>17</v>
      </c>
      <c r="O15">
        <v>15588</v>
      </c>
      <c r="P15">
        <v>0</v>
      </c>
      <c r="Q15">
        <v>43</v>
      </c>
      <c r="R15" t="s">
        <v>210</v>
      </c>
      <c r="S15" t="s">
        <v>183</v>
      </c>
      <c r="U15" t="s">
        <v>235</v>
      </c>
      <c r="V15">
        <v>56060</v>
      </c>
      <c r="W15">
        <v>3</v>
      </c>
      <c r="X15">
        <v>9</v>
      </c>
      <c r="Y15">
        <v>6</v>
      </c>
      <c r="Z15">
        <v>7</v>
      </c>
      <c r="AA15">
        <v>20</v>
      </c>
      <c r="AC15" s="208">
        <v>43111</v>
      </c>
      <c r="AD15" t="s">
        <v>217</v>
      </c>
      <c r="AE15" t="s">
        <v>17</v>
      </c>
      <c r="AF15">
        <v>15588</v>
      </c>
      <c r="AG15">
        <v>0</v>
      </c>
      <c r="AH15">
        <v>43</v>
      </c>
      <c r="AI15" t="s">
        <v>210</v>
      </c>
      <c r="AJ15">
        <f t="shared" si="0"/>
        <v>9200</v>
      </c>
      <c r="AK15" s="13">
        <f t="shared" si="1"/>
        <v>2</v>
      </c>
      <c r="AL15" s="13">
        <f t="shared" si="2"/>
        <v>1</v>
      </c>
    </row>
    <row r="16" spans="1:38" x14ac:dyDescent="0.25">
      <c r="A16" s="14" t="s">
        <v>172</v>
      </c>
      <c r="B16" t="s">
        <v>123</v>
      </c>
      <c r="D16" t="s">
        <v>173</v>
      </c>
      <c r="E16">
        <v>274910</v>
      </c>
      <c r="F16">
        <v>3</v>
      </c>
      <c r="G16">
        <v>11</v>
      </c>
      <c r="H16">
        <v>7</v>
      </c>
      <c r="I16">
        <v>7</v>
      </c>
      <c r="J16">
        <v>20</v>
      </c>
      <c r="L16" s="208">
        <v>43111</v>
      </c>
      <c r="M16">
        <v>9</v>
      </c>
      <c r="N16" t="s">
        <v>215</v>
      </c>
      <c r="O16">
        <v>27570</v>
      </c>
      <c r="P16">
        <v>4</v>
      </c>
      <c r="Q16">
        <v>104</v>
      </c>
      <c r="R16" t="s">
        <v>210</v>
      </c>
      <c r="S16" t="s">
        <v>172</v>
      </c>
      <c r="U16" t="s">
        <v>230</v>
      </c>
      <c r="V16">
        <v>282330</v>
      </c>
      <c r="W16">
        <v>3</v>
      </c>
      <c r="X16">
        <v>11</v>
      </c>
      <c r="Y16">
        <v>7</v>
      </c>
      <c r="Z16">
        <v>8</v>
      </c>
      <c r="AA16">
        <v>20</v>
      </c>
      <c r="AC16" s="208">
        <v>43111</v>
      </c>
      <c r="AD16">
        <v>9</v>
      </c>
      <c r="AE16" t="s">
        <v>215</v>
      </c>
      <c r="AF16">
        <v>27570</v>
      </c>
      <c r="AG16">
        <v>4</v>
      </c>
      <c r="AH16">
        <v>104</v>
      </c>
      <c r="AI16" t="s">
        <v>210</v>
      </c>
      <c r="AJ16">
        <f t="shared" si="0"/>
        <v>7420</v>
      </c>
      <c r="AK16" s="13">
        <f t="shared" si="1"/>
        <v>0</v>
      </c>
      <c r="AL16" s="13">
        <f t="shared" si="2"/>
        <v>1</v>
      </c>
    </row>
    <row r="17" spans="1:38" x14ac:dyDescent="0.25">
      <c r="A17" s="14" t="s">
        <v>174</v>
      </c>
      <c r="D17" t="s">
        <v>175</v>
      </c>
      <c r="E17">
        <v>29750</v>
      </c>
      <c r="F17">
        <v>1</v>
      </c>
      <c r="G17">
        <v>12</v>
      </c>
      <c r="H17">
        <v>6</v>
      </c>
      <c r="I17">
        <v>6</v>
      </c>
      <c r="J17">
        <v>20</v>
      </c>
      <c r="L17" s="208">
        <v>43111</v>
      </c>
      <c r="M17" t="s">
        <v>213</v>
      </c>
      <c r="N17" t="s">
        <v>215</v>
      </c>
      <c r="O17">
        <v>18156</v>
      </c>
      <c r="P17">
        <v>0</v>
      </c>
      <c r="Q17">
        <v>65</v>
      </c>
      <c r="R17" t="s">
        <v>210</v>
      </c>
      <c r="S17" t="s">
        <v>174</v>
      </c>
      <c r="U17" t="s">
        <v>231</v>
      </c>
      <c r="V17">
        <v>29160</v>
      </c>
      <c r="W17">
        <v>1</v>
      </c>
      <c r="X17">
        <v>12</v>
      </c>
      <c r="Y17">
        <v>6</v>
      </c>
      <c r="Z17">
        <v>6</v>
      </c>
      <c r="AA17">
        <v>20</v>
      </c>
      <c r="AC17" s="208">
        <v>43111</v>
      </c>
      <c r="AD17" t="s">
        <v>213</v>
      </c>
      <c r="AE17" t="s">
        <v>215</v>
      </c>
      <c r="AF17">
        <v>18156</v>
      </c>
      <c r="AG17">
        <v>0</v>
      </c>
      <c r="AH17">
        <v>65</v>
      </c>
      <c r="AI17" t="s">
        <v>210</v>
      </c>
      <c r="AJ17">
        <f t="shared" si="0"/>
        <v>-590</v>
      </c>
      <c r="AK17" s="13">
        <f t="shared" si="1"/>
        <v>0</v>
      </c>
      <c r="AL17" s="13">
        <f t="shared" si="2"/>
        <v>0</v>
      </c>
    </row>
    <row r="18" spans="1:38" x14ac:dyDescent="0.25">
      <c r="A18" t="s">
        <v>176</v>
      </c>
      <c r="D18" s="207">
        <v>32110</v>
      </c>
      <c r="E18">
        <v>193370</v>
      </c>
      <c r="F18">
        <v>4</v>
      </c>
      <c r="G18">
        <v>13</v>
      </c>
      <c r="H18">
        <v>7</v>
      </c>
      <c r="I18">
        <v>6</v>
      </c>
      <c r="J18">
        <v>7</v>
      </c>
      <c r="L18" s="208">
        <v>43111</v>
      </c>
      <c r="M18" t="s">
        <v>214</v>
      </c>
      <c r="N18" t="s">
        <v>215</v>
      </c>
      <c r="O18">
        <v>52416</v>
      </c>
      <c r="P18">
        <v>1</v>
      </c>
      <c r="Q18">
        <v>88</v>
      </c>
      <c r="R18" t="s">
        <v>210</v>
      </c>
      <c r="S18" t="s">
        <v>176</v>
      </c>
      <c r="U18" s="207">
        <v>32111</v>
      </c>
      <c r="V18">
        <v>199650</v>
      </c>
      <c r="W18">
        <v>4</v>
      </c>
      <c r="X18">
        <v>13</v>
      </c>
      <c r="Y18">
        <v>7</v>
      </c>
      <c r="Z18">
        <v>6</v>
      </c>
      <c r="AA18">
        <v>7</v>
      </c>
      <c r="AC18" s="208">
        <v>43111</v>
      </c>
      <c r="AD18" t="s">
        <v>214</v>
      </c>
      <c r="AE18" t="s">
        <v>215</v>
      </c>
      <c r="AF18">
        <v>52416</v>
      </c>
      <c r="AG18">
        <v>1</v>
      </c>
      <c r="AH18">
        <v>88</v>
      </c>
      <c r="AI18" t="s">
        <v>210</v>
      </c>
      <c r="AJ18">
        <f t="shared" si="0"/>
        <v>6280</v>
      </c>
      <c r="AK18" s="13">
        <f t="shared" si="1"/>
        <v>0</v>
      </c>
      <c r="AL18" s="13">
        <f t="shared" si="2"/>
        <v>0</v>
      </c>
    </row>
    <row r="19" spans="1:38" x14ac:dyDescent="0.25">
      <c r="A19" s="14" t="s">
        <v>177</v>
      </c>
      <c r="B19" t="s">
        <v>123</v>
      </c>
      <c r="D19" t="s">
        <v>178</v>
      </c>
      <c r="E19">
        <v>56080</v>
      </c>
      <c r="F19">
        <v>3</v>
      </c>
      <c r="G19">
        <v>12</v>
      </c>
      <c r="H19">
        <v>7</v>
      </c>
      <c r="I19">
        <v>7</v>
      </c>
      <c r="J19">
        <v>20</v>
      </c>
      <c r="L19" s="208">
        <v>43104</v>
      </c>
      <c r="M19">
        <v>10</v>
      </c>
      <c r="N19" t="s">
        <v>215</v>
      </c>
      <c r="O19">
        <v>21480</v>
      </c>
      <c r="P19">
        <v>0</v>
      </c>
      <c r="Q19">
        <v>65</v>
      </c>
      <c r="R19" t="s">
        <v>210</v>
      </c>
      <c r="S19" t="s">
        <v>177</v>
      </c>
      <c r="U19" t="s">
        <v>232</v>
      </c>
      <c r="V19">
        <v>49360</v>
      </c>
      <c r="W19">
        <v>3</v>
      </c>
      <c r="X19">
        <v>12</v>
      </c>
      <c r="Y19">
        <v>6</v>
      </c>
      <c r="Z19">
        <v>7</v>
      </c>
      <c r="AA19">
        <v>20</v>
      </c>
      <c r="AC19" s="208">
        <v>43104</v>
      </c>
      <c r="AD19">
        <v>10</v>
      </c>
      <c r="AE19" t="s">
        <v>215</v>
      </c>
      <c r="AF19">
        <v>21480</v>
      </c>
      <c r="AG19">
        <v>0</v>
      </c>
      <c r="AH19">
        <v>65</v>
      </c>
      <c r="AI19" t="s">
        <v>210</v>
      </c>
      <c r="AJ19">
        <f t="shared" si="0"/>
        <v>-6720</v>
      </c>
      <c r="AK19" s="13">
        <f t="shared" si="1"/>
        <v>-1</v>
      </c>
      <c r="AL19" s="13">
        <f t="shared" si="2"/>
        <v>0</v>
      </c>
    </row>
    <row r="20" spans="1:38" x14ac:dyDescent="0.25">
      <c r="A20" s="14" t="s">
        <v>159</v>
      </c>
      <c r="D20" t="s">
        <v>160</v>
      </c>
      <c r="E20">
        <v>84120</v>
      </c>
      <c r="F20">
        <v>3</v>
      </c>
      <c r="G20">
        <v>10</v>
      </c>
      <c r="H20">
        <v>5</v>
      </c>
      <c r="I20">
        <v>7</v>
      </c>
      <c r="J20">
        <v>20</v>
      </c>
      <c r="L20" s="208">
        <v>43111</v>
      </c>
      <c r="M20">
        <v>9</v>
      </c>
      <c r="N20" t="s">
        <v>211</v>
      </c>
      <c r="O20">
        <v>34050</v>
      </c>
      <c r="P20">
        <v>0</v>
      </c>
      <c r="Q20">
        <v>3</v>
      </c>
      <c r="R20" t="s">
        <v>210</v>
      </c>
      <c r="S20" t="s">
        <v>159</v>
      </c>
      <c r="U20" t="s">
        <v>224</v>
      </c>
      <c r="V20">
        <v>79710</v>
      </c>
      <c r="W20">
        <v>3</v>
      </c>
      <c r="X20">
        <v>10</v>
      </c>
      <c r="Y20">
        <v>5</v>
      </c>
      <c r="Z20">
        <v>7</v>
      </c>
      <c r="AA20">
        <v>20</v>
      </c>
      <c r="AC20" s="208">
        <v>43111</v>
      </c>
      <c r="AD20">
        <v>9</v>
      </c>
      <c r="AE20" t="s">
        <v>211</v>
      </c>
      <c r="AF20">
        <v>34050</v>
      </c>
      <c r="AG20">
        <v>0</v>
      </c>
      <c r="AH20">
        <v>3</v>
      </c>
      <c r="AI20" t="s">
        <v>210</v>
      </c>
      <c r="AJ20">
        <f t="shared" si="0"/>
        <v>-4410</v>
      </c>
      <c r="AK20" s="13">
        <f t="shared" si="1"/>
        <v>0</v>
      </c>
      <c r="AL20" s="13">
        <f t="shared" si="2"/>
        <v>0</v>
      </c>
    </row>
    <row r="21" spans="1:38" x14ac:dyDescent="0.25">
      <c r="A21" t="s">
        <v>195</v>
      </c>
      <c r="D21" t="s">
        <v>196</v>
      </c>
      <c r="E21">
        <v>0</v>
      </c>
      <c r="F21">
        <v>5</v>
      </c>
      <c r="G21">
        <v>11</v>
      </c>
      <c r="H21">
        <v>4</v>
      </c>
      <c r="I21">
        <v>3</v>
      </c>
      <c r="J21">
        <v>20</v>
      </c>
      <c r="L21" s="208">
        <v>43097</v>
      </c>
      <c r="M21">
        <v>0</v>
      </c>
      <c r="N21" t="s">
        <v>211</v>
      </c>
      <c r="O21">
        <v>300</v>
      </c>
      <c r="P21">
        <v>0</v>
      </c>
      <c r="Q21">
        <v>80</v>
      </c>
      <c r="R21" t="s">
        <v>210</v>
      </c>
      <c r="S21" t="s">
        <v>195</v>
      </c>
      <c r="U21" s="207">
        <v>46100</v>
      </c>
      <c r="V21">
        <v>0</v>
      </c>
      <c r="W21">
        <v>5</v>
      </c>
      <c r="X21">
        <v>11</v>
      </c>
      <c r="Y21">
        <v>3</v>
      </c>
      <c r="Z21">
        <v>2</v>
      </c>
      <c r="AA21">
        <v>20</v>
      </c>
      <c r="AC21" s="208">
        <v>43097</v>
      </c>
      <c r="AD21">
        <v>0</v>
      </c>
      <c r="AE21" t="s">
        <v>211</v>
      </c>
      <c r="AF21">
        <v>300</v>
      </c>
      <c r="AG21">
        <v>0</v>
      </c>
      <c r="AH21">
        <v>80</v>
      </c>
      <c r="AI21" t="s">
        <v>210</v>
      </c>
      <c r="AJ21">
        <f t="shared" si="0"/>
        <v>0</v>
      </c>
      <c r="AK21" s="13">
        <f t="shared" si="1"/>
        <v>-1</v>
      </c>
      <c r="AL21" s="13">
        <f t="shared" si="2"/>
        <v>-1</v>
      </c>
    </row>
  </sheetData>
  <sortState ref="A2:AK21">
    <sortCondition ref="AE2:AE21"/>
  </sortState>
  <conditionalFormatting sqref="AJ2:AJ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{E532274F-0A76-4C68-9E1F-E6559891A524}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2274F-0A76-4C68-9E1F-E6559891A5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AJ2:AJ21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tabSelected="1" zoomScale="80" zoomScaleNormal="80" workbookViewId="0">
      <selection activeCell="C12" sqref="C12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6" t="s">
        <v>221</v>
      </c>
      <c r="B1" t="s">
        <v>145</v>
      </c>
      <c r="F1" s="204" t="s">
        <v>123</v>
      </c>
      <c r="G1" s="202">
        <f>IF(D3="SI",COUNTIF($F$6:$F$18,"RAP"),0)</f>
        <v>8</v>
      </c>
      <c r="H1" s="13"/>
      <c r="J1" s="205" t="s">
        <v>123</v>
      </c>
      <c r="K1" s="202">
        <f>IF(D3="SI",COUNTIF($J$6:$J$18,"RAP"),0)</f>
        <v>1</v>
      </c>
      <c r="L1" s="13"/>
      <c r="P1" s="211"/>
      <c r="Q1" s="211"/>
      <c r="R1" s="152">
        <v>0</v>
      </c>
      <c r="S1" s="153">
        <f>1+R1</f>
        <v>1</v>
      </c>
      <c r="AI1" s="160" t="s">
        <v>152</v>
      </c>
    </row>
    <row r="2" spans="1:70" x14ac:dyDescent="0.25">
      <c r="A2" s="206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3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12" t="s">
        <v>116</v>
      </c>
      <c r="C3" s="212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6" t="s">
        <v>75</v>
      </c>
      <c r="AK4" s="9" t="s">
        <v>14</v>
      </c>
      <c r="AM4" s="13" t="s">
        <v>153</v>
      </c>
      <c r="BH4">
        <v>0</v>
      </c>
      <c r="BI4">
        <v>1</v>
      </c>
      <c r="BJ4" s="107">
        <f t="shared" ref="BJ4:BJ13" si="0">$H$25*H40</f>
        <v>1.3813184411301832E-3</v>
      </c>
      <c r="BL4">
        <v>0</v>
      </c>
      <c r="BM4">
        <v>0</v>
      </c>
      <c r="BN4" s="107">
        <f>H25*H39</f>
        <v>2.7775955368196099E-4</v>
      </c>
      <c r="BP4">
        <v>1</v>
      </c>
      <c r="BQ4">
        <v>0</v>
      </c>
      <c r="BR4" s="107">
        <f>$H$26*H39</f>
        <v>1.4599970713355032E-3</v>
      </c>
    </row>
    <row r="5" spans="1:70" x14ac:dyDescent="0.25">
      <c r="A5" s="40" t="s">
        <v>150</v>
      </c>
      <c r="B5" s="161">
        <v>352</v>
      </c>
      <c r="C5" s="161">
        <v>541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16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>
        <f>IF($M$2="SI",Q5*$B$22/0.5*$S$1,Q5*$B$22/0.5*$S$2)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>
        <f>IF($M$2="SI",AA5*$C$22/0.5*$S$1,AA5*$C$22/0.5*$S$2)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I5" s="206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>
        <f t="shared" si="0"/>
        <v>3.1322344018260262E-3</v>
      </c>
      <c r="BL5">
        <v>1</v>
      </c>
      <c r="BM5">
        <v>1</v>
      </c>
      <c r="BN5" s="107">
        <f>$H$26*H40</f>
        <v>7.2606715120984364E-3</v>
      </c>
      <c r="BP5">
        <f>BP4+1</f>
        <v>2</v>
      </c>
      <c r="BQ5">
        <v>0</v>
      </c>
      <c r="BR5" s="107">
        <f>$H$27*H39</f>
        <v>3.251202128813681E-3</v>
      </c>
    </row>
    <row r="6" spans="1:70" x14ac:dyDescent="0.25">
      <c r="A6" s="2" t="s">
        <v>1</v>
      </c>
      <c r="B6" s="168">
        <v>13</v>
      </c>
      <c r="C6" s="169">
        <v>8.25</v>
      </c>
      <c r="E6" s="192" t="s">
        <v>17</v>
      </c>
      <c r="F6" s="167" t="s">
        <v>123</v>
      </c>
      <c r="G6" s="167"/>
      <c r="H6" s="10"/>
      <c r="I6" s="10"/>
      <c r="J6" s="166" t="s">
        <v>154</v>
      </c>
      <c r="K6" s="166">
        <v>14</v>
      </c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>
        <f>IF($M$2="SI",Q6*$B$22/0.5*$S$1,Q6*$B$22/0.5*$S$2)</f>
        <v>0</v>
      </c>
      <c r="S6" s="176">
        <f t="shared" ref="S6:S19" si="2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>COUNTIF(J11:J18,"IMP")*AI6*AK6</f>
        <v>0.127</v>
      </c>
      <c r="Z6" s="197" t="str">
        <f>Z3</f>
        <v>0,6</v>
      </c>
      <c r="AA6" s="19">
        <f t="shared" ref="AA6:AA19" si="3">Z6*Y6</f>
        <v>7.6200000000000004E-2</v>
      </c>
      <c r="AB6" s="157">
        <f t="shared" ref="AB6:AB19" si="4">IF($M$2="SI",AA6*$C$22/0.5*$S$1,AA6*$C$22/0.5*$S$2)</f>
        <v>5.9167058823529406E-2</v>
      </c>
      <c r="AC6" s="176">
        <f t="shared" ref="AC6:AC19" si="5">(1-AB6)</f>
        <v>0.94083294117647065</v>
      </c>
      <c r="AD6" s="177">
        <f>AB6*AC5*PRODUCT(AC7:AC19)</f>
        <v>4.4250442645471143E-2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1.3290196252379843E-2</v>
      </c>
      <c r="AF6" s="18"/>
      <c r="AG6" s="203">
        <f>IF(COUNTIF(F11:F18,"IMP")+COUNTIF(J11:J18,"IMP")=0,0,COUNTIF(F11:F18,"IMP")/(COUNTIF(F11:F18,"IMP")+COUNTIF(J11:J18,"IMP")))</f>
        <v>0</v>
      </c>
      <c r="AI6" s="206">
        <f t="shared" ref="AI6:AI19" si="6">IF(AN6=0,(AM6*2*$AI$2/2)+SUM($AN$5:$AN$19),0)</f>
        <v>0.127</v>
      </c>
      <c r="AK6" s="203">
        <f>IF(COUNTIF(F11:F18,"IMP")+COUNTIF(J11:J18,"IMP")=0,0,COUNTIF(J11:J18,"IMP")/(COUNTIF(F11:F18,"IMP")+COUNTIF(J11:J18,"IMP")))</f>
        <v>1</v>
      </c>
      <c r="AM6" s="13">
        <v>0.05</v>
      </c>
      <c r="AN6">
        <f t="shared" ref="AN6:AN19" si="7">IF(AK6+AG6=0,AM6*2/10,0)</f>
        <v>0</v>
      </c>
      <c r="BH6">
        <v>0</v>
      </c>
      <c r="BI6">
        <v>3</v>
      </c>
      <c r="BJ6" s="107">
        <f t="shared" si="0"/>
        <v>4.3036848401919875E-3</v>
      </c>
      <c r="BL6">
        <f>BH14+1</f>
        <v>2</v>
      </c>
      <c r="BM6">
        <v>2</v>
      </c>
      <c r="BN6" s="107">
        <f>$H$27*H41</f>
        <v>3.6663103105430972E-2</v>
      </c>
      <c r="BP6">
        <f>BL5+1</f>
        <v>2</v>
      </c>
      <c r="BQ6">
        <v>1</v>
      </c>
      <c r="BR6" s="107">
        <f>$H$27*H40</f>
        <v>1.6168464403259555E-2</v>
      </c>
    </row>
    <row r="7" spans="1:70" x14ac:dyDescent="0.25">
      <c r="A7" s="5" t="s">
        <v>2</v>
      </c>
      <c r="B7" s="168">
        <v>8.75</v>
      </c>
      <c r="C7" s="169">
        <v>18</v>
      </c>
      <c r="E7" s="192" t="s">
        <v>18</v>
      </c>
      <c r="F7" s="167"/>
      <c r="G7" s="167"/>
      <c r="H7" s="10"/>
      <c r="I7" s="10"/>
      <c r="J7" s="166" t="s">
        <v>16</v>
      </c>
      <c r="K7" s="166">
        <v>12</v>
      </c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8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13"/>
      <c r="AI7" s="206"/>
      <c r="AK7" s="13"/>
      <c r="AM7" s="13">
        <v>0</v>
      </c>
      <c r="BH7">
        <v>0</v>
      </c>
      <c r="BI7">
        <v>4</v>
      </c>
      <c r="BJ7" s="107">
        <f t="shared" si="0"/>
        <v>4.0191427264795812E-3</v>
      </c>
      <c r="BL7">
        <f>BH23+1</f>
        <v>3</v>
      </c>
      <c r="BM7">
        <v>3</v>
      </c>
      <c r="BN7" s="107">
        <f>$H$28*H42</f>
        <v>6.3976476904600302E-2</v>
      </c>
      <c r="BP7">
        <f>BP5+1</f>
        <v>3</v>
      </c>
      <c r="BQ7">
        <v>0</v>
      </c>
      <c r="BR7" s="107">
        <f>$H$28*H39</f>
        <v>4.1290378666234634E-3</v>
      </c>
    </row>
    <row r="8" spans="1:70" x14ac:dyDescent="0.25">
      <c r="A8" s="5" t="s">
        <v>3</v>
      </c>
      <c r="B8" s="168">
        <v>9</v>
      </c>
      <c r="C8" s="169">
        <v>22.25</v>
      </c>
      <c r="E8" s="192" t="s">
        <v>18</v>
      </c>
      <c r="F8" s="167"/>
      <c r="G8" s="167"/>
      <c r="H8" s="10"/>
      <c r="I8" s="10"/>
      <c r="J8" s="166" t="s">
        <v>16</v>
      </c>
      <c r="K8" s="166">
        <v>11</v>
      </c>
      <c r="L8" s="10"/>
      <c r="M8" s="10"/>
      <c r="O8" s="67">
        <f>COUNTIF(F6:F18,"IMP")*AI8*AG8</f>
        <v>0</v>
      </c>
      <c r="P8" s="196" t="str">
        <f>P3</f>
        <v>0,6</v>
      </c>
      <c r="Q8" s="16">
        <f t="shared" si="1"/>
        <v>0</v>
      </c>
      <c r="R8" s="157">
        <f t="shared" si="8"/>
        <v>0</v>
      </c>
      <c r="S8" s="176">
        <f t="shared" si="2"/>
        <v>1</v>
      </c>
      <c r="T8" s="177">
        <f>R8*PRODUCT(S5:S7)*PRODUCT(S9:S19)</f>
        <v>0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0</v>
      </c>
      <c r="W8" s="186" t="s">
        <v>42</v>
      </c>
      <c r="X8" s="15" t="s">
        <v>43</v>
      </c>
      <c r="Y8" s="69">
        <f>COUNTIF(J6:J18,"IMP")*AI8*AK8</f>
        <v>0.127</v>
      </c>
      <c r="Z8" s="197" t="str">
        <f>Z3</f>
        <v>0,6</v>
      </c>
      <c r="AA8" s="19">
        <f t="shared" si="3"/>
        <v>7.6200000000000004E-2</v>
      </c>
      <c r="AB8" s="157">
        <f t="shared" si="4"/>
        <v>5.9167058823529406E-2</v>
      </c>
      <c r="AC8" s="176">
        <f t="shared" si="5"/>
        <v>0.94083294117647065</v>
      </c>
      <c r="AD8" s="177">
        <f>AB8*PRODUCT(AC5:AC7)*PRODUCT(AC9:AC19)</f>
        <v>4.4250442645471143E-2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1.0507376446243062E-2</v>
      </c>
      <c r="AG8" s="203">
        <f>IF(COUNTIF(F6:F18,"IMP")+COUNTIF(J6:J18,"IMP")=0,0,COUNTIF(F6:F18,"IMP")/(COUNTIF(F6:F18,"IMP")+COUNTIF(J6:J18,"IMP")))</f>
        <v>0</v>
      </c>
      <c r="AI8" s="206">
        <f t="shared" si="6"/>
        <v>0.127</v>
      </c>
      <c r="AK8" s="203">
        <f>IF(COUNTIF(F6:F18,"IMP")+COUNTIF(J6:J18,"IMP")=0,0,COUNTIF(J6:J18,"IMP")/(COUNTIF(F6:F18,"IMP")+COUNTIF(J6:J18,"IMP")))</f>
        <v>1</v>
      </c>
      <c r="AM8" s="13">
        <v>0.05</v>
      </c>
      <c r="AN8">
        <f t="shared" si="7"/>
        <v>0</v>
      </c>
      <c r="BH8">
        <v>0</v>
      </c>
      <c r="BI8">
        <v>5</v>
      </c>
      <c r="BJ8" s="107">
        <f t="shared" si="0"/>
        <v>2.7142411137565932E-3</v>
      </c>
      <c r="BL8">
        <f>BH31+1</f>
        <v>4</v>
      </c>
      <c r="BM8">
        <v>4</v>
      </c>
      <c r="BN8" s="107">
        <f>$H$29*H43</f>
        <v>4.8977209460934541E-2</v>
      </c>
      <c r="BP8">
        <f>BP6+1</f>
        <v>3</v>
      </c>
      <c r="BQ8">
        <v>1</v>
      </c>
      <c r="BR8" s="107">
        <f>$H$28*H40</f>
        <v>2.0534005306699313E-2</v>
      </c>
    </row>
    <row r="9" spans="1:70" x14ac:dyDescent="0.25">
      <c r="A9" s="5" t="s">
        <v>4</v>
      </c>
      <c r="B9" s="168">
        <v>5.75</v>
      </c>
      <c r="C9" s="169">
        <v>17</v>
      </c>
      <c r="E9" s="192" t="s">
        <v>18</v>
      </c>
      <c r="F9" s="167" t="s">
        <v>123</v>
      </c>
      <c r="G9" s="167"/>
      <c r="H9" s="10"/>
      <c r="I9" s="10"/>
      <c r="J9" s="166" t="s">
        <v>154</v>
      </c>
      <c r="K9" s="166">
        <v>11</v>
      </c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>
        <f t="shared" si="8"/>
        <v>0</v>
      </c>
      <c r="S9" s="176">
        <f t="shared" si="2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>
        <f t="shared" si="4"/>
        <v>0</v>
      </c>
      <c r="AC9" s="176">
        <f t="shared" si="5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0</v>
      </c>
      <c r="AI9" s="206">
        <f t="shared" si="6"/>
        <v>0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5.0000000000000001E-3</v>
      </c>
      <c r="BH9">
        <v>0</v>
      </c>
      <c r="BI9">
        <v>6</v>
      </c>
      <c r="BJ9" s="107">
        <f t="shared" si="0"/>
        <v>1.3771741963693742E-3</v>
      </c>
      <c r="BL9">
        <f>BH38+1</f>
        <v>5</v>
      </c>
      <c r="BM9">
        <v>5</v>
      </c>
      <c r="BN9" s="107">
        <f>$H$30*H44</f>
        <v>1.8684510179701973E-2</v>
      </c>
      <c r="BP9">
        <f>BL6+1</f>
        <v>3</v>
      </c>
      <c r="BQ9">
        <v>2</v>
      </c>
      <c r="BR9" s="107">
        <f>$H$28*H41</f>
        <v>4.6562266826972842E-2</v>
      </c>
    </row>
    <row r="10" spans="1:70" x14ac:dyDescent="0.25">
      <c r="A10" s="6" t="s">
        <v>5</v>
      </c>
      <c r="B10" s="168">
        <v>13.25</v>
      </c>
      <c r="C10" s="169">
        <v>12.75</v>
      </c>
      <c r="E10" s="192" t="s">
        <v>17</v>
      </c>
      <c r="F10" s="167"/>
      <c r="G10" s="167"/>
      <c r="H10" s="10"/>
      <c r="I10" s="10"/>
      <c r="J10" s="166" t="s">
        <v>16</v>
      </c>
      <c r="K10" s="166">
        <v>11</v>
      </c>
      <c r="L10" s="10"/>
      <c r="M10" s="10"/>
      <c r="O10" s="67">
        <f>COUNTIF(F11:F18,"RAP")*AI10*AG10</f>
        <v>0.65314285714285714</v>
      </c>
      <c r="P10" s="196" t="str">
        <f>R3</f>
        <v>0,72</v>
      </c>
      <c r="Q10" s="16">
        <f t="shared" si="1"/>
        <v>0.47026285714285709</v>
      </c>
      <c r="R10" s="157">
        <f>IF($M$2="SI",Q10*$B$22/0.5*$S$1,Q10*$B$22/0.5*$S$2)</f>
        <v>0.57538043697478991</v>
      </c>
      <c r="S10" s="176">
        <f t="shared" si="2"/>
        <v>0.42461956302521009</v>
      </c>
      <c r="T10" s="177">
        <f>R10*PRODUCT(S5:S9)*PRODUCT(S11:S19)</f>
        <v>0.17960253727930589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0.30312478383939589</v>
      </c>
      <c r="W10" s="186" t="s">
        <v>46</v>
      </c>
      <c r="X10" s="15" t="s">
        <v>47</v>
      </c>
      <c r="Y10" s="69">
        <f>COUNTIF(J11:J18,"RAP")*AI10*AK10</f>
        <v>1.8142857142857141E-2</v>
      </c>
      <c r="Z10" s="197" t="str">
        <f>AB3</f>
        <v>0,72</v>
      </c>
      <c r="AA10" s="19">
        <f t="shared" si="3"/>
        <v>1.3062857142857142E-2</v>
      </c>
      <c r="AB10" s="157">
        <f t="shared" si="4"/>
        <v>1.0142924369747897E-2</v>
      </c>
      <c r="AC10" s="176">
        <f t="shared" si="5"/>
        <v>0.98985707563025205</v>
      </c>
      <c r="AD10" s="177">
        <f>AB10*PRODUCT(AC5:AC9)*PRODUCT(AC11:AC19)</f>
        <v>7.2100926996657528E-3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1.6381734535149029E-3</v>
      </c>
      <c r="AG10" s="203">
        <f>IF(COUNTIF(F11:F18,"RAP")+COUNTIF(J11:J18,"RAP")=0,0,COUNTIF(F11:F18,"RAP")/(COUNTIF(F11:F18,"RAP")+COUNTIF(J11:J18,"RAP")))</f>
        <v>0.8571428571428571</v>
      </c>
      <c r="AI10" s="206">
        <f t="shared" si="6"/>
        <v>0.127</v>
      </c>
      <c r="AK10" s="203">
        <f>IF(COUNTIF(F11:F18,"RAP")+COUNTIF(J11:J18,"RAP")=0,0,COUNTIF(J11:J18,"RAP")/(COUNTIF(F11:F18,"RAP")+COUNTIF(J11:J18,"RAP")))</f>
        <v>0.14285714285714285</v>
      </c>
      <c r="AM10" s="13">
        <v>0.05</v>
      </c>
      <c r="AN10">
        <f t="shared" si="7"/>
        <v>0</v>
      </c>
      <c r="BH10">
        <v>0</v>
      </c>
      <c r="BI10">
        <v>7</v>
      </c>
      <c r="BJ10" s="107">
        <f t="shared" si="0"/>
        <v>5.3787355128760619E-4</v>
      </c>
      <c r="BL10">
        <f>BH44+1</f>
        <v>6</v>
      </c>
      <c r="BM10">
        <v>6</v>
      </c>
      <c r="BN10" s="107">
        <f>$H$31*H45</f>
        <v>3.8279832620216722E-3</v>
      </c>
      <c r="BP10">
        <f>BP7+1</f>
        <v>4</v>
      </c>
      <c r="BQ10">
        <v>0</v>
      </c>
      <c r="BR10" s="107">
        <f>$H$29*H39</f>
        <v>3.3847735117316707E-3</v>
      </c>
    </row>
    <row r="11" spans="1:70" x14ac:dyDescent="0.25">
      <c r="A11" s="6" t="s">
        <v>6</v>
      </c>
      <c r="B11" s="168">
        <v>15.5</v>
      </c>
      <c r="C11" s="169">
        <v>7</v>
      </c>
      <c r="E11" s="192" t="s">
        <v>19</v>
      </c>
      <c r="F11" s="167" t="s">
        <v>123</v>
      </c>
      <c r="G11" s="167"/>
      <c r="H11" s="10"/>
      <c r="I11" s="10"/>
      <c r="J11" s="166" t="s">
        <v>123</v>
      </c>
      <c r="K11" s="166">
        <v>8</v>
      </c>
      <c r="L11" s="10"/>
      <c r="M11" s="10"/>
      <c r="O11" s="67">
        <f>COUNTIF(F11:F18,"RAP")*AI11*AG11</f>
        <v>0.65314285714285714</v>
      </c>
      <c r="P11" s="196" t="str">
        <f>R3</f>
        <v>0,72</v>
      </c>
      <c r="Q11" s="16">
        <f t="shared" si="1"/>
        <v>0.47026285714285709</v>
      </c>
      <c r="R11" s="157">
        <f t="shared" si="8"/>
        <v>0.57538043697478991</v>
      </c>
      <c r="S11" s="176">
        <f t="shared" si="2"/>
        <v>0.42461956302521009</v>
      </c>
      <c r="T11" s="177">
        <f>R11*PRODUCT(S5:S10)*PRODUCT(S12:S19)</f>
        <v>0.17960253727930589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5.9754493395635488E-2</v>
      </c>
      <c r="W11" s="186" t="s">
        <v>48</v>
      </c>
      <c r="X11" s="15" t="s">
        <v>49</v>
      </c>
      <c r="Y11" s="69">
        <f>COUNTIF(J11:J18,"RAP")*AI11*AK11</f>
        <v>1.8142857142857141E-2</v>
      </c>
      <c r="Z11" s="197" t="str">
        <f>AB3</f>
        <v>0,72</v>
      </c>
      <c r="AA11" s="19">
        <f t="shared" si="3"/>
        <v>1.3062857142857142E-2</v>
      </c>
      <c r="AB11" s="157">
        <f t="shared" si="4"/>
        <v>1.0142924369747897E-2</v>
      </c>
      <c r="AC11" s="176">
        <f t="shared" si="5"/>
        <v>0.98985707563025205</v>
      </c>
      <c r="AD11" s="177">
        <f>AB11*PRODUCT(AC5:AC10)*PRODUCT(AC12:AC19)</f>
        <v>7.2100926996657528E-3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1.5642926612752582E-3</v>
      </c>
      <c r="AG11" s="203">
        <f>IF(COUNTIF(F11:F18,"RAP")+COUNTIF(J11:J18,"RAP")=0,0,COUNTIF(F11:F18,"RAP")/(COUNTIF(F11:F18,"RAP")+COUNTIF(J11:J18,"RAP")))</f>
        <v>0.8571428571428571</v>
      </c>
      <c r="AI11" s="206">
        <f t="shared" si="6"/>
        <v>0.127</v>
      </c>
      <c r="AK11" s="203">
        <f>IF(COUNTIF(F11:F18,"RAP")+COUNTIF(J11:J18,"RAP")=0,0,COUNTIF(J11:J18,"RAP")/(COUNTIF(F11:F18,"RAP")+COUNTIF(J11:J18,"RAP")))</f>
        <v>0.14285714285714285</v>
      </c>
      <c r="AM11" s="13">
        <v>0.05</v>
      </c>
      <c r="AN11">
        <f t="shared" si="7"/>
        <v>0</v>
      </c>
      <c r="BH11">
        <v>0</v>
      </c>
      <c r="BI11">
        <v>8</v>
      </c>
      <c r="BJ11" s="107">
        <f t="shared" si="0"/>
        <v>1.6361633579733381E-4</v>
      </c>
      <c r="BL11">
        <f>BH50+1</f>
        <v>7</v>
      </c>
      <c r="BM11">
        <v>7</v>
      </c>
      <c r="BN11" s="107">
        <f>$H$32*H46</f>
        <v>4.3957731484426391E-4</v>
      </c>
      <c r="BP11">
        <f>BP8+1</f>
        <v>4</v>
      </c>
      <c r="BQ11">
        <v>1</v>
      </c>
      <c r="BR11" s="107">
        <f>$H$29*H40</f>
        <v>1.6832724595163308E-2</v>
      </c>
    </row>
    <row r="12" spans="1:70" x14ac:dyDescent="0.25">
      <c r="A12" s="6" t="s">
        <v>7</v>
      </c>
      <c r="B12" s="168">
        <v>7</v>
      </c>
      <c r="C12" s="169">
        <v>12.5</v>
      </c>
      <c r="E12" s="192" t="s">
        <v>19</v>
      </c>
      <c r="F12" s="167" t="s">
        <v>16</v>
      </c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8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G12" s="13"/>
      <c r="AI12" s="206"/>
      <c r="AK12" s="13"/>
      <c r="AM12" s="13">
        <v>0</v>
      </c>
      <c r="BH12">
        <v>0</v>
      </c>
      <c r="BI12">
        <v>9</v>
      </c>
      <c r="BJ12" s="107">
        <f t="shared" si="0"/>
        <v>3.8539325875069156E-5</v>
      </c>
      <c r="BL12">
        <f>BH54+1</f>
        <v>8</v>
      </c>
      <c r="BM12">
        <v>8</v>
      </c>
      <c r="BN12" s="107">
        <f>$H$33*H47</f>
        <v>2.8759567210037457E-5</v>
      </c>
      <c r="BP12">
        <f>BP9+1</f>
        <v>4</v>
      </c>
      <c r="BQ12">
        <v>2</v>
      </c>
      <c r="BR12" s="107">
        <f>$H$29*H41</f>
        <v>3.816935869638808E-2</v>
      </c>
    </row>
    <row r="13" spans="1:70" x14ac:dyDescent="0.25">
      <c r="A13" s="7" t="s">
        <v>8</v>
      </c>
      <c r="B13" s="168">
        <v>8.5</v>
      </c>
      <c r="C13" s="169">
        <v>12.5</v>
      </c>
      <c r="E13" s="192" t="s">
        <v>19</v>
      </c>
      <c r="F13" s="167" t="s">
        <v>123</v>
      </c>
      <c r="G13" s="167"/>
      <c r="H13" s="10"/>
      <c r="I13" s="10"/>
      <c r="J13" s="166" t="s">
        <v>21</v>
      </c>
      <c r="K13" s="166">
        <v>13</v>
      </c>
      <c r="L13" s="10"/>
      <c r="M13" s="10"/>
      <c r="O13" s="67">
        <f>AI13*B22/0.5</f>
        <v>0.30221176470588235</v>
      </c>
      <c r="P13" s="196" t="str">
        <f>P2</f>
        <v>0,4</v>
      </c>
      <c r="Q13" s="16">
        <f t="shared" si="1"/>
        <v>0.12088470588235295</v>
      </c>
      <c r="R13" s="157">
        <f t="shared" si="8"/>
        <v>0.1479059930795848</v>
      </c>
      <c r="S13" s="176">
        <f t="shared" si="2"/>
        <v>0.85209400692041526</v>
      </c>
      <c r="T13" s="177">
        <f>R13*PRODUCT(S5:S12)*PRODUCT(S14:S19)</f>
        <v>2.300676921657719E-2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3.6609436179197391E-3</v>
      </c>
      <c r="W13" s="186" t="s">
        <v>52</v>
      </c>
      <c r="X13" s="15" t="s">
        <v>53</v>
      </c>
      <c r="Y13" s="69">
        <f>AI13*C22/0.5</f>
        <v>0.19178823529411762</v>
      </c>
      <c r="Z13" s="197" t="str">
        <f>Z2</f>
        <v>0,4</v>
      </c>
      <c r="AA13" s="19">
        <f t="shared" si="3"/>
        <v>7.6715294117647048E-2</v>
      </c>
      <c r="AB13" s="157">
        <f t="shared" si="4"/>
        <v>5.9567169550172994E-2</v>
      </c>
      <c r="AC13" s="176">
        <f t="shared" si="5"/>
        <v>0.94043283044982706</v>
      </c>
      <c r="AD13" s="177">
        <f>AB13*PRODUCT(AC5:AC12)*PRODUCT(AC14:AC19)</f>
        <v>4.4568635227596562E-2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6.8465704949614622E-3</v>
      </c>
      <c r="AG13" s="13"/>
      <c r="AI13" s="206">
        <f>(AM13*$AI$2/2)+SUM($AN$5:$AN$19)</f>
        <v>0.247</v>
      </c>
      <c r="AK13" s="13"/>
      <c r="AM13" s="13">
        <v>0.22</v>
      </c>
      <c r="BH13">
        <v>0</v>
      </c>
      <c r="BI13">
        <v>10</v>
      </c>
      <c r="BJ13" s="107">
        <f t="shared" si="0"/>
        <v>6.7989969198621592E-6</v>
      </c>
      <c r="BL13">
        <f>BH57+1</f>
        <v>9</v>
      </c>
      <c r="BM13">
        <v>9</v>
      </c>
      <c r="BN13" s="107">
        <f>$H$34*H48</f>
        <v>1.0563397672866225E-6</v>
      </c>
      <c r="BP13">
        <f>BL7+1</f>
        <v>4</v>
      </c>
      <c r="BQ13">
        <v>3</v>
      </c>
      <c r="BR13" s="107">
        <f>$H$29*H42</f>
        <v>5.2444635141523976E-2</v>
      </c>
    </row>
    <row r="14" spans="1:70" x14ac:dyDescent="0.25">
      <c r="A14" s="7" t="s">
        <v>9</v>
      </c>
      <c r="B14" s="168">
        <v>7.25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146</v>
      </c>
      <c r="K14" s="166">
        <v>14</v>
      </c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0.15</v>
      </c>
      <c r="Q14" s="16">
        <f t="shared" si="1"/>
        <v>0</v>
      </c>
      <c r="R14" s="157">
        <f t="shared" si="8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IF(COUNTIF(J6:J18,"CAB")&gt;0,AI14*C22/0.5,0)</f>
        <v>0.11802352941176469</v>
      </c>
      <c r="Z14" s="197">
        <f>IF(COUNTIF(J6:J18,"CAB")-COUNTIF(F6:F18,"CAB")&gt;3,0.8,IF(COUNTIF(J6:J18,"CAB")-COUNTIF(F6:F18,"CAB")&gt;0,0.6,IF(COUNTIF(J6:J18,"CAB")-COUNTIF(F6:F18,"CAB")=0,0.4,0.15)))</f>
        <v>0.6</v>
      </c>
      <c r="AA14" s="19">
        <f t="shared" si="3"/>
        <v>7.0814117647058819E-2</v>
      </c>
      <c r="AB14" s="157">
        <f t="shared" si="4"/>
        <v>5.4985079584775075E-2</v>
      </c>
      <c r="AC14" s="176">
        <f t="shared" si="5"/>
        <v>0.94501492041522495</v>
      </c>
      <c r="AD14" s="177">
        <f>AB14*PRODUCT(AC5:AC13)*PRODUCT(AC15:AC19)</f>
        <v>4.0940801971310406E-2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3.9071539169886101E-3</v>
      </c>
      <c r="AG14" s="13"/>
      <c r="AI14" s="206">
        <f>IF(COUNTIF(J6:J18,"CAB")+COUNTIF(F6:F18,"CAB")=0,0,(AM14*$AI$2/2)+SUM($AN$5:$AN$19))</f>
        <v>0.152</v>
      </c>
      <c r="AK14" s="13"/>
      <c r="AM14" s="13">
        <v>0.125</v>
      </c>
      <c r="AN14">
        <f>IF(COUNTIF(J6:J18,"CAB")+COUNTIF(F6:F18,"CAB")=0,AM14*2/10,0)</f>
        <v>0</v>
      </c>
      <c r="BH14">
        <v>1</v>
      </c>
      <c r="BI14">
        <v>2</v>
      </c>
      <c r="BJ14" s="107">
        <f t="shared" ref="BJ14:BJ22" si="9">$H$26*H41</f>
        <v>1.6464071146364698E-2</v>
      </c>
      <c r="BL14">
        <f>BP39+1</f>
        <v>10</v>
      </c>
      <c r="BM14">
        <v>10</v>
      </c>
      <c r="BN14" s="107">
        <f>$H$35*H49</f>
        <v>2.0531993072057191E-8</v>
      </c>
      <c r="BP14">
        <f>BP10+1</f>
        <v>5</v>
      </c>
      <c r="BQ14">
        <v>0</v>
      </c>
      <c r="BR14" s="107">
        <f>$H$30*H39</f>
        <v>1.9120634426973337E-3</v>
      </c>
    </row>
    <row r="15" spans="1:70" x14ac:dyDescent="0.25">
      <c r="A15" s="189" t="s">
        <v>71</v>
      </c>
      <c r="B15" s="170">
        <v>9</v>
      </c>
      <c r="C15" s="171">
        <v>8.25</v>
      </c>
      <c r="E15" s="192" t="s">
        <v>20</v>
      </c>
      <c r="F15" s="167" t="s">
        <v>16</v>
      </c>
      <c r="G15" s="167"/>
      <c r="H15" s="10"/>
      <c r="I15" s="10"/>
      <c r="J15" s="166" t="s">
        <v>21</v>
      </c>
      <c r="K15" s="166">
        <v>14</v>
      </c>
      <c r="L15" s="10"/>
      <c r="M15" s="10"/>
      <c r="O15" s="67"/>
      <c r="P15" s="196">
        <v>0.5</v>
      </c>
      <c r="Q15" s="16">
        <f t="shared" si="1"/>
        <v>0</v>
      </c>
      <c r="R15" s="157">
        <f t="shared" si="8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G15" s="13"/>
      <c r="AI15" s="206"/>
      <c r="AK15" s="13"/>
      <c r="AM15" s="13">
        <v>0</v>
      </c>
      <c r="BH15">
        <v>1</v>
      </c>
      <c r="BI15">
        <v>3</v>
      </c>
      <c r="BJ15" s="107">
        <f t="shared" si="9"/>
        <v>2.2621606275425751E-2</v>
      </c>
      <c r="BP15">
        <f>BP11+1</f>
        <v>5</v>
      </c>
      <c r="BQ15">
        <v>1</v>
      </c>
      <c r="BR15" s="107">
        <f>$H$30*H40</f>
        <v>9.5088304218434606E-3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12.181818181818182</v>
      </c>
      <c r="E16" s="192" t="s">
        <v>22</v>
      </c>
      <c r="F16" s="167" t="s">
        <v>123</v>
      </c>
      <c r="G16" s="167"/>
      <c r="H16" s="10"/>
      <c r="I16" s="10"/>
      <c r="J16" s="166"/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8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G16" s="13"/>
      <c r="AI16" s="206"/>
      <c r="AK16" s="13"/>
      <c r="AM16" s="13">
        <v>0</v>
      </c>
      <c r="BH16">
        <v>1</v>
      </c>
      <c r="BI16">
        <v>4</v>
      </c>
      <c r="BJ16" s="107">
        <f t="shared" si="9"/>
        <v>2.1125957801107563E-2</v>
      </c>
      <c r="BP16">
        <f>BP12+1</f>
        <v>5</v>
      </c>
      <c r="BQ16">
        <v>2</v>
      </c>
      <c r="BR16" s="107">
        <f>$H$30*H41</f>
        <v>2.1561925825053813E-2</v>
      </c>
    </row>
    <row r="17" spans="1:70" x14ac:dyDescent="0.25">
      <c r="A17" s="188" t="s">
        <v>10</v>
      </c>
      <c r="B17" s="172" t="s">
        <v>222</v>
      </c>
      <c r="C17" s="173" t="s">
        <v>223</v>
      </c>
      <c r="E17" s="192" t="s">
        <v>22</v>
      </c>
      <c r="F17" s="167" t="s">
        <v>123</v>
      </c>
      <c r="G17" s="167"/>
      <c r="H17" s="10"/>
      <c r="I17" s="10"/>
      <c r="J17" s="166" t="s">
        <v>21</v>
      </c>
      <c r="K17" s="166">
        <v>10</v>
      </c>
      <c r="L17" s="10"/>
      <c r="M17" s="10"/>
      <c r="O17" s="67">
        <f>(AI17*2)*IF(COUNTBLANK(F14:F15)&lt;&gt;0, (2-COUNTBLANK(F14:F15))/2,1)*AG17</f>
        <v>0.187</v>
      </c>
      <c r="P17" s="196" t="str">
        <f>IF(COUNTIF(F14:F18,"CAB")&gt;0,0.95,P3)</f>
        <v>0,6</v>
      </c>
      <c r="Q17" s="16">
        <f t="shared" si="1"/>
        <v>0.11219999999999999</v>
      </c>
      <c r="R17" s="157">
        <f t="shared" si="8"/>
        <v>0.13728000000000001</v>
      </c>
      <c r="S17" s="176">
        <f t="shared" si="2"/>
        <v>0.86271999999999993</v>
      </c>
      <c r="T17" s="177">
        <f>R17*PRODUCT(S5:S16)*PRODUCT(S18:S19)</f>
        <v>2.1090883821214993E-2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(2-COUNTBLANK(J14:J15))/2,1)*AK17</f>
        <v>0.187</v>
      </c>
      <c r="Z17" s="197" t="str">
        <f>IF(COUNTIF(J14:J18,"CAB")&gt;0,0.95,Z3)</f>
        <v>0,6</v>
      </c>
      <c r="AA17" s="19">
        <f t="shared" si="3"/>
        <v>0.11219999999999999</v>
      </c>
      <c r="AB17" s="157">
        <f t="shared" si="4"/>
        <v>8.7119999999999989E-2</v>
      </c>
      <c r="AC17" s="176">
        <f t="shared" si="5"/>
        <v>0.91288000000000002</v>
      </c>
      <c r="AD17" s="177">
        <f>AB17*PRODUCT(AC5:AC16)*PRODUCT(AC18:AC19)</f>
        <v>6.7151284963046565E-2</v>
      </c>
      <c r="AE17" s="177">
        <f>AB17*AB18*PRODUCT(AC5:AC16)*AC19+AB17*AB19*PRODUCT(AC5:AC16)*AC18</f>
        <v>0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0.5</v>
      </c>
      <c r="AI17" s="206">
        <f t="shared" si="6"/>
        <v>0.187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0.5</v>
      </c>
      <c r="AM17" s="13">
        <v>0.08</v>
      </c>
      <c r="AN17">
        <f t="shared" si="7"/>
        <v>0</v>
      </c>
      <c r="BH17">
        <v>1</v>
      </c>
      <c r="BI17">
        <v>5</v>
      </c>
      <c r="BJ17" s="107">
        <f t="shared" si="9"/>
        <v>1.4266958685858526E-2</v>
      </c>
      <c r="BP17">
        <f>BP13+1</f>
        <v>5</v>
      </c>
      <c r="BQ17">
        <v>3</v>
      </c>
      <c r="BR17" s="107">
        <f>$H$30*H42</f>
        <v>2.962605009527073E-2</v>
      </c>
    </row>
    <row r="18" spans="1:70" x14ac:dyDescent="0.25">
      <c r="A18" s="188" t="s">
        <v>12</v>
      </c>
      <c r="B18" s="172">
        <v>20</v>
      </c>
      <c r="C18" s="173">
        <v>22</v>
      </c>
      <c r="E18" s="192" t="s">
        <v>22</v>
      </c>
      <c r="F18" s="167" t="s">
        <v>123</v>
      </c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>
        <f t="shared" si="8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G18" s="203"/>
      <c r="AI18" s="206"/>
      <c r="AK18" s="203"/>
      <c r="AM18" s="13">
        <v>0</v>
      </c>
      <c r="BH18">
        <v>1</v>
      </c>
      <c r="BI18">
        <v>6</v>
      </c>
      <c r="BJ18" s="107">
        <f t="shared" si="9"/>
        <v>7.2388879761823071E-3</v>
      </c>
      <c r="BP18">
        <f>BL8+1</f>
        <v>5</v>
      </c>
      <c r="BQ18">
        <v>4</v>
      </c>
      <c r="BR18" s="107">
        <f>$H$30*H43</f>
        <v>2.766729632307725E-2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>
        <f t="shared" si="8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06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>
        <f t="shared" si="9"/>
        <v>2.827243200886999E-3</v>
      </c>
      <c r="BP19">
        <f>BP15+1</f>
        <v>6</v>
      </c>
      <c r="BQ19">
        <v>1</v>
      </c>
      <c r="BR19" s="107">
        <f>$H$31*H40</f>
        <v>3.8395025742625787E-3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0.13254317664800844</v>
      </c>
      <c r="T20" s="181">
        <f>SUM(T5:T19)</f>
        <v>0.40330272759640395</v>
      </c>
      <c r="U20" s="181">
        <f>SUM(U5:U19)</f>
        <v>0.36654022085295113</v>
      </c>
      <c r="V20" s="181">
        <f>1-S20-T20-U20</f>
        <v>9.761387490263651E-2</v>
      </c>
      <c r="W20" s="21"/>
      <c r="X20" s="22"/>
      <c r="Y20" s="22"/>
      <c r="Z20" s="22"/>
      <c r="AA20" s="22"/>
      <c r="AB20" s="23"/>
      <c r="AC20" s="184">
        <f>PRODUCT(AC5:AC19)</f>
        <v>0.70363940561370475</v>
      </c>
      <c r="AD20" s="181">
        <f>SUM(AD5:AD19)</f>
        <v>0.25558179285222732</v>
      </c>
      <c r="AE20" s="181">
        <f>SUM(AE5:AE19)</f>
        <v>3.7753763225363141E-2</v>
      </c>
      <c r="AF20" s="181">
        <f>1-AC20-AD20-AE20</f>
        <v>3.0250383087047916E-3</v>
      </c>
      <c r="BH20">
        <v>1</v>
      </c>
      <c r="BI20">
        <v>8</v>
      </c>
      <c r="BJ20" s="107">
        <f t="shared" si="9"/>
        <v>8.6002215916675259E-4</v>
      </c>
      <c r="BP20">
        <f>BP16+1</f>
        <v>6</v>
      </c>
      <c r="BQ20">
        <v>2</v>
      </c>
      <c r="BR20" s="107">
        <f>$H$31*H41</f>
        <v>8.7063356941539712E-3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9"/>
        <v>2.0257558079630445E-4</v>
      </c>
      <c r="BP21">
        <f>BP17+1</f>
        <v>6</v>
      </c>
      <c r="BQ21">
        <v>3</v>
      </c>
      <c r="BR21" s="107">
        <f>$H$31*H42</f>
        <v>1.1962490712288011E-2</v>
      </c>
    </row>
    <row r="22" spans="1:70" x14ac:dyDescent="0.25">
      <c r="A22" s="26" t="s">
        <v>77</v>
      </c>
      <c r="B22" s="62">
        <f>(B6)/((B6)+(C6))</f>
        <v>0.61176470588235299</v>
      </c>
      <c r="C22" s="63">
        <f>1-B22</f>
        <v>0.38823529411764701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9"/>
        <v>3.573780076844404E-5</v>
      </c>
      <c r="BP22">
        <f>BP18+1</f>
        <v>6</v>
      </c>
      <c r="BQ22">
        <v>4</v>
      </c>
      <c r="BR22" s="107">
        <f>$H$31*H43</f>
        <v>1.1171579546872002E-2</v>
      </c>
    </row>
    <row r="23" spans="1:70" ht="15.75" thickBot="1" x14ac:dyDescent="0.3">
      <c r="A23" s="40" t="s">
        <v>67</v>
      </c>
      <c r="B23" s="56">
        <f>((B22^2.8)/((B22^2.8)+(C22^2.8)))*B21</f>
        <v>3.9065025362274959</v>
      </c>
      <c r="C23" s="57">
        <f>B21-B23</f>
        <v>1.0934974637725041</v>
      </c>
      <c r="D23" s="151">
        <f>SUM(D25:D30)</f>
        <v>1</v>
      </c>
      <c r="E23" s="151">
        <f>SUM(E25:E30)</f>
        <v>1</v>
      </c>
      <c r="H23" s="59">
        <f>SUM(H25:H35)</f>
        <v>0.99999581423500705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0.99999999999999989</v>
      </c>
      <c r="T23" s="59">
        <f>SUM(T25:T35)</f>
        <v>1.0050760126517704</v>
      </c>
      <c r="V23" s="59">
        <f>SUM(V25:V34)</f>
        <v>0.91866811902811074</v>
      </c>
      <c r="Y23" s="80">
        <f>SUM(Y25:Y35)</f>
        <v>2.503097448243747E-7</v>
      </c>
      <c r="Z23" s="81"/>
      <c r="AA23" s="80">
        <f>SUM(AA25:AA35)</f>
        <v>8.9435342070366648E-6</v>
      </c>
      <c r="AB23" s="81"/>
      <c r="AC23" s="80">
        <f>SUM(AC25:AC35)</f>
        <v>1.4380258795604784E-4</v>
      </c>
      <c r="AD23" s="81"/>
      <c r="AE23" s="80">
        <f>SUM(AE25:AE35)</f>
        <v>1.3702479483938767E-3</v>
      </c>
      <c r="AF23" s="81"/>
      <c r="AG23" s="80">
        <f>SUM(AG25:AG35)</f>
        <v>8.5689514166999419E-3</v>
      </c>
      <c r="AH23" s="81"/>
      <c r="AI23" s="80">
        <f>SUM(AI25:AI35)</f>
        <v>3.6748493785617418E-2</v>
      </c>
      <c r="AJ23" s="81"/>
      <c r="AK23" s="80">
        <f>SUM(AK25:AK35)</f>
        <v>0.10945943434939423</v>
      </c>
      <c r="AL23" s="81"/>
      <c r="AM23" s="80">
        <f>SUM(AM25:AM35)</f>
        <v>0.22362618880225277</v>
      </c>
      <c r="AN23" s="81"/>
      <c r="AO23" s="80">
        <f>SUM(AO25:AO35)</f>
        <v>0.29997627650799918</v>
      </c>
      <c r="AP23" s="81"/>
      <c r="AQ23" s="80">
        <f>SUM(AQ25:AQ35)</f>
        <v>0.23876552978584542</v>
      </c>
      <c r="AR23" s="81"/>
      <c r="AS23" s="80">
        <f>SUM(AS25:AS35)</f>
        <v>8.1331880971889259E-2</v>
      </c>
      <c r="BH23">
        <f t="shared" ref="BH23:BH30" si="10">BH15+1</f>
        <v>2</v>
      </c>
      <c r="BI23">
        <v>3</v>
      </c>
      <c r="BJ23" s="107">
        <f t="shared" ref="BJ23:BJ30" si="11">$H$27*H42</f>
        <v>5.0375042473594214E-2</v>
      </c>
      <c r="BP23">
        <f>BL9+1</f>
        <v>6</v>
      </c>
      <c r="BQ23">
        <v>5</v>
      </c>
      <c r="BR23" s="107">
        <f>$H$31*H44</f>
        <v>7.5444846265218315E-3</v>
      </c>
    </row>
    <row r="24" spans="1:70" ht="15.75" thickBot="1" x14ac:dyDescent="0.3">
      <c r="A24" s="26" t="s">
        <v>76</v>
      </c>
      <c r="B24" s="64">
        <f>B23/B21</f>
        <v>0.78130050724549915</v>
      </c>
      <c r="C24" s="65">
        <f>C23/B21</f>
        <v>0.21869949275450082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>
        <f t="shared" si="11"/>
        <v>4.704444983123212E-2</v>
      </c>
      <c r="BP24">
        <f>BH49+1</f>
        <v>7</v>
      </c>
      <c r="BQ24">
        <v>0</v>
      </c>
      <c r="BR24" s="107">
        <f t="shared" ref="BR24:BR30" si="12">$H$32*H39</f>
        <v>2.2699907531718595E-4</v>
      </c>
    </row>
    <row r="25" spans="1:70" x14ac:dyDescent="0.25">
      <c r="A25" s="26" t="s">
        <v>69</v>
      </c>
      <c r="B25" s="117">
        <f>1/(1+EXP(-3.1416*4*((B11/(B11+C8))-(3.1416/6))))</f>
        <v>0.19465325419322257</v>
      </c>
      <c r="C25" s="118">
        <f>1/(1+EXP(-3.1416*4*((C11/(C11+B8))-(3.1416/6))))</f>
        <v>0.25313395312399234</v>
      </c>
      <c r="D25" s="153">
        <f>IF(B17="AOW", 0.36-0.08, IF(B17="AIM", 0.36+0.08, IF(B17="TL",(0.361)-(0.36*B32),0.36)))</f>
        <v>0.44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1.7953293836062173E-2</v>
      </c>
      <c r="I25" s="97">
        <v>0</v>
      </c>
      <c r="J25" s="98">
        <f t="shared" ref="J25:J35" si="13">Y25+AA25+AC25+AE25+AG25+AI25+AK25+AM25+AO25+AQ25+AS25</f>
        <v>0.13545241852577808</v>
      </c>
      <c r="K25" s="97">
        <v>0</v>
      </c>
      <c r="L25" s="98">
        <f>S20</f>
        <v>0.13254317664800844</v>
      </c>
      <c r="M25" s="84">
        <v>0</v>
      </c>
      <c r="N25" s="71">
        <f>(1-$B$24)^$B$21</f>
        <v>5.0030964894190748E-4</v>
      </c>
      <c r="O25" s="70">
        <v>0</v>
      </c>
      <c r="P25" s="71">
        <f>N25</f>
        <v>5.0030964894190748E-4</v>
      </c>
      <c r="Q25" s="12">
        <v>0</v>
      </c>
      <c r="R25" s="73">
        <f>P25*N25</f>
        <v>2.503097448243747E-7</v>
      </c>
      <c r="S25" s="70">
        <v>0</v>
      </c>
      <c r="T25" s="135">
        <f>(1-$B$33)^(INT(C23*2*(1-C31)))</f>
        <v>1</v>
      </c>
      <c r="U25" s="140">
        <v>0</v>
      </c>
      <c r="V25" s="86">
        <f>R25*T25</f>
        <v>2.503097448243747E-7</v>
      </c>
      <c r="W25" s="136">
        <f>B31</f>
        <v>0.2320516428335283</v>
      </c>
      <c r="X25" s="12">
        <v>0</v>
      </c>
      <c r="Y25" s="79">
        <f>V25</f>
        <v>2.503097448243747E-7</v>
      </c>
      <c r="Z25" s="12">
        <v>0</v>
      </c>
      <c r="AA25" s="78">
        <f>((1-W25)^Z26)*V26</f>
        <v>6.86817240155595E-6</v>
      </c>
      <c r="AB25" s="12">
        <v>0</v>
      </c>
      <c r="AC25" s="79">
        <f>(((1-$W$25)^AB27))*V27</f>
        <v>8.4806811113008791E-5</v>
      </c>
      <c r="AD25" s="12">
        <v>0</v>
      </c>
      <c r="AE25" s="79">
        <f>(((1-$W$25)^AB28))*V28</f>
        <v>6.2057633111283297E-4</v>
      </c>
      <c r="AF25" s="12">
        <v>0</v>
      </c>
      <c r="AG25" s="79">
        <f>(((1-$W$25)^AB29))*V29</f>
        <v>2.9802709063005348E-3</v>
      </c>
      <c r="AH25" s="12">
        <v>0</v>
      </c>
      <c r="AI25" s="79">
        <f>(((1-$W$25)^AB30))*V30</f>
        <v>9.8152105813568129E-3</v>
      </c>
      <c r="AJ25" s="12">
        <v>0</v>
      </c>
      <c r="AK25" s="79">
        <f>(((1-$W$25)^AB31))*V31</f>
        <v>2.2451496469399312E-2</v>
      </c>
      <c r="AL25" s="12">
        <v>0</v>
      </c>
      <c r="AM25" s="79">
        <f>(((1-$W$25)^AB32))*V32</f>
        <v>3.5224656927960563E-2</v>
      </c>
      <c r="AN25" s="12">
        <v>0</v>
      </c>
      <c r="AO25" s="79">
        <f>(((1-$W$25)^AB33))*V33</f>
        <v>3.6286329127449245E-2</v>
      </c>
      <c r="AP25" s="12">
        <v>0</v>
      </c>
      <c r="AQ25" s="79">
        <f>(((1-$W$25)^AB34))*V34</f>
        <v>2.2179909488765411E-2</v>
      </c>
      <c r="AR25" s="12">
        <v>0</v>
      </c>
      <c r="AS25" s="79">
        <f>(((1-$W$25)^AB35))*V35</f>
        <v>5.8020434001739814E-3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>
        <f t="shared" si="11"/>
        <v>3.1770451709694551E-2</v>
      </c>
      <c r="BP25">
        <f>BP19+1</f>
        <v>7</v>
      </c>
      <c r="BQ25">
        <v>1</v>
      </c>
      <c r="BR25" s="107">
        <f t="shared" si="12"/>
        <v>1.1288828942105703E-3</v>
      </c>
    </row>
    <row r="26" spans="1:70" x14ac:dyDescent="0.25">
      <c r="A26" s="40" t="s">
        <v>24</v>
      </c>
      <c r="B26" s="119">
        <f>1/(1+EXP(-3.1416*4*((B10/(B10+C9))-(3.1416/6))))</f>
        <v>0.2543630711343593</v>
      </c>
      <c r="C26" s="120">
        <f>1/(1+EXP(-3.1416*4*((C10/(C10+B9))-(3.1416/6))))</f>
        <v>0.88902890499768195</v>
      </c>
      <c r="D26" s="153">
        <f>IF(B17="AOW", 0.257+0.04, IF(B17="AIM", 0.257-0.04, IF(B17="TL",(0.257)-(0.257*B32),0.257)))</f>
        <v>0.217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9.4368514328365405E-2</v>
      </c>
      <c r="I26" s="93">
        <v>1</v>
      </c>
      <c r="J26" s="86">
        <f t="shared" si="13"/>
        <v>0.29982821811285271</v>
      </c>
      <c r="K26" s="93">
        <v>1</v>
      </c>
      <c r="L26" s="86">
        <f>T20</f>
        <v>0.40330272759640395</v>
      </c>
      <c r="M26" s="85">
        <v>1</v>
      </c>
      <c r="N26" s="71">
        <f>(($B$24)^M26)*((1-($B$24))^($B$21-M26))*HLOOKUP($B$21,$AV$24:$BF$34,M26+1)</f>
        <v>8.9367418637985238E-3</v>
      </c>
      <c r="O26" s="72">
        <v>1</v>
      </c>
      <c r="P26" s="71">
        <f t="shared" ref="P26:P30" si="14">N26</f>
        <v>8.9367418637985238E-3</v>
      </c>
      <c r="Q26" s="28">
        <v>1</v>
      </c>
      <c r="R26" s="37">
        <f>N26*P25+P26*N25</f>
        <v>8.942276369122974E-6</v>
      </c>
      <c r="S26" s="72">
        <v>1</v>
      </c>
      <c r="T26" s="135">
        <f t="shared" ref="T26:T35" si="15">(($B$33)^S26)*((1-($B$33))^(INT($C$23*2*(1-$C$31))-S26))*HLOOKUP(INT($C$23*2*(1-$C$31)),$AV$24:$BF$34,S26+1)</f>
        <v>5.0251256281407036E-3</v>
      </c>
      <c r="U26" s="93">
        <v>1</v>
      </c>
      <c r="V26" s="86">
        <f>R26*T25+T26*R25</f>
        <v>8.9435342070366648E-6</v>
      </c>
      <c r="W26" s="137"/>
      <c r="X26" s="28">
        <v>1</v>
      </c>
      <c r="Y26" s="73"/>
      <c r="Z26" s="28">
        <v>1</v>
      </c>
      <c r="AA26" s="79">
        <f>(1-((1-W25)^Z26))*V26</f>
        <v>2.0753618054807148E-6</v>
      </c>
      <c r="AB26" s="28">
        <v>1</v>
      </c>
      <c r="AC26" s="79">
        <f>((($W$25)^M26)*((1-($W$25))^($U$27-M26))*HLOOKUP($U$27,$AV$24:$BF$34,M26+1))*V27</f>
        <v>5.1252300128250387E-5</v>
      </c>
      <c r="AD26" s="28">
        <v>1</v>
      </c>
      <c r="AE26" s="79">
        <f>((($W$25)^M26)*((1-($W$25))^($U$28-M26))*HLOOKUP($U$28,$AV$24:$BF$34,M26+1))*V28</f>
        <v>5.6256031721851733E-4</v>
      </c>
      <c r="AF26" s="28">
        <v>1</v>
      </c>
      <c r="AG26" s="79">
        <f>((($W$25)^M26)*((1-($W$25))^($U$29-M26))*HLOOKUP($U$29,$AV$24:$BF$34,M26+1))*V29</f>
        <v>3.602204515146016E-3</v>
      </c>
      <c r="AH26" s="28">
        <v>1</v>
      </c>
      <c r="AI26" s="79">
        <f>((($W$25)^M26)*((1-($W$25))^($U$30-M26))*HLOOKUP($U$30,$AV$24:$BF$34,M26+1))*V30</f>
        <v>1.4829354857693544E-2</v>
      </c>
      <c r="AJ26" s="28">
        <v>1</v>
      </c>
      <c r="AK26" s="79">
        <f>((($W$25)^M26)*((1-($W$25))^($U$31-M26))*HLOOKUP($U$31,$AV$24:$BF$34,M26+1))*V31</f>
        <v>4.07051327697487E-2</v>
      </c>
      <c r="AL26" s="28">
        <v>1</v>
      </c>
      <c r="AM26" s="79">
        <f>((($W$25)^Q26)*((1-($W$25))^($U$32-Q26))*HLOOKUP($U$32,$AV$24:$BF$34,Q26+1))*V32</f>
        <v>7.4507062909519833E-2</v>
      </c>
      <c r="AN26" s="28">
        <v>1</v>
      </c>
      <c r="AO26" s="79">
        <f>((($W$25)^Q26)*((1-($W$25))^($U$33-Q26))*HLOOKUP($U$33,$AV$24:$BF$34,Q26+1))*V33</f>
        <v>8.771738055398845E-2</v>
      </c>
      <c r="AP26" s="28">
        <v>1</v>
      </c>
      <c r="AQ26" s="79">
        <f>((($W$25)^Q26)*((1-($W$25))^($U$34-Q26))*HLOOKUP($U$34,$AV$24:$BF$34,Q26+1))*V34</f>
        <v>6.0319108024162828E-2</v>
      </c>
      <c r="AR26" s="28">
        <v>1</v>
      </c>
      <c r="AS26" s="79">
        <f>((($W$25)^Q26)*((1-($W$25))^($U$35-Q26))*HLOOKUP($U$35,$AV$24:$BF$34,Q26+1))*V35</f>
        <v>1.7532086503441055E-2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>
        <f t="shared" si="11"/>
        <v>1.6119955622157123E-2</v>
      </c>
      <c r="BP26">
        <f>BP20+1</f>
        <v>7</v>
      </c>
      <c r="BQ26">
        <v>2</v>
      </c>
      <c r="BR26" s="107">
        <f t="shared" si="12"/>
        <v>2.5598194678311927E-3</v>
      </c>
    </row>
    <row r="27" spans="1:70" x14ac:dyDescent="0.25">
      <c r="A27" s="26" t="s">
        <v>25</v>
      </c>
      <c r="B27" s="119">
        <f>1/(1+EXP(-3.1416*4*((B12/(B12+C7))-(3.1416/6))))</f>
        <v>4.4737459645596445E-2</v>
      </c>
      <c r="C27" s="120">
        <f>1/(1+EXP(-3.1416*4*((C12/(C12+B7))-(3.1416/6))))</f>
        <v>0.69258513031411406</v>
      </c>
      <c r="D27" s="153">
        <f>D26</f>
        <v>0.217</v>
      </c>
      <c r="E27" s="153">
        <f>E26</f>
        <v>0.25700000000000001</v>
      </c>
      <c r="G27" s="87">
        <v>2</v>
      </c>
      <c r="H27" s="128">
        <f>L25*J27+J26*L26+J25*L27</f>
        <v>0.21014502063125143</v>
      </c>
      <c r="I27" s="93">
        <v>2</v>
      </c>
      <c r="J27" s="86">
        <f t="shared" si="13"/>
        <v>0.29857985944882648</v>
      </c>
      <c r="K27" s="93">
        <v>2</v>
      </c>
      <c r="L27" s="86">
        <f>U20</f>
        <v>0.36654022085295113</v>
      </c>
      <c r="M27" s="85">
        <v>2</v>
      </c>
      <c r="N27" s="71">
        <f>(($B$24)^M27)*((1-($B$24))^($B$21-M27))*HLOOKUP($B$21,$AV$24:$BF$34,M27+1)</f>
        <v>6.3852740245225609E-2</v>
      </c>
      <c r="O27" s="72">
        <v>2</v>
      </c>
      <c r="P27" s="71">
        <f t="shared" si="14"/>
        <v>6.3852740245225609E-2</v>
      </c>
      <c r="Q27" s="28">
        <v>2</v>
      </c>
      <c r="R27" s="37">
        <f>P25*N27+P26*N26+P27*N25</f>
        <v>1.4375763925230436E-4</v>
      </c>
      <c r="S27" s="72">
        <v>2</v>
      </c>
      <c r="T27" s="135">
        <f t="shared" si="15"/>
        <v>5.0503775157192999E-5</v>
      </c>
      <c r="U27" s="93">
        <v>2</v>
      </c>
      <c r="V27" s="86">
        <f>R27*T25+T26*R26+R25*T27</f>
        <v>1.4380258795604784E-4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7.7434767147886585E-6</v>
      </c>
      <c r="AD27" s="28">
        <v>2</v>
      </c>
      <c r="AE27" s="79">
        <f>((($W$25)^M27)*((1-($W$25))^($U$28-M27))*HLOOKUP($U$28,$AV$24:$BF$34,M27+1))*V28</f>
        <v>1.6998935486388356E-4</v>
      </c>
      <c r="AF27" s="28">
        <v>2</v>
      </c>
      <c r="AG27" s="79">
        <f>((($W$25)^M27)*((1-($W$25))^($U$29-M27))*HLOOKUP($U$29,$AV$24:$BF$34,M27+1))*V29</f>
        <v>1.6327220465310239E-3</v>
      </c>
      <c r="AH27" s="28">
        <v>2</v>
      </c>
      <c r="AI27" s="79">
        <f>((($W$25)^M27)*((1-($W$25))^($U$30-M27))*HLOOKUP($U$30,$AV$24:$BF$34,M27+1))*V30</f>
        <v>8.9619988760342925E-3</v>
      </c>
      <c r="AJ27" s="28">
        <v>2</v>
      </c>
      <c r="AK27" s="79">
        <f>((($W$25)^M27)*((1-($W$25))^($U$31-M27))*HLOOKUP($U$31,$AV$24:$BF$34,M27+1))*V31</f>
        <v>3.0749766057932618E-2</v>
      </c>
      <c r="AL27" s="28">
        <v>2</v>
      </c>
      <c r="AM27" s="79">
        <f>((($W$25)^Q27)*((1-($W$25))^($U$32-Q27))*HLOOKUP($U$32,$AV$24:$BF$34,Q27+1))*V32</f>
        <v>6.7541597776113987E-2</v>
      </c>
      <c r="AN27" s="28">
        <v>2</v>
      </c>
      <c r="AO27" s="79">
        <f>((($W$25)^Q27)*((1-($W$25))^($U$33-Q27))*HLOOKUP($U$33,$AV$24:$BF$34,Q27+1))*V33</f>
        <v>9.2769738035496971E-2</v>
      </c>
      <c r="AP27" s="28">
        <v>2</v>
      </c>
      <c r="AQ27" s="79">
        <f>((($W$25)^Q27)*((1-($W$25))^($U$34-Q27))*HLOOKUP($U$34,$AV$24:$BF$34,Q27+1))*V34</f>
        <v>7.2906715565644833E-2</v>
      </c>
      <c r="AR27" s="28">
        <v>2</v>
      </c>
      <c r="AS27" s="79">
        <f>((($W$25)^Q27)*((1-($W$25))^($U$35-Q27))*HLOOKUP($U$35,$AV$24:$BF$34,Q27+1))*V35</f>
        <v>2.3839588259494119E-2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>
        <f t="shared" si="11"/>
        <v>6.295861336892734E-3</v>
      </c>
      <c r="BP27">
        <f>BP21+1</f>
        <v>7</v>
      </c>
      <c r="BQ27">
        <v>3</v>
      </c>
      <c r="BR27" s="107">
        <f t="shared" si="12"/>
        <v>3.5171876762834058E-3</v>
      </c>
    </row>
    <row r="28" spans="1:70" x14ac:dyDescent="0.25">
      <c r="A28" s="26" t="s">
        <v>26</v>
      </c>
      <c r="B28" s="174">
        <v>0.9</v>
      </c>
      <c r="C28" s="209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0.26688489773640023</v>
      </c>
      <c r="I28" s="93">
        <v>3</v>
      </c>
      <c r="J28" s="86">
        <f t="shared" si="13"/>
        <v>0.17613648535880105</v>
      </c>
      <c r="K28" s="93">
        <v>3</v>
      </c>
      <c r="L28" s="86">
        <f>V20</f>
        <v>9.761387490263651E-2</v>
      </c>
      <c r="M28" s="85">
        <v>3</v>
      </c>
      <c r="N28" s="71">
        <f>(($B$24)^M28)*((1-($B$24))^($B$21-M28))*HLOOKUP($B$21,$AV$24:$BF$34,M28+1)</f>
        <v>0.22811291290287261</v>
      </c>
      <c r="O28" s="72">
        <v>3</v>
      </c>
      <c r="P28" s="71">
        <f t="shared" si="14"/>
        <v>0.22811291290287261</v>
      </c>
      <c r="Q28" s="28">
        <v>3</v>
      </c>
      <c r="R28" s="37">
        <f>P25*N28+P26*N27+P27*N26+P28*N25</f>
        <v>1.3695250964826252E-3</v>
      </c>
      <c r="S28" s="72">
        <v>3</v>
      </c>
      <c r="T28" s="135">
        <f t="shared" si="15"/>
        <v>3.8068172229039952E-7</v>
      </c>
      <c r="U28" s="93">
        <v>3</v>
      </c>
      <c r="V28" s="86">
        <f>R28*T25+R27*T26+R26*T27+R25*T28</f>
        <v>1.3702479483938765E-3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1.7121945198642592E-5</v>
      </c>
      <c r="AF28" s="28">
        <v>3</v>
      </c>
      <c r="AG28" s="79">
        <f>((($W$25)^M28)*((1-($W$25))^($U$29-M28))*HLOOKUP($U$29,$AV$24:$BF$34,M28+1))*V29</f>
        <v>3.289073886738922E-4</v>
      </c>
      <c r="AH28" s="28">
        <v>3</v>
      </c>
      <c r="AI28" s="79">
        <f>((($W$25)^M28)*((1-($W$25))^($U$30-M28))*HLOOKUP($U$30,$AV$24:$BF$34,M28+1))*V30</f>
        <v>2.7080552264339007E-3</v>
      </c>
      <c r="AJ28" s="28">
        <v>3</v>
      </c>
      <c r="AK28" s="79">
        <f>((($W$25)^M28)*((1-($W$25))^($U$31-M28))*HLOOKUP($U$31,$AV$24:$BF$34,M28+1))*V31</f>
        <v>1.23889124642325E-2</v>
      </c>
      <c r="AL28" s="28">
        <v>3</v>
      </c>
      <c r="AM28" s="79">
        <f>((($W$25)^Q28)*((1-($W$25))^($U$32-Q28))*HLOOKUP($U$32,$AV$24:$BF$34,Q28+1))*V32</f>
        <v>3.4015175146625769E-2</v>
      </c>
      <c r="AN28" s="28">
        <v>3</v>
      </c>
      <c r="AO28" s="79">
        <f>((($W$25)^Q28)*((1-($W$25))^($U$33-Q28))*HLOOKUP($U$33,$AV$24:$BF$34,Q28+1))*V33</f>
        <v>5.6064629647242126E-2</v>
      </c>
      <c r="AP28" s="28">
        <v>3</v>
      </c>
      <c r="AQ28" s="79">
        <f>((($W$25)^Q28)*((1-($W$25))^($U$34-Q28))*HLOOKUP($U$34,$AV$24:$BF$34,Q28+1))*V34</f>
        <v>5.1404004248930088E-2</v>
      </c>
      <c r="AR28" s="28">
        <v>3</v>
      </c>
      <c r="AS28" s="79">
        <f>((($W$25)^Q28)*((1-($W$25))^($U$35-Q28))*HLOOKUP($U$35,$AV$24:$BF$34,Q28+1))*V35</f>
        <v>1.9209679291464134E-2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>
        <f t="shared" si="11"/>
        <v>1.9151448517305603E-3</v>
      </c>
      <c r="BP28">
        <f>BP22+1</f>
        <v>7</v>
      </c>
      <c r="BQ28">
        <v>4</v>
      </c>
      <c r="BR28" s="107">
        <f t="shared" si="12"/>
        <v>3.2846455518261092E-3</v>
      </c>
    </row>
    <row r="29" spans="1:70" x14ac:dyDescent="0.25">
      <c r="A29" s="26" t="s">
        <v>27</v>
      </c>
      <c r="B29" s="123">
        <f>1/(1+EXP(-3.1416*4*((B14/(B14+C13))-(3.1416/6))))</f>
        <v>0.12273465459919035</v>
      </c>
      <c r="C29" s="118">
        <f>1/(1+EXP(-3.1416*4*((C14/(C14+B13))-(3.1416/6))))</f>
        <v>0.60774254752805823</v>
      </c>
      <c r="D29" s="153">
        <v>0.04</v>
      </c>
      <c r="E29" s="153">
        <v>0.04</v>
      </c>
      <c r="G29" s="87">
        <v>4</v>
      </c>
      <c r="H29" s="128">
        <f>J29*L25+J28*L26+J27*L27+J26*L28</f>
        <v>0.21877855367746896</v>
      </c>
      <c r="I29" s="93">
        <v>4</v>
      </c>
      <c r="J29" s="86">
        <f t="shared" si="13"/>
        <v>6.8153692492564519E-2</v>
      </c>
      <c r="K29" s="93">
        <v>4</v>
      </c>
      <c r="L29" s="86"/>
      <c r="M29" s="85">
        <v>4</v>
      </c>
      <c r="N29" s="71">
        <f>(($B$24)^M29)*((1-($B$24))^($B$21-M29))*HLOOKUP($B$21,$AV$24:$BF$34,M29+1)</f>
        <v>0.40746490153117848</v>
      </c>
      <c r="O29" s="72">
        <v>4</v>
      </c>
      <c r="P29" s="71">
        <f t="shared" si="14"/>
        <v>0.40746490153117848</v>
      </c>
      <c r="Q29" s="28">
        <v>4</v>
      </c>
      <c r="R29" s="37">
        <f>P25*N29+P26*N28+P27*N27+P28*N26+P29*N25</f>
        <v>8.5620621173309371E-3</v>
      </c>
      <c r="S29" s="72">
        <v>4</v>
      </c>
      <c r="T29" s="135">
        <f t="shared" si="15"/>
        <v>2.5506313051283046E-9</v>
      </c>
      <c r="U29" s="93">
        <v>4</v>
      </c>
      <c r="V29" s="86">
        <f>T29*R25+T28*R26+T27*R27+T26*R28+T25*R29</f>
        <v>8.5689514166999436E-3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2.484656004847651E-5</v>
      </c>
      <c r="AH29" s="28">
        <v>4</v>
      </c>
      <c r="AI29" s="79">
        <f>((($W$25)^M29)*((1-($W$25))^($U$30-M29))*HLOOKUP($U$30,$AV$24:$BF$34,M29+1))*V30</f>
        <v>4.0914773650703061E-4</v>
      </c>
      <c r="AJ29" s="28">
        <v>4</v>
      </c>
      <c r="AK29" s="79">
        <f>((($W$25)^M29)*((1-($W$25))^($U$31-M29))*HLOOKUP($U$31,$AV$24:$BF$34,M29+1))*V31</f>
        <v>2.8076765808056109E-3</v>
      </c>
      <c r="AL29" s="28">
        <v>4</v>
      </c>
      <c r="AM29" s="79">
        <f>((($W$25)^Q29)*((1-($W$25))^($U$32-Q29))*HLOOKUP($U$32,$AV$24:$BF$34,Q29+1))*V32</f>
        <v>1.0278395936894554E-2</v>
      </c>
      <c r="AN29" s="28">
        <v>4</v>
      </c>
      <c r="AO29" s="79">
        <f>((($W$25)^Q29)*((1-($W$25))^($U$33-Q29))*HLOOKUP($U$33,$AV$24:$BF$34,Q29+1))*V33</f>
        <v>2.1176374187612951E-2</v>
      </c>
      <c r="AP29" s="28">
        <v>4</v>
      </c>
      <c r="AQ29" s="79">
        <f>((($W$25)^Q29)*((1-($W$25))^($U$34-Q29))*HLOOKUP($U$34,$AV$24:$BF$34,Q29+1))*V34</f>
        <v>2.3299190999376263E-2</v>
      </c>
      <c r="AR29" s="28">
        <v>4</v>
      </c>
      <c r="AS29" s="79">
        <f>((($W$25)^Q29)*((1-($W$25))^($U$35-Q29))*HLOOKUP($U$35,$AV$24:$BF$34,Q29+1))*V35</f>
        <v>1.0158060491319636E-2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>
        <f t="shared" si="11"/>
        <v>4.5110649360971576E-4</v>
      </c>
      <c r="BP29">
        <f>BP23+1</f>
        <v>7</v>
      </c>
      <c r="BQ29">
        <v>5</v>
      </c>
      <c r="BR29" s="107">
        <f t="shared" si="12"/>
        <v>2.218214332660234E-3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0.12358832077921528</v>
      </c>
      <c r="I30" s="93">
        <v>5</v>
      </c>
      <c r="J30" s="86">
        <f t="shared" si="13"/>
        <v>1.8070393885277078E-2</v>
      </c>
      <c r="K30" s="93">
        <v>5</v>
      </c>
      <c r="L30" s="86"/>
      <c r="M30" s="85">
        <v>5</v>
      </c>
      <c r="N30" s="71">
        <f>(($B$24)^M30)*((1-($B$24))^($B$21-M30))*HLOOKUP($B$21,$AV$24:$BF$34,M30+1)</f>
        <v>0.29113239380798278</v>
      </c>
      <c r="O30" s="72">
        <v>5</v>
      </c>
      <c r="P30" s="71">
        <f t="shared" si="14"/>
        <v>0.29113239380798278</v>
      </c>
      <c r="Q30" s="28">
        <v>5</v>
      </c>
      <c r="R30" s="37">
        <f>P25*N30+P26*N29+P27*N28+P28*N27+P29*N26+P30*N25</f>
        <v>3.6705399126905625E-2</v>
      </c>
      <c r="S30" s="72">
        <v>5</v>
      </c>
      <c r="T30" s="135">
        <f t="shared" si="15"/>
        <v>1.6021553424172769E-11</v>
      </c>
      <c r="U30" s="93">
        <v>5</v>
      </c>
      <c r="V30" s="86">
        <f>T30*R25+T29*R26+T28*R27+T27*R28+T26*R29+T25*R30</f>
        <v>3.6748493785617418E-2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2.4726507591836595E-5</v>
      </c>
      <c r="AJ30" s="28">
        <v>5</v>
      </c>
      <c r="AK30" s="79">
        <f>((($W$25)^M30)*((1-($W$25))^($U$31-M30))*HLOOKUP($U$31,$AV$24:$BF$34,M30+1))*V31</f>
        <v>3.3935925875282853E-4</v>
      </c>
      <c r="AL30" s="28">
        <v>5</v>
      </c>
      <c r="AM30" s="79">
        <f>((($W$25)^Q30)*((1-($W$25))^($U$32-Q30))*HLOOKUP($U$32,$AV$24:$BF$34,Q30+1))*V32</f>
        <v>1.863499263140798E-3</v>
      </c>
      <c r="AN30" s="28">
        <v>5</v>
      </c>
      <c r="AO30" s="79">
        <f>((($W$25)^Q30)*((1-($W$25))^($U$33-Q30))*HLOOKUP($U$33,$AV$24:$BF$34,Q30+1))*V33</f>
        <v>5.1191071624915267E-3</v>
      </c>
      <c r="AP30" s="28">
        <v>5</v>
      </c>
      <c r="AQ30" s="79">
        <f>((($W$25)^Q30)*((1-($W$25))^($U$34-Q30))*HLOOKUP($U$34,$AV$24:$BF$34,Q30+1))*V34</f>
        <v>7.0403374102477575E-3</v>
      </c>
      <c r="AR30" s="28">
        <v>5</v>
      </c>
      <c r="AS30" s="79">
        <f>((($W$25)^Q30)*((1-($W$25))^($U$35-Q30))*HLOOKUP($U$35,$AV$24:$BF$34,Q30+1))*V35</f>
        <v>3.6833642830523296E-3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>
        <f t="shared" si="11"/>
        <v>7.9582908910359152E-5</v>
      </c>
      <c r="BP30">
        <f>BL10+1</f>
        <v>7</v>
      </c>
      <c r="BQ30">
        <v>6</v>
      </c>
      <c r="BR30" s="107">
        <f t="shared" si="12"/>
        <v>1.1254960089851246E-3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0.2320516428335283</v>
      </c>
      <c r="C31" s="61">
        <f>(C25*E25)+(C26*E26)+(C27*E27)+(C28*E28)+(C29*E29)+(C30*E30)/(C25+C26+C27+C28+C29+C30)</f>
        <v>0.59845568139408334</v>
      </c>
      <c r="G31" s="87">
        <v>6</v>
      </c>
      <c r="H31" s="128">
        <f>J31*L25+J30*L26+J29*L27+J28*L28</f>
        <v>4.9902843433881794E-2</v>
      </c>
      <c r="I31" s="93">
        <v>6</v>
      </c>
      <c r="J31" s="86">
        <f t="shared" si="13"/>
        <v>3.3239730371438922E-3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0.10927455216937045</v>
      </c>
      <c r="S31" s="70">
        <v>6</v>
      </c>
      <c r="T31" s="135">
        <f t="shared" si="15"/>
        <v>9.6612382457323207E-14</v>
      </c>
      <c r="U31" s="93">
        <v>6</v>
      </c>
      <c r="V31" s="86">
        <f>T31*R25+T30*R26+T29*R27+T28*R28+T27*R29+T26*R30+T25*R31</f>
        <v>0.10945943434939423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1.7090748522666505E-5</v>
      </c>
      <c r="AL31" s="28">
        <v>6</v>
      </c>
      <c r="AM31" s="79">
        <f>((($W$25)^Q31)*((1-($W$25))^($U$32-Q31))*HLOOKUP($U$32,$AV$24:$BF$34,Q31+1))*V32</f>
        <v>1.8769841374335718E-4</v>
      </c>
      <c r="AN31" s="28">
        <v>6</v>
      </c>
      <c r="AO31" s="79">
        <f>((($W$25)^Q31)*((1-($W$25))^($U$33-Q31))*HLOOKUP($U$33,$AV$24:$BF$34,Q31+1))*V33</f>
        <v>7.7342259789451846E-4</v>
      </c>
      <c r="AP31" s="28">
        <v>6</v>
      </c>
      <c r="AQ31" s="79">
        <f>((($W$25)^Q31)*((1-($W$25))^($U$34-Q31))*HLOOKUP($U$34,$AV$24:$BF$34,Q31+1))*V34</f>
        <v>1.4182567068948453E-3</v>
      </c>
      <c r="AR31" s="28">
        <v>6</v>
      </c>
      <c r="AS31" s="79">
        <f>((($W$25)^Q31)*((1-($W$25))^($U$35-Q31))*HLOOKUP($U$35,$AV$24:$BF$34,Q31+1))*V35</f>
        <v>9.2750457008850473E-4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>
        <f t="shared" ref="BJ31:BJ37" si="18">$H$28*H43</f>
        <v>5.9746612813182345E-2</v>
      </c>
      <c r="BP31">
        <f t="shared" ref="BP31:BP37" si="19">BP24+1</f>
        <v>8</v>
      </c>
      <c r="BQ31">
        <v>0</v>
      </c>
      <c r="BR31" s="107">
        <f t="shared" ref="BR31:BR38" si="20">$H$33*H39</f>
        <v>4.8823025606936585E-5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1.4672334562973205E-2</v>
      </c>
      <c r="I32" s="93">
        <v>7</v>
      </c>
      <c r="J32" s="86">
        <f t="shared" si="13"/>
        <v>4.1869369143248878E-4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0.22307521342550227</v>
      </c>
      <c r="S32" s="72">
        <v>7</v>
      </c>
      <c r="T32" s="135">
        <f t="shared" si="15"/>
        <v>5.6640425226236405E-16</v>
      </c>
      <c r="U32" s="93">
        <v>7</v>
      </c>
      <c r="V32" s="86">
        <f>T32*R25+T31*R26+T30*R27+T29*R28+T28*R29+T27*R30+T26*R31+T25*R32</f>
        <v>0.22362618880225274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8.102428253881655E-6</v>
      </c>
      <c r="AN32" s="28">
        <v>7</v>
      </c>
      <c r="AO32" s="79">
        <f>((($W$25)^Q32)*((1-($W$25))^($U$33-Q32))*HLOOKUP($U$33,$AV$24:$BF$34,Q32+1))*V33</f>
        <v>6.6773085444819073E-5</v>
      </c>
      <c r="AP32" s="28">
        <v>7</v>
      </c>
      <c r="AQ32" s="79">
        <f>((($W$25)^Q32)*((1-($W$25))^($U$34-Q32))*HLOOKUP($U$34,$AV$24:$BF$34,Q32+1))*V34</f>
        <v>1.8366681397074888E-4</v>
      </c>
      <c r="AR32" s="28">
        <v>7</v>
      </c>
      <c r="AS32" s="79">
        <f>((($W$25)^Q32)*((1-($W$25))^($U$35-Q32))*HLOOKUP($U$35,$AV$24:$BF$34,Q32+1))*V35</f>
        <v>1.6015136376303917E-4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>
        <f t="shared" si="18"/>
        <v>4.034858275542752E-2</v>
      </c>
      <c r="BP32">
        <f t="shared" si="19"/>
        <v>8</v>
      </c>
      <c r="BQ32">
        <v>1</v>
      </c>
      <c r="BR32" s="107">
        <f t="shared" si="20"/>
        <v>2.4280045358890764E-4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0.64</v>
      </c>
      <c r="G33" s="87">
        <v>8</v>
      </c>
      <c r="H33" s="128">
        <f>J33*L25+J32*L26+J31*L27+J30*L28</f>
        <v>3.1557298860386473E-3</v>
      </c>
      <c r="I33" s="93">
        <v>8</v>
      </c>
      <c r="J33" s="86">
        <f t="shared" si="13"/>
        <v>3.4544207174806661E-5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0.29884976276366337</v>
      </c>
      <c r="S33" s="72">
        <v>8</v>
      </c>
      <c r="T33" s="135">
        <f t="shared" si="15"/>
        <v>3.2528600273502595E-18</v>
      </c>
      <c r="U33" s="93">
        <v>8</v>
      </c>
      <c r="V33" s="86">
        <f>T33*R25+T32*R26+T31*R27+T30*R28+T29*R29+T28*R30+T27*R31+T26*R32+T25*R33</f>
        <v>0.29997627650799918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2.5221103785718079E-6</v>
      </c>
      <c r="AP33" s="28">
        <v>8</v>
      </c>
      <c r="AQ33" s="79">
        <f>((($W$25)^Q33)*((1-($W$25))^($U$34-Q33))*HLOOKUP($U$34,$AV$24:$BF$34,Q33+1))*V34</f>
        <v>1.3874691415829587E-5</v>
      </c>
      <c r="AR33" s="28">
        <v>8</v>
      </c>
      <c r="AS33" s="79">
        <f>((($W$25)^Q33)*((1-($W$25))^($U$35-Q33))*HLOOKUP($U$35,$AV$24:$BF$34,Q33+1))*V35</f>
        <v>1.8147405380405267E-5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>
        <f t="shared" si="18"/>
        <v>2.0472398988143913E-2</v>
      </c>
      <c r="BP33">
        <f t="shared" si="19"/>
        <v>8</v>
      </c>
      <c r="BQ33">
        <v>2</v>
      </c>
      <c r="BR33" s="107">
        <f t="shared" si="20"/>
        <v>5.5056669835515891E-4</v>
      </c>
    </row>
    <row r="34" spans="1:70" x14ac:dyDescent="0.25">
      <c r="A34" s="40" t="s">
        <v>86</v>
      </c>
      <c r="B34" s="56">
        <f>B23*2</f>
        <v>7.8130050724549918</v>
      </c>
      <c r="C34" s="57">
        <f>C23*2</f>
        <v>2.1869949275450082</v>
      </c>
      <c r="G34" s="87">
        <v>9</v>
      </c>
      <c r="H34" s="128">
        <f>J34*L25+J33*L26+J32*L27+J31*L28</f>
        <v>4.9208899746433976E-4</v>
      </c>
      <c r="I34" s="93">
        <v>9</v>
      </c>
      <c r="J34" s="86">
        <f t="shared" si="13"/>
        <v>1.6844181558691196E-6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0.23725246435101197</v>
      </c>
      <c r="S34" s="72">
        <v>9</v>
      </c>
      <c r="T34" s="135">
        <f t="shared" si="15"/>
        <v>1.8389284074216291E-20</v>
      </c>
      <c r="U34" s="93">
        <v>9</v>
      </c>
      <c r="V34" s="86">
        <f>T34*R25+T33*R26+T32*R27+T31*R28+T30*R29+T29*R30+T28*R31+T27*R32+T26*R33+T25*R34</f>
        <v>0.23876552978584537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4.6583643675831925E-7</v>
      </c>
      <c r="AR34" s="28">
        <v>9</v>
      </c>
      <c r="AS34" s="79">
        <f>((($W$25)^Q34)*((1-($W$25))^($U$35-Q34))*HLOOKUP($U$35,$AV$24:$BF$34,Q34+1))*V35</f>
        <v>1.2185817191108003E-6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>
        <f t="shared" si="18"/>
        <v>7.9957655147470767E-3</v>
      </c>
      <c r="BP34">
        <f t="shared" si="19"/>
        <v>8</v>
      </c>
      <c r="BQ34">
        <v>3</v>
      </c>
      <c r="BR34" s="107">
        <f t="shared" si="20"/>
        <v>7.5647772460589284E-4</v>
      </c>
    </row>
    <row r="35" spans="1:70" ht="15.75" thickBot="1" x14ac:dyDescent="0.3">
      <c r="G35" s="88">
        <v>10</v>
      </c>
      <c r="H35" s="129">
        <f>J35*L25+J34*L26+J33*L27+J32*L28</f>
        <v>5.4216365885647271E-5</v>
      </c>
      <c r="I35" s="94">
        <v>10</v>
      </c>
      <c r="J35" s="89">
        <f t="shared" si="13"/>
        <v>3.6821992938422046E-8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8.4758070724366377E-2</v>
      </c>
      <c r="S35" s="72">
        <v>10</v>
      </c>
      <c r="T35" s="135">
        <f t="shared" si="15"/>
        <v>1.0267606964944888E-22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8.1331880971889259E-2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3.6821992938422046E-8</v>
      </c>
      <c r="BH35">
        <f t="shared" si="17"/>
        <v>3</v>
      </c>
      <c r="BI35">
        <v>8</v>
      </c>
      <c r="BJ35" s="107">
        <f t="shared" si="18"/>
        <v>2.4322405373639056E-3</v>
      </c>
      <c r="BP35">
        <f t="shared" si="19"/>
        <v>8</v>
      </c>
      <c r="BQ35">
        <v>4</v>
      </c>
      <c r="BR35" s="107">
        <f t="shared" si="20"/>
        <v>7.0646249841518742E-4</v>
      </c>
    </row>
    <row r="36" spans="1:70" x14ac:dyDescent="0.25">
      <c r="A36" s="1"/>
      <c r="B36" s="108">
        <f>SUM(B37:B39)</f>
        <v>0.99989091463676005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1.0000000000000002</v>
      </c>
      <c r="BH36">
        <f t="shared" si="17"/>
        <v>3</v>
      </c>
      <c r="BI36">
        <v>9</v>
      </c>
      <c r="BJ36" s="107">
        <f t="shared" si="18"/>
        <v>5.7290679576231138E-4</v>
      </c>
      <c r="BP36">
        <f t="shared" si="19"/>
        <v>8</v>
      </c>
      <c r="BQ36">
        <v>5</v>
      </c>
      <c r="BR36" s="107">
        <f t="shared" si="20"/>
        <v>4.7709416883666509E-4</v>
      </c>
    </row>
    <row r="37" spans="1:70" ht="15.75" thickBot="1" x14ac:dyDescent="0.3">
      <c r="A37" s="109" t="s">
        <v>104</v>
      </c>
      <c r="B37" s="107">
        <f>SUM(BN4:BN14)</f>
        <v>0.18013712773228452</v>
      </c>
      <c r="G37" s="13"/>
      <c r="H37" s="59">
        <f>SUM(H39:H49)</f>
        <v>0.99994929327426463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0.99999999999999978</v>
      </c>
      <c r="O37" s="13"/>
      <c r="P37" s="74">
        <f>SUM(P39:P49)</f>
        <v>0.99999999999999978</v>
      </c>
      <c r="Q37" s="13"/>
      <c r="R37" s="59">
        <f>SUM(R39:R49)</f>
        <v>0.99999999999999956</v>
      </c>
      <c r="S37" s="13"/>
      <c r="T37" s="59">
        <f>SUM(T39:T49)</f>
        <v>0.99999999999999989</v>
      </c>
      <c r="U37" s="13"/>
      <c r="V37" s="59">
        <f>SUM(V39:V48)</f>
        <v>0.9913835719767139</v>
      </c>
      <c r="W37" s="13"/>
      <c r="X37" s="13"/>
      <c r="Y37" s="80">
        <f>SUM(Y39:Y49)</f>
        <v>5.1249964218399839E-4</v>
      </c>
      <c r="Z37" s="81"/>
      <c r="AA37" s="80">
        <f>SUM(AA39:AA49)</f>
        <v>5.9901273015570767E-3</v>
      </c>
      <c r="AB37" s="81"/>
      <c r="AC37" s="80">
        <f>SUM(AC39:AC49)</f>
        <v>3.0756326915955937E-2</v>
      </c>
      <c r="AD37" s="81"/>
      <c r="AE37" s="80">
        <f>SUM(AE39:AE49)</f>
        <v>9.1546583813515284E-2</v>
      </c>
      <c r="AF37" s="81"/>
      <c r="AG37" s="80">
        <f>SUM(AG39:AG49)</f>
        <v>0.17596150886131123</v>
      </c>
      <c r="AH37" s="81"/>
      <c r="AI37" s="80">
        <f>SUM(AI39:AI49)</f>
        <v>0.23100501869572243</v>
      </c>
      <c r="AJ37" s="81"/>
      <c r="AK37" s="80">
        <f>SUM(AK39:AK49)</f>
        <v>0.21441895668282956</v>
      </c>
      <c r="AL37" s="81"/>
      <c r="AM37" s="80">
        <f>SUM(AM39:AM49)</f>
        <v>0.14406297689914382</v>
      </c>
      <c r="AN37" s="81"/>
      <c r="AO37" s="80">
        <f>SUM(AO39:AO49)</f>
        <v>7.1133283858145782E-2</v>
      </c>
      <c r="AP37" s="81"/>
      <c r="AQ37" s="80">
        <f>SUM(AQ39:AQ49)</f>
        <v>2.5996289306348872E-2</v>
      </c>
      <c r="AR37" s="81"/>
      <c r="AS37" s="80">
        <f>SUM(AS39:AS49)</f>
        <v>8.6164280232861046E-3</v>
      </c>
      <c r="BH37">
        <f t="shared" si="17"/>
        <v>3</v>
      </c>
      <c r="BI37">
        <v>10</v>
      </c>
      <c r="BJ37" s="107">
        <f t="shared" si="18"/>
        <v>1.0107056756474894E-4</v>
      </c>
      <c r="BP37">
        <f t="shared" si="19"/>
        <v>8</v>
      </c>
      <c r="BQ37">
        <v>6</v>
      </c>
      <c r="BR37" s="107">
        <f t="shared" si="20"/>
        <v>2.4207200135244533E-4</v>
      </c>
    </row>
    <row r="38" spans="1:70" ht="15.75" thickBot="1" x14ac:dyDescent="0.3">
      <c r="A38" s="110" t="s">
        <v>105</v>
      </c>
      <c r="B38" s="107">
        <f>SUM(BJ4:BJ59)</f>
        <v>0.465645854753238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>
        <f t="shared" ref="BJ38:BJ43" si="34">$H$29*H44</f>
        <v>3.3075699123623119E-2</v>
      </c>
      <c r="BP38">
        <f>BL11+1</f>
        <v>8</v>
      </c>
      <c r="BQ38">
        <v>7</v>
      </c>
      <c r="BR38" s="107">
        <f t="shared" si="20"/>
        <v>9.4544413755350167E-5</v>
      </c>
    </row>
    <row r="39" spans="1:70" x14ac:dyDescent="0.25">
      <c r="A39" s="111" t="s">
        <v>0</v>
      </c>
      <c r="B39" s="107">
        <f>SUM(BR4:BR47)</f>
        <v>0.35410793215123748</v>
      </c>
      <c r="G39" s="130">
        <v>0</v>
      </c>
      <c r="H39" s="131">
        <f>L39*J39</f>
        <v>1.5471230862608329E-2</v>
      </c>
      <c r="I39" s="97">
        <v>0</v>
      </c>
      <c r="J39" s="98">
        <f t="shared" ref="J39:J49" si="35">Y39+AA39+AC39+AE39+AG39+AI39+AK39+AM39+AO39+AQ39+AS39</f>
        <v>2.1987442345009843E-2</v>
      </c>
      <c r="K39" s="102">
        <v>0</v>
      </c>
      <c r="L39" s="98">
        <f>AC20</f>
        <v>0.70363940561370475</v>
      </c>
      <c r="M39" s="84">
        <v>0</v>
      </c>
      <c r="N39" s="71">
        <f>(1-$C$24)^$B$21</f>
        <v>0.29113239380798278</v>
      </c>
      <c r="O39" s="70">
        <v>0</v>
      </c>
      <c r="P39" s="71">
        <f>N39</f>
        <v>0.29113239380798278</v>
      </c>
      <c r="Q39" s="12">
        <v>0</v>
      </c>
      <c r="R39" s="73">
        <f>P39*N39</f>
        <v>8.4758070724366377E-2</v>
      </c>
      <c r="S39" s="70">
        <v>0</v>
      </c>
      <c r="T39" s="135">
        <f>(1-$C$33)^(INT(B23*2*(1-B31)))</f>
        <v>6.0466175999999991E-3</v>
      </c>
      <c r="U39" s="140">
        <v>0</v>
      </c>
      <c r="V39" s="86">
        <f>R39*T39</f>
        <v>5.1249964218399839E-4</v>
      </c>
      <c r="W39" s="136">
        <f>C31</f>
        <v>0.59845568139408334</v>
      </c>
      <c r="X39" s="12">
        <v>0</v>
      </c>
      <c r="Y39" s="79">
        <f>V39</f>
        <v>5.1249964218399839E-4</v>
      </c>
      <c r="Z39" s="12">
        <v>0</v>
      </c>
      <c r="AA39" s="78">
        <f>((1-W39)^Z40)*V40</f>
        <v>2.4053015856664345E-3</v>
      </c>
      <c r="AB39" s="12">
        <v>0</v>
      </c>
      <c r="AC39" s="79">
        <f>(((1-$W$39)^AB41))*V41</f>
        <v>4.9590837122555761E-3</v>
      </c>
      <c r="AD39" s="12">
        <v>0</v>
      </c>
      <c r="AE39" s="79">
        <f>(((1-$W$39)^AB42))*V42</f>
        <v>5.9271047032594948E-3</v>
      </c>
      <c r="AF39" s="12">
        <v>0</v>
      </c>
      <c r="AG39" s="79">
        <f>(((1-$W$39)^AB43))*V43</f>
        <v>4.5745841345346512E-3</v>
      </c>
      <c r="AH39" s="12">
        <v>0</v>
      </c>
      <c r="AI39" s="79">
        <f>(((1-$W$39)^AB44))*V44</f>
        <v>2.4115087541945767E-3</v>
      </c>
      <c r="AJ39" s="12">
        <v>0</v>
      </c>
      <c r="AK39" s="79">
        <f>(((1-$W$39)^AB45))*V45</f>
        <v>8.9880212717584026E-4</v>
      </c>
      <c r="AL39" s="12">
        <v>0</v>
      </c>
      <c r="AM39" s="79">
        <f>(((1-$W$39)^AB46))*V46</f>
        <v>2.424860635385742E-4</v>
      </c>
      <c r="AN39" s="12">
        <v>0</v>
      </c>
      <c r="AO39" s="79">
        <f>(((1-$W$39)^AB47))*V47</f>
        <v>4.8077374450378264E-5</v>
      </c>
      <c r="AP39" s="12">
        <v>0</v>
      </c>
      <c r="AQ39" s="79">
        <f>(((1-$W$39)^AB48))*V48</f>
        <v>7.0552552585017537E-6</v>
      </c>
      <c r="AR39" s="12">
        <v>0</v>
      </c>
      <c r="AS39" s="79">
        <f>(((1-$W$39)^AB49))*V49</f>
        <v>9.3899249181694877E-7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>
        <f t="shared" si="34"/>
        <v>1.6782222894298031E-2</v>
      </c>
      <c r="BP39">
        <f t="shared" ref="BP39:BP46" si="36">BP31+1</f>
        <v>9</v>
      </c>
      <c r="BQ39">
        <v>0</v>
      </c>
      <c r="BR39" s="107">
        <f t="shared" ref="BR39:BR47" si="37">$H$34*H39</f>
        <v>7.6132224847202855E-6</v>
      </c>
    </row>
    <row r="40" spans="1:70" x14ac:dyDescent="0.25">
      <c r="G40" s="91">
        <v>1</v>
      </c>
      <c r="H40" s="132">
        <f>L39*J40+L40*J39</f>
        <v>7.6939555144782165E-2</v>
      </c>
      <c r="I40" s="93">
        <v>1</v>
      </c>
      <c r="J40" s="86">
        <f t="shared" si="35"/>
        <v>0.1013586854872138</v>
      </c>
      <c r="K40" s="95">
        <v>1</v>
      </c>
      <c r="L40" s="86">
        <f>AD20</f>
        <v>0.25558179285222732</v>
      </c>
      <c r="M40" s="85">
        <v>1</v>
      </c>
      <c r="N40" s="71">
        <f>(($C$24)^M26)*((1-($C$24))^($B$21-M26))*HLOOKUP($B$21,$AV$24:$BF$34,M26+1)</f>
        <v>0.40746490153117843</v>
      </c>
      <c r="O40" s="72">
        <v>1</v>
      </c>
      <c r="P40" s="71">
        <f t="shared" ref="P40:P44" si="38">N40</f>
        <v>0.40746490153117843</v>
      </c>
      <c r="Q40" s="28">
        <v>1</v>
      </c>
      <c r="R40" s="37">
        <f>P40*N39+P39*N40</f>
        <v>0.23725246435101194</v>
      </c>
      <c r="S40" s="72">
        <v>1</v>
      </c>
      <c r="T40" s="135">
        <f t="shared" ref="T40:T49" si="39">(($C$33)^S40)*((1-($C$33))^(INT($B$23*2*(1-$B$31))-S40))*HLOOKUP(INT($B$23*2*(1-$B$31)),$AV$24:$BF$34,S40+1)</f>
        <v>5.3747711999999996E-2</v>
      </c>
      <c r="U40" s="93">
        <v>1</v>
      </c>
      <c r="V40" s="86">
        <f>R40*T39+T40*R39</f>
        <v>5.9901273015570767E-3</v>
      </c>
      <c r="W40" s="137"/>
      <c r="X40" s="28">
        <v>1</v>
      </c>
      <c r="Y40" s="73"/>
      <c r="Z40" s="28">
        <v>1</v>
      </c>
      <c r="AA40" s="79">
        <f>(1-((1-W39)^Z40))*V40</f>
        <v>3.5848257158906422E-3</v>
      </c>
      <c r="AB40" s="28">
        <v>1</v>
      </c>
      <c r="AC40" s="79">
        <f>((($W$39)^M40)*((1-($W$39))^($U$27-M40))*HLOOKUP($U$27,$AV$24:$BF$34,M40+1))*V41</f>
        <v>1.4781889244065529E-2</v>
      </c>
      <c r="AD40" s="28">
        <v>1</v>
      </c>
      <c r="AE40" s="79">
        <f>((($W$39)^M40)*((1-($W$39))^($U$28-M40))*HLOOKUP($U$28,$AV$24:$BF$34,M40+1))*V42</f>
        <v>2.6501006136992106E-2</v>
      </c>
      <c r="AF40" s="28">
        <v>1</v>
      </c>
      <c r="AG40" s="79">
        <f>((($W$39)^M40)*((1-($W$39))^($U$29-M40))*HLOOKUP($U$29,$AV$24:$BF$34,M40+1))*V43</f>
        <v>2.7271568675977863E-2</v>
      </c>
      <c r="AH40" s="28">
        <v>1</v>
      </c>
      <c r="AI40" s="79">
        <f>((($W$39)^M40)*((1-($W$39))^($U$30-M40))*HLOOKUP($U$30,$AV$24:$BF$34,M40+1))*V44</f>
        <v>1.7970383937814822E-2</v>
      </c>
      <c r="AJ40" s="28">
        <v>1</v>
      </c>
      <c r="AK40" s="79">
        <f>((($W$39)^M40)*((1-($W$39))^($U$31-M40))*HLOOKUP($U$31,$AV$24:$BF$34,M40+1))*V45</f>
        <v>8.0373679496937578E-3</v>
      </c>
      <c r="AL40" s="28">
        <v>1</v>
      </c>
      <c r="AM40" s="79">
        <f>((($W$39)^Q40)*((1-($W$39))^($U$32-Q40))*HLOOKUP($U$32,$AV$24:$BF$34,Q40+1))*V46</f>
        <v>2.5297833629213179E-3</v>
      </c>
      <c r="AN40" s="28">
        <v>1</v>
      </c>
      <c r="AO40" s="79">
        <f>((($W$39)^Q40)*((1-($W$39))^($U$33-Q40))*HLOOKUP($U$33,$AV$24:$BF$34,Q40+1))*V47</f>
        <v>5.7323043167401282E-4</v>
      </c>
      <c r="AP40" s="28">
        <v>1</v>
      </c>
      <c r="AQ40" s="79">
        <f>((($W$39)^Q40)*((1-($W$39))^($U$34-Q40))*HLOOKUP($U$34,$AV$24:$BF$34,Q40+1))*V48</f>
        <v>9.4635427716054812E-5</v>
      </c>
      <c r="AR40" s="28">
        <v>1</v>
      </c>
      <c r="AS40" s="79">
        <f>((($W$39)^Q40)*((1-($W$39))^($U$35-Q40))*HLOOKUP($U$35,$AV$24:$BF$34,Q40+1))*V49</f>
        <v>1.3994604467701218E-5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>
        <f t="shared" si="34"/>
        <v>6.5545185572408009E-3</v>
      </c>
      <c r="BP40">
        <f t="shared" si="36"/>
        <v>9</v>
      </c>
      <c r="BQ40">
        <v>1</v>
      </c>
      <c r="BR40" s="107">
        <f t="shared" si="37"/>
        <v>3.7861108556548139E-5</v>
      </c>
    </row>
    <row r="41" spans="1:70" x14ac:dyDescent="0.25">
      <c r="G41" s="91">
        <v>2</v>
      </c>
      <c r="H41" s="132">
        <f>L39*J41+J40*L40+J39*L41</f>
        <v>0.17446572369547103</v>
      </c>
      <c r="I41" s="93">
        <v>2</v>
      </c>
      <c r="J41" s="86">
        <f t="shared" si="35"/>
        <v>0.2099515451617307</v>
      </c>
      <c r="K41" s="95">
        <v>2</v>
      </c>
      <c r="L41" s="86">
        <f>AE20</f>
        <v>3.7753763225363141E-2</v>
      </c>
      <c r="M41" s="85">
        <v>2</v>
      </c>
      <c r="N41" s="71">
        <f>(($C$24)^M27)*((1-($C$24))^($B$21-M27))*HLOOKUP($B$21,$AV$24:$BF$34,M27+1)</f>
        <v>0.22811291290287253</v>
      </c>
      <c r="O41" s="72">
        <v>2</v>
      </c>
      <c r="P41" s="71">
        <f t="shared" si="38"/>
        <v>0.22811291290287253</v>
      </c>
      <c r="Q41" s="28">
        <v>2</v>
      </c>
      <c r="R41" s="37">
        <f>P41*N39+P40*N40+P39*N41</f>
        <v>0.29884976276366326</v>
      </c>
      <c r="S41" s="72">
        <v>2</v>
      </c>
      <c r="T41" s="135">
        <f t="shared" si="39"/>
        <v>0.19110297599999998</v>
      </c>
      <c r="U41" s="93">
        <v>2</v>
      </c>
      <c r="V41" s="86">
        <f>R41*T39+T40*R40+R39*T41</f>
        <v>3.0756326915955937E-2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1.101535395963483E-2</v>
      </c>
      <c r="AD41" s="28">
        <v>2</v>
      </c>
      <c r="AE41" s="79">
        <f>((($W$39)^M41)*((1-($W$39))^($U$28-M41))*HLOOKUP($U$28,$AV$24:$BF$34,M41+1))*V42</f>
        <v>3.9496705470529608E-2</v>
      </c>
      <c r="AF41" s="28">
        <v>2</v>
      </c>
      <c r="AG41" s="79">
        <f>((($W$39)^M41)*((1-($W$39))^($U$29-M41))*HLOOKUP($U$29,$AV$24:$BF$34,M41+1))*V43</f>
        <v>6.0967710630288267E-2</v>
      </c>
      <c r="AH41" s="28">
        <v>2</v>
      </c>
      <c r="AI41" s="79">
        <f>((($W$39)^M41)*((1-($W$39))^($U$30-M41))*HLOOKUP($U$30,$AV$24:$BF$34,M41+1))*V44</f>
        <v>5.3565585994371466E-2</v>
      </c>
      <c r="AJ41" s="28">
        <v>2</v>
      </c>
      <c r="AK41" s="79">
        <f>((($W$39)^M41)*((1-($W$39))^($U$31-M41))*HLOOKUP($U$31,$AV$24:$BF$34,M41+1))*V45</f>
        <v>2.9946934186793839E-2</v>
      </c>
      <c r="AL41" s="28">
        <v>2</v>
      </c>
      <c r="AM41" s="79">
        <f>((($W$39)^Q41)*((1-($W$39))^($U$32-Q41))*HLOOKUP($U$32,$AV$24:$BF$34,Q41+1))*V46</f>
        <v>1.1311054516916169E-2</v>
      </c>
      <c r="AN41" s="28">
        <v>2</v>
      </c>
      <c r="AO41" s="79">
        <f>((($W$39)^Q41)*((1-($W$39))^($U$33-Q41))*HLOOKUP($U$33,$AV$24:$BF$34,Q41+1))*V47</f>
        <v>2.990169389546043E-3</v>
      </c>
      <c r="AP41" s="28">
        <v>2</v>
      </c>
      <c r="AQ41" s="79">
        <f>((($W$39)^Q41)*((1-($W$39))^($U$34-Q41))*HLOOKUP($U$34,$AV$24:$BF$34,Q41+1))*V48</f>
        <v>5.6417293686991394E-4</v>
      </c>
      <c r="AR41" s="28">
        <v>2</v>
      </c>
      <c r="AS41" s="79">
        <f>((($W$39)^Q41)*((1-($W$39))^($U$35-Q41))*HLOOKUP($U$35,$AV$24:$BF$34,Q41+1))*V49</f>
        <v>9.3858076780567223E-5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>
        <f t="shared" si="34"/>
        <v>1.993826070614746E-3</v>
      </c>
      <c r="BP41">
        <f t="shared" si="36"/>
        <v>9</v>
      </c>
      <c r="BQ41">
        <v>2</v>
      </c>
      <c r="BR41" s="107">
        <f t="shared" si="37"/>
        <v>8.585266306519485E-5</v>
      </c>
    </row>
    <row r="42" spans="1:70" ht="15" customHeight="1" x14ac:dyDescent="0.25">
      <c r="G42" s="91">
        <v>3</v>
      </c>
      <c r="H42" s="132">
        <f>J42*L39+J41*L40+L42*J39+L41*J40</f>
        <v>0.23971561316215531</v>
      </c>
      <c r="I42" s="93">
        <v>3</v>
      </c>
      <c r="J42" s="86">
        <f t="shared" si="35"/>
        <v>0.25888634820078421</v>
      </c>
      <c r="K42" s="95">
        <v>3</v>
      </c>
      <c r="L42" s="86">
        <f>AF20</f>
        <v>3.0250383087047916E-3</v>
      </c>
      <c r="M42" s="85">
        <v>3</v>
      </c>
      <c r="N42" s="71">
        <f>(($C$24)^M28)*((1-($C$24))^($B$21-M28))*HLOOKUP($B$21,$AV$24:$BF$34,M28+1)</f>
        <v>6.3852740245225595E-2</v>
      </c>
      <c r="O42" s="72">
        <v>3</v>
      </c>
      <c r="P42" s="71">
        <f t="shared" si="38"/>
        <v>6.3852740245225595E-2</v>
      </c>
      <c r="Q42" s="28">
        <v>3</v>
      </c>
      <c r="R42" s="37">
        <f>P42*N39+P41*N40+P40*N41+P39*N42</f>
        <v>0.22307521342550216</v>
      </c>
      <c r="S42" s="72">
        <v>3</v>
      </c>
      <c r="T42" s="135">
        <f t="shared" si="39"/>
        <v>0.33973862400000004</v>
      </c>
      <c r="U42" s="93">
        <v>3</v>
      </c>
      <c r="V42" s="86">
        <f>R42*T39+R41*T40+R40*T41+R39*T42</f>
        <v>9.1546583813515284E-2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1.9621767502734075E-2</v>
      </c>
      <c r="AF42" s="28">
        <v>3</v>
      </c>
      <c r="AG42" s="79">
        <f>((($W$39)^M42)*((1-($W$39))^($U$29-M42))*HLOOKUP($U$29,$AV$24:$BF$34,M42+1))*V43</f>
        <v>6.0576912879688041E-2</v>
      </c>
      <c r="AH42" s="28">
        <v>3</v>
      </c>
      <c r="AI42" s="79">
        <f>((($W$39)^M42)*((1-($W$39))^($U$30-M42))*HLOOKUP($U$30,$AV$24:$BF$34,M42+1))*V44</f>
        <v>7.9833352833453816E-2</v>
      </c>
      <c r="AJ42" s="28">
        <v>3</v>
      </c>
      <c r="AK42" s="79">
        <f>((($W$39)^M42)*((1-($W$39))^($U$31-M42))*HLOOKUP($U$31,$AV$24:$BF$34,M42+1))*V45</f>
        <v>5.950995385895088E-2</v>
      </c>
      <c r="AL42" s="28">
        <v>3</v>
      </c>
      <c r="AM42" s="79">
        <f>((($W$39)^Q42)*((1-($W$39))^($U$32-Q42))*HLOOKUP($U$32,$AV$24:$BF$34,Q42+1))*V46</f>
        <v>2.8096379090058708E-2</v>
      </c>
      <c r="AN42" s="28">
        <v>3</v>
      </c>
      <c r="AO42" s="79">
        <f>((($W$39)^Q42)*((1-($W$39))^($U$33-Q42))*HLOOKUP($U$33,$AV$24:$BF$34,Q42+1))*V47</f>
        <v>8.9130079873486687E-3</v>
      </c>
      <c r="AP42" s="28">
        <v>3</v>
      </c>
      <c r="AQ42" s="79">
        <f>((($W$39)^Q42)*((1-($W$39))^($U$34-Q42))*HLOOKUP($U$34,$AV$24:$BF$34,Q42+1))*V48</f>
        <v>1.9619482300363561E-3</v>
      </c>
      <c r="AR42" s="28">
        <v>3</v>
      </c>
      <c r="AS42" s="79">
        <f>((($W$39)^Q42)*((1-($W$39))^($U$35-Q42))*HLOOKUP($U$35,$AV$24:$BF$34,Q42+1))*V49</f>
        <v>3.7302581851363889E-4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>
        <f t="shared" si="34"/>
        <v>4.6963961330126843E-4</v>
      </c>
      <c r="BP42">
        <f t="shared" si="36"/>
        <v>9</v>
      </c>
      <c r="BQ42">
        <v>3</v>
      </c>
      <c r="BR42" s="107">
        <f t="shared" si="37"/>
        <v>1.1796141575751449E-4</v>
      </c>
    </row>
    <row r="43" spans="1:70" ht="15" customHeight="1" x14ac:dyDescent="0.25">
      <c r="G43" s="91">
        <v>4</v>
      </c>
      <c r="H43" s="132">
        <f>J43*L39+J42*L40+J41*L41+J40*L42</f>
        <v>0.22386659312657523</v>
      </c>
      <c r="I43" s="93">
        <v>4</v>
      </c>
      <c r="J43" s="86">
        <f t="shared" si="35"/>
        <v>0.21241971396803155</v>
      </c>
      <c r="K43" s="95">
        <v>4</v>
      </c>
      <c r="L43" s="86"/>
      <c r="M43" s="85">
        <v>4</v>
      </c>
      <c r="N43" s="71">
        <f>(($C$24)^M29)*((1-($C$24))^($B$21-M29))*HLOOKUP($B$21,$AV$24:$BF$34,M29+1)</f>
        <v>8.9367418637985151E-3</v>
      </c>
      <c r="O43" s="72">
        <v>4</v>
      </c>
      <c r="P43" s="71">
        <f t="shared" si="38"/>
        <v>8.9367418637985151E-3</v>
      </c>
      <c r="Q43" s="28">
        <v>4</v>
      </c>
      <c r="R43" s="37">
        <f>P43*N39+P42*N40+P41*N41+P40*N42+P39*N43</f>
        <v>0.10927455216937036</v>
      </c>
      <c r="S43" s="72">
        <v>4</v>
      </c>
      <c r="T43" s="135">
        <f t="shared" si="39"/>
        <v>0.30198988799999998</v>
      </c>
      <c r="U43" s="93">
        <v>4</v>
      </c>
      <c r="V43" s="86">
        <f>T43*R39+T42*R40+T41*R41+T40*R42+T39*R43</f>
        <v>0.17596150886131123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2.2570732540822425E-2</v>
      </c>
      <c r="AH43" s="28">
        <v>4</v>
      </c>
      <c r="AI43" s="79">
        <f>((($W$39)^M43)*((1-($W$39))^($U$30-M43))*HLOOKUP($U$30,$AV$24:$BF$34,M43+1))*V44</f>
        <v>5.9491220961350309E-2</v>
      </c>
      <c r="AJ43" s="28">
        <v>4</v>
      </c>
      <c r="AK43" s="79">
        <f>((($W$39)^M43)*((1-($W$39))^($U$31-M43))*HLOOKUP($U$31,$AV$24:$BF$34,M43+1))*V45</f>
        <v>6.6519562728531406E-2</v>
      </c>
      <c r="AL43" s="28">
        <v>4</v>
      </c>
      <c r="AM43" s="79">
        <f>((($W$39)^Q43)*((1-($W$39))^($U$32-Q43))*HLOOKUP($U$32,$AV$24:$BF$34,Q43+1))*V46</f>
        <v>4.1874425596218116E-2</v>
      </c>
      <c r="AN43" s="28">
        <v>4</v>
      </c>
      <c r="AO43" s="79">
        <f>((($W$39)^Q43)*((1-($W$39))^($U$33-Q43))*HLOOKUP($U$33,$AV$24:$BF$34,Q43+1))*V47</f>
        <v>1.6604768207337608E-2</v>
      </c>
      <c r="AP43" s="28">
        <v>4</v>
      </c>
      <c r="AQ43" s="79">
        <f>((($W$39)^Q43)*((1-($W$39))^($U$34-Q43))*HLOOKUP($U$34,$AV$24:$BF$34,Q43+1))*V48</f>
        <v>4.386087701138585E-3</v>
      </c>
      <c r="AR43" s="28">
        <v>4</v>
      </c>
      <c r="AS43" s="79">
        <f>((($W$39)^Q43)*((1-($W$39))^($U$35-Q43))*HLOOKUP($U$35,$AV$24:$BF$34,Q43+1))*V49</f>
        <v>9.7291623263308954E-4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>
        <f t="shared" si="34"/>
        <v>8.2852468531271369E-5</v>
      </c>
      <c r="BP43">
        <f t="shared" si="36"/>
        <v>9</v>
      </c>
      <c r="BQ43">
        <v>4</v>
      </c>
      <c r="BR43" s="107">
        <f t="shared" si="37"/>
        <v>1.1016228737741366E-4</v>
      </c>
    </row>
    <row r="44" spans="1:70" ht="15" customHeight="1" thickBot="1" x14ac:dyDescent="0.3">
      <c r="G44" s="91">
        <v>5</v>
      </c>
      <c r="H44" s="132">
        <f>J44*L39+J43*L40+J42*L41+J41*L42</f>
        <v>0.15118346185058193</v>
      </c>
      <c r="I44" s="93">
        <v>5</v>
      </c>
      <c r="J44" s="86">
        <f t="shared" si="35"/>
        <v>0.12290926924808565</v>
      </c>
      <c r="K44" s="95">
        <v>5</v>
      </c>
      <c r="L44" s="86"/>
      <c r="M44" s="85">
        <v>5</v>
      </c>
      <c r="N44" s="71">
        <f>(($C$24)^M30)*((1-($C$24))^($B$21-M30))*HLOOKUP($B$21,$AV$24:$BF$34,M30+1)</f>
        <v>5.0030964894190704E-4</v>
      </c>
      <c r="O44" s="72">
        <v>5</v>
      </c>
      <c r="P44" s="71">
        <f t="shared" si="38"/>
        <v>5.0030964894190704E-4</v>
      </c>
      <c r="Q44" s="28">
        <v>5</v>
      </c>
      <c r="R44" s="37">
        <f>P44*N39+P43*N40+P42*N41+P41*N42+P40*N43+P39*N44</f>
        <v>3.670539912690559E-2</v>
      </c>
      <c r="S44" s="72">
        <v>5</v>
      </c>
      <c r="T44" s="135">
        <f t="shared" si="39"/>
        <v>0.1073741824</v>
      </c>
      <c r="U44" s="93">
        <v>5</v>
      </c>
      <c r="V44" s="86">
        <f>T44*R39+T43*R40+T42*R41+T41*R42+T40*R43+T39*R44</f>
        <v>0.2310050186957224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1.7732966214537432E-2</v>
      </c>
      <c r="AJ44" s="28">
        <v>5</v>
      </c>
      <c r="AK44" s="79">
        <f>((($W$39)^M44)*((1-($W$39))^($U$31-M44))*HLOOKUP($U$31,$AV$24:$BF$34,M44+1))*V45</f>
        <v>3.9655906851775502E-2</v>
      </c>
      <c r="AL44" s="28">
        <v>5</v>
      </c>
      <c r="AM44" s="79">
        <f>((($W$39)^Q44)*((1-($W$39))^($U$32-Q44))*HLOOKUP($U$32,$AV$24:$BF$34,Q44+1))*V46</f>
        <v>3.7445412735770636E-2</v>
      </c>
      <c r="AN44" s="28">
        <v>5</v>
      </c>
      <c r="AO44" s="79">
        <f>((($W$39)^Q44)*((1-($W$39))^($U$33-Q44))*HLOOKUP($U$33,$AV$24:$BF$34,Q44+1))*V47</f>
        <v>1.9797999695601459E-2</v>
      </c>
      <c r="AP44" s="28">
        <v>5</v>
      </c>
      <c r="AQ44" s="79">
        <f>((($W$39)^Q44)*((1-($W$39))^($U$34-Q44))*HLOOKUP($U$34,$AV$24:$BF$34,Q44+1))*V48</f>
        <v>6.5369598876461937E-3</v>
      </c>
      <c r="AR44" s="28">
        <v>5</v>
      </c>
      <c r="AS44" s="79">
        <f>((($W$39)^Q44)*((1-($W$39))^($U$35-Q44))*HLOOKUP($U$35,$AV$24:$BF$34,Q44+1))*V49</f>
        <v>1.7400238627544239E-3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>
        <f>$H$30*H45</f>
        <v>9.4803019381254679E-3</v>
      </c>
      <c r="BP44">
        <f t="shared" si="36"/>
        <v>9</v>
      </c>
      <c r="BQ44">
        <v>5</v>
      </c>
      <c r="BR44" s="107">
        <f t="shared" si="37"/>
        <v>7.4395718175241114E-5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7.6708720357658883E-2</v>
      </c>
      <c r="I45" s="93">
        <v>6</v>
      </c>
      <c r="J45" s="86">
        <f t="shared" si="35"/>
        <v>5.1862593208223208E-2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8.5620621173309302E-3</v>
      </c>
      <c r="S45" s="70">
        <v>6</v>
      </c>
      <c r="T45" s="135">
        <f t="shared" si="39"/>
        <v>0</v>
      </c>
      <c r="U45" s="93">
        <v>6</v>
      </c>
      <c r="V45" s="86">
        <f>T45*R39+T44*R40+T43*R41+T42*R42+T41*R43+T40*R44+T39*R45</f>
        <v>0.21441895668282954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9.8504289799083346E-3</v>
      </c>
      <c r="AL45" s="28">
        <v>6</v>
      </c>
      <c r="AM45" s="79">
        <f>((($W$39)^Q45)*((1-($W$39))^($U$32-Q45))*HLOOKUP($U$32,$AV$24:$BF$34,Q45+1))*V46</f>
        <v>1.8602695439837065E-2</v>
      </c>
      <c r="AN45" s="28">
        <v>6</v>
      </c>
      <c r="AO45" s="79">
        <f>((($W$39)^Q45)*((1-($W$39))^($U$33-Q45))*HLOOKUP($U$33,$AV$24:$BF$34,Q45+1))*V47</f>
        <v>1.4753322172762581E-2</v>
      </c>
      <c r="AP45" s="28">
        <v>6</v>
      </c>
      <c r="AQ45" s="79">
        <f>((($W$39)^Q45)*((1-($W$39))^($U$34-Q45))*HLOOKUP($U$34,$AV$24:$BF$34,Q45+1))*V48</f>
        <v>6.4950585403027207E-3</v>
      </c>
      <c r="AR45" s="28">
        <v>6</v>
      </c>
      <c r="AS45" s="79">
        <f>((($W$39)^Q45)*((1-($W$39))^($U$35-Q45))*HLOOKUP($U$35,$AV$24:$BF$34,Q45+1))*V49</f>
        <v>2.1610880754125055E-3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>
        <f>$H$30*H46</f>
        <v>3.7026569944319915E-3</v>
      </c>
      <c r="BP45">
        <f t="shared" si="36"/>
        <v>9</v>
      </c>
      <c r="BQ45">
        <v>6</v>
      </c>
      <c r="BR45" s="107">
        <f t="shared" si="37"/>
        <v>3.7747517297572748E-5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2.9959602744717394E-2</v>
      </c>
      <c r="I46" s="93">
        <v>7</v>
      </c>
      <c r="J46" s="86">
        <f t="shared" si="35"/>
        <v>1.623218210606063E-2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1.3695250964826237E-3</v>
      </c>
      <c r="S46" s="72">
        <v>7</v>
      </c>
      <c r="T46" s="135">
        <f t="shared" si="39"/>
        <v>0</v>
      </c>
      <c r="U46" s="93">
        <v>7</v>
      </c>
      <c r="V46" s="86">
        <f>T46*R39+T45*R40+T44*R41+T43*R42+T42*R43+T41*R44+T40*R45+T39*R46</f>
        <v>0.1440629768991438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3.960740093883218E-3</v>
      </c>
      <c r="AN46" s="28">
        <v>7</v>
      </c>
      <c r="AO46" s="79">
        <f>((($W$39)^Q46)*((1-($W$39))^($U$33-Q46))*HLOOKUP($U$33,$AV$24:$BF$34,Q46+1))*V47</f>
        <v>6.2823234231424718E-3</v>
      </c>
      <c r="AP46" s="28">
        <v>7</v>
      </c>
      <c r="AQ46" s="79">
        <f>((($W$39)^Q46)*((1-($W$39))^($U$34-Q46))*HLOOKUP($U$34,$AV$24:$BF$34,Q46+1))*V48</f>
        <v>4.1486308566240082E-3</v>
      </c>
      <c r="AR46" s="28">
        <v>7</v>
      </c>
      <c r="AS46" s="79">
        <f>((($W$39)^Q46)*((1-($W$39))^($U$35-Q46))*HLOOKUP($U$35,$AV$24:$BF$34,Q46+1))*V49</f>
        <v>1.8404877324109327E-3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>
        <f>$H$30*H47</f>
        <v>1.1263152253779369E-3</v>
      </c>
      <c r="BP46">
        <f t="shared" si="36"/>
        <v>9</v>
      </c>
      <c r="BQ46">
        <v>7</v>
      </c>
      <c r="BR46" s="107">
        <f t="shared" si="37"/>
        <v>1.4742790879077864E-5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9.1134438778405786E-3</v>
      </c>
      <c r="I47" s="93">
        <v>8</v>
      </c>
      <c r="J47" s="86">
        <f t="shared" si="35"/>
        <v>3.744787941153762E-3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1.4375763925230417E-4</v>
      </c>
      <c r="S47" s="72">
        <v>8</v>
      </c>
      <c r="T47" s="135">
        <f t="shared" si="39"/>
        <v>0</v>
      </c>
      <c r="U47" s="93">
        <v>8</v>
      </c>
      <c r="V47" s="86">
        <f>T47*R39+T46*R40+T45*R41+T44*R42+T43*R43+T42*R44+T41*R45+T40*R46+T39*R47</f>
        <v>7.1133283858145768E-2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1.1703851762825501E-3</v>
      </c>
      <c r="AP47" s="28">
        <v>8</v>
      </c>
      <c r="AQ47" s="79">
        <f>((($W$39)^Q47)*((1-($W$39))^($U$34-Q47))*HLOOKUP($U$34,$AV$24:$BF$34,Q47+1))*V48</f>
        <v>1.5457644344048613E-3</v>
      </c>
      <c r="AR47" s="28">
        <v>8</v>
      </c>
      <c r="AS47" s="79">
        <f>((($W$39)^Q47)*((1-($W$39))^($U$35-Q47))*HLOOKUP($U$35,$AV$24:$BF$34,Q47+1))*V49</f>
        <v>1.0286383304663508E-3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>
        <f>$H$30*H48</f>
        <v>2.6530009547860571E-4</v>
      </c>
      <c r="BP47">
        <f>BL12+1</f>
        <v>9</v>
      </c>
      <c r="BQ47">
        <v>8</v>
      </c>
      <c r="BR47" s="107">
        <f t="shared" si="37"/>
        <v>4.4846254612940951E-6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2.146643742757472E-3</v>
      </c>
      <c r="I48" s="93">
        <v>9</v>
      </c>
      <c r="J48" s="86">
        <f t="shared" si="35"/>
        <v>5.9665765227145473E-4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8.9422763691229588E-6</v>
      </c>
      <c r="S48" s="72">
        <v>9</v>
      </c>
      <c r="T48" s="135">
        <f t="shared" si="39"/>
        <v>0</v>
      </c>
      <c r="U48" s="93">
        <v>9</v>
      </c>
      <c r="V48" s="86">
        <f>T48*R39+T47*R40+T46*R41+T45*R42+T44*R43+T43*R44+T42*R45+T41*R46+T40*R47+T39*R48</f>
        <v>2.5996289306348872E-2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2.5597603635167795E-4</v>
      </c>
      <c r="AR48" s="28">
        <v>9</v>
      </c>
      <c r="AS48" s="79">
        <f>((($W$39)^Q48)*((1-($W$39))^($U$35-Q48))*HLOOKUP($U$35,$AV$24:$BF$34,Q48+1))*V49</f>
        <v>3.4068161591977673E-4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>
        <f>$H$30*H49</f>
        <v>4.6803479070842477E-5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3.7870470911612021E-4</v>
      </c>
      <c r="I49" s="94">
        <v>10</v>
      </c>
      <c r="J49" s="89">
        <f t="shared" si="35"/>
        <v>5.077468143530178E-5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2.5030974482437428E-7</v>
      </c>
      <c r="S49" s="72">
        <v>10</v>
      </c>
      <c r="T49" s="135">
        <f t="shared" si="39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8.6164280232861046E-3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5.077468143530178E-5</v>
      </c>
      <c r="BH49">
        <f>BP14+1</f>
        <v>6</v>
      </c>
      <c r="BI49">
        <v>0</v>
      </c>
      <c r="BJ49" s="107">
        <f>$H$31*H39</f>
        <v>7.7205841146618345E-4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1.4950693651109273E-3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4.5478676297934696E-4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1.0712362660314815E-4</v>
      </c>
    </row>
    <row r="53" spans="1:62" x14ac:dyDescent="0.25">
      <c r="BH53">
        <f>BH48+1</f>
        <v>6</v>
      </c>
      <c r="BI53">
        <v>10</v>
      </c>
      <c r="BJ53" s="107">
        <f>$H$31*H49</f>
        <v>1.8898441806695494E-5</v>
      </c>
    </row>
    <row r="54" spans="1:62" x14ac:dyDescent="0.25">
      <c r="BH54">
        <f>BH51+1</f>
        <v>7</v>
      </c>
      <c r="BI54">
        <v>8</v>
      </c>
      <c r="BJ54" s="107">
        <f>$H$32*H47</f>
        <v>1.3371549759655688E-4</v>
      </c>
    </row>
    <row r="55" spans="1:62" x14ac:dyDescent="0.25">
      <c r="BH55">
        <f>BH52+1</f>
        <v>7</v>
      </c>
      <c r="BI55">
        <v>9</v>
      </c>
      <c r="BJ55" s="107">
        <f>$H$32*H48</f>
        <v>3.1496275181250621E-5</v>
      </c>
    </row>
    <row r="56" spans="1:62" x14ac:dyDescent="0.25">
      <c r="BH56">
        <f>BH53+1</f>
        <v>7</v>
      </c>
      <c r="BI56">
        <v>10</v>
      </c>
      <c r="BJ56" s="107">
        <f>$H$32*H49</f>
        <v>5.5564821927251642E-6</v>
      </c>
    </row>
    <row r="57" spans="1:62" x14ac:dyDescent="0.25">
      <c r="BH57">
        <f>BH55+1</f>
        <v>8</v>
      </c>
      <c r="BI57">
        <v>9</v>
      </c>
      <c r="BJ57" s="107">
        <f>$H$33*H48</f>
        <v>6.7742278136976124E-6</v>
      </c>
    </row>
    <row r="58" spans="1:62" x14ac:dyDescent="0.25">
      <c r="BH58">
        <f>BH56+1</f>
        <v>8</v>
      </c>
      <c r="BI58">
        <v>10</v>
      </c>
      <c r="BJ58" s="107">
        <f>$H$33*H49</f>
        <v>1.1950897685413131E-6</v>
      </c>
    </row>
    <row r="59" spans="1:62" x14ac:dyDescent="0.25">
      <c r="BH59">
        <f t="shared" ref="BH59" si="41">BH58+1</f>
        <v>9</v>
      </c>
      <c r="BI59">
        <v>10</v>
      </c>
      <c r="BJ59" s="107">
        <f>$H$34*H49</f>
        <v>1.8635642064397601E-7</v>
      </c>
    </row>
  </sheetData>
  <mergeCells count="2">
    <mergeCell ref="P1:Q1"/>
    <mergeCell ref="B3:C3"/>
  </mergeCells>
  <conditionalFormatting sqref="V25:V35 V39:V49">
    <cfRule type="cellIs" dxfId="83" priority="14" operator="greaterThan">
      <formula>0.15</formula>
    </cfRule>
  </conditionalFormatting>
  <conditionalFormatting sqref="V35">
    <cfRule type="cellIs" dxfId="82" priority="13" operator="greaterThan">
      <formula>0.15</formula>
    </cfRule>
  </conditionalFormatting>
  <conditionalFormatting sqref="V49">
    <cfRule type="cellIs" dxfId="81" priority="12" operator="greaterThan">
      <formula>0.15</formula>
    </cfRule>
  </conditionalFormatting>
  <conditionalFormatting sqref="V25:V35 V39:V49">
    <cfRule type="cellIs" dxfId="80" priority="11" operator="greaterThan">
      <formula>0.15</formula>
    </cfRule>
  </conditionalFormatting>
  <conditionalFormatting sqref="V35">
    <cfRule type="cellIs" dxfId="79" priority="10" operator="greaterThan">
      <formula>0.15</formula>
    </cfRule>
  </conditionalFormatting>
  <conditionalFormatting sqref="V49">
    <cfRule type="cellIs" dxfId="78" priority="9" operator="greaterThan">
      <formula>0.15</formula>
    </cfRule>
  </conditionalFormatting>
  <conditionalFormatting sqref="H25:H35">
    <cfRule type="cellIs" dxfId="77" priority="8" operator="greaterThan">
      <formula>0.15</formula>
    </cfRule>
  </conditionalFormatting>
  <conditionalFormatting sqref="H35">
    <cfRule type="cellIs" dxfId="76" priority="7" operator="greaterThan">
      <formula>0.15</formula>
    </cfRule>
  </conditionalFormatting>
  <conditionalFormatting sqref="H25:H35">
    <cfRule type="cellIs" dxfId="75" priority="6" operator="greaterThan">
      <formula>0.15</formula>
    </cfRule>
  </conditionalFormatting>
  <conditionalFormatting sqref="H35">
    <cfRule type="cellIs" dxfId="74" priority="5" operator="greaterThan">
      <formula>0.15</formula>
    </cfRule>
  </conditionalFormatting>
  <conditionalFormatting sqref="H39:H49">
    <cfRule type="cellIs" dxfId="73" priority="4" operator="greaterThan">
      <formula>0.15</formula>
    </cfRule>
  </conditionalFormatting>
  <conditionalFormatting sqref="H49">
    <cfRule type="cellIs" dxfId="72" priority="3" operator="greaterThan">
      <formula>0.15</formula>
    </cfRule>
  </conditionalFormatting>
  <conditionalFormatting sqref="H39:H49">
    <cfRule type="cellIs" dxfId="71" priority="2" operator="greaterThan">
      <formula>0.15</formula>
    </cfRule>
  </conditionalFormatting>
  <conditionalFormatting sqref="H49">
    <cfRule type="cellIs" dxfId="7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zoomScale="80" zoomScaleNormal="80" workbookViewId="0">
      <selection activeCell="C12" sqref="C12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6" t="s">
        <v>221</v>
      </c>
      <c r="B1" t="s">
        <v>145</v>
      </c>
      <c r="F1" s="204" t="s">
        <v>123</v>
      </c>
      <c r="G1" s="202">
        <f>IF(D3="SI",COUNTIF($F$6:$F$18,"RAP"),0)</f>
        <v>8</v>
      </c>
      <c r="H1" s="13"/>
      <c r="J1" s="205" t="s">
        <v>123</v>
      </c>
      <c r="K1" s="202">
        <f>IF(D3="SI",COUNTIF($J$6:$J$18,"RAP"),0)</f>
        <v>0</v>
      </c>
      <c r="L1" s="13"/>
      <c r="P1" s="211"/>
      <c r="Q1" s="211"/>
      <c r="R1" s="152">
        <v>0</v>
      </c>
      <c r="S1" s="153">
        <f>1+R1</f>
        <v>1</v>
      </c>
      <c r="AI1" s="160" t="s">
        <v>152</v>
      </c>
    </row>
    <row r="2" spans="1:70" x14ac:dyDescent="0.25">
      <c r="A2" s="206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3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12" t="s">
        <v>116</v>
      </c>
      <c r="C3" s="212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6" t="s">
        <v>75</v>
      </c>
      <c r="AK4" s="9" t="s">
        <v>14</v>
      </c>
      <c r="AM4" s="13" t="s">
        <v>153</v>
      </c>
      <c r="BH4">
        <v>0</v>
      </c>
      <c r="BI4">
        <v>1</v>
      </c>
      <c r="BJ4" s="107">
        <f t="shared" ref="BJ4:BJ13" si="0">$H$25*H40</f>
        <v>2.0043899688014506E-3</v>
      </c>
      <c r="BL4">
        <v>0</v>
      </c>
      <c r="BM4">
        <v>0</v>
      </c>
      <c r="BN4" s="107">
        <f>H25*H39</f>
        <v>5.1927127300873364E-4</v>
      </c>
      <c r="BP4">
        <v>1</v>
      </c>
      <c r="BQ4">
        <v>0</v>
      </c>
      <c r="BR4" s="107">
        <f>$H$26*H39</f>
        <v>2.8573411317067716E-3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16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>
        <f>IF($M$2="SI",Q5*$B$22/0.5*$S$1,Q5*$B$22/0.5*$S$2)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>
        <f>IF($M$2="SI",AA5*$C$22/0.5*$S$1,AA5*$C$22/0.5*$S$2)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I5" s="206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>
        <f t="shared" si="0"/>
        <v>3.5655018346840697E-3</v>
      </c>
      <c r="BL5">
        <v>1</v>
      </c>
      <c r="BM5">
        <v>1</v>
      </c>
      <c r="BN5" s="107">
        <f>$H$26*H40</f>
        <v>1.1029352478238308E-2</v>
      </c>
      <c r="BP5">
        <f>BP4+1</f>
        <v>2</v>
      </c>
      <c r="BQ5">
        <v>0</v>
      </c>
      <c r="BR5" s="107">
        <f>$H$27*H39</f>
        <v>6.6877511791196085E-3</v>
      </c>
    </row>
    <row r="6" spans="1:70" x14ac:dyDescent="0.25">
      <c r="A6" s="2" t="s">
        <v>1</v>
      </c>
      <c r="B6" s="168">
        <v>13</v>
      </c>
      <c r="C6" s="169">
        <v>11.5</v>
      </c>
      <c r="E6" s="192" t="s">
        <v>17</v>
      </c>
      <c r="F6" s="167" t="s">
        <v>123</v>
      </c>
      <c r="G6" s="167"/>
      <c r="H6" s="10"/>
      <c r="I6" s="10"/>
      <c r="J6" s="166" t="s">
        <v>16</v>
      </c>
      <c r="K6" s="166">
        <v>11</v>
      </c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>
        <f>IF($M$2="SI",Q6*$B$22/0.5*$S$1,Q6*$B$22/0.5*$S$2)</f>
        <v>0</v>
      </c>
      <c r="S6" s="176">
        <f t="shared" ref="S6:S19" si="2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>COUNTIF(J11:J18,"IMP")*AI6*AK6</f>
        <v>0.127</v>
      </c>
      <c r="Z6" s="197" t="str">
        <f>Z3</f>
        <v>0,6</v>
      </c>
      <c r="AA6" s="19">
        <f t="shared" ref="AA6:AA19" si="3">Z6*Y6</f>
        <v>7.6200000000000004E-2</v>
      </c>
      <c r="AB6" s="157">
        <f t="shared" ref="AB6:AB19" si="4">IF($M$2="SI",AA6*$C$22/0.5*$S$1,AA6*$C$22/0.5*$S$2)</f>
        <v>7.1534693877551014E-2</v>
      </c>
      <c r="AC6" s="176">
        <f t="shared" ref="AC6:AC19" si="5">(1-AB6)</f>
        <v>0.92846530612244904</v>
      </c>
      <c r="AD6" s="177">
        <f>AB6*AC5*PRODUCT(AC7:AC19)</f>
        <v>4.6461458249604293E-2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2.1371167719462347E-2</v>
      </c>
      <c r="AF6" s="18"/>
      <c r="AG6" s="203">
        <f>IF(COUNTIF(F11:F18,"IMP")+COUNTIF(J11:J18,"IMP")=0,0,COUNTIF(F11:F18,"IMP")/(COUNTIF(F11:F18,"IMP")+COUNTIF(J11:J18,"IMP")))</f>
        <v>0</v>
      </c>
      <c r="AI6" s="206">
        <f t="shared" ref="AI6:AI19" si="6">IF(AN6=0,(AM6*2*$AI$2/2)+SUM($AN$5:$AN$19),0)</f>
        <v>0.127</v>
      </c>
      <c r="AK6" s="203">
        <f>IF(COUNTIF(F11:F18,"IMP")+COUNTIF(J11:J18,"IMP")=0,0,COUNTIF(J11:J18,"IMP")/(COUNTIF(F11:F18,"IMP")+COUNTIF(J11:J18,"IMP")))</f>
        <v>1</v>
      </c>
      <c r="AM6" s="13">
        <v>0.05</v>
      </c>
      <c r="AN6">
        <f t="shared" ref="AN6:AN19" si="7">IF(AK6+AG6=0,AM6*2/10,0)</f>
        <v>0</v>
      </c>
      <c r="BH6">
        <v>0</v>
      </c>
      <c r="BI6">
        <v>3</v>
      </c>
      <c r="BJ6" s="107">
        <f t="shared" si="0"/>
        <v>3.8730442116160515E-3</v>
      </c>
      <c r="BL6">
        <f>BH14+1</f>
        <v>2</v>
      </c>
      <c r="BM6">
        <v>2</v>
      </c>
      <c r="BN6" s="107">
        <f>$H$27*H41</f>
        <v>4.5920485762478265E-2</v>
      </c>
      <c r="BP6">
        <f>BL5+1</f>
        <v>2</v>
      </c>
      <c r="BQ6">
        <v>1</v>
      </c>
      <c r="BR6" s="107">
        <f>$H$27*H40</f>
        <v>2.5814756321099166E-2</v>
      </c>
    </row>
    <row r="7" spans="1:70" x14ac:dyDescent="0.25">
      <c r="A7" s="5" t="s">
        <v>2</v>
      </c>
      <c r="B7" s="168">
        <v>8.75</v>
      </c>
      <c r="C7" s="169">
        <v>14.75</v>
      </c>
      <c r="E7" s="192" t="s">
        <v>18</v>
      </c>
      <c r="F7" s="167"/>
      <c r="G7" s="167"/>
      <c r="H7" s="10"/>
      <c r="I7" s="10"/>
      <c r="J7" s="166"/>
      <c r="K7" s="166">
        <v>12</v>
      </c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8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13"/>
      <c r="AI7" s="206"/>
      <c r="AK7" s="13"/>
      <c r="AM7" s="13">
        <v>0</v>
      </c>
      <c r="BH7">
        <v>0</v>
      </c>
      <c r="BI7">
        <v>4</v>
      </c>
      <c r="BJ7" s="107">
        <f t="shared" si="0"/>
        <v>2.8694299540830679E-3</v>
      </c>
      <c r="BL7">
        <f>BH23+1</f>
        <v>3</v>
      </c>
      <c r="BM7">
        <v>3</v>
      </c>
      <c r="BN7" s="107">
        <f>$H$28*H42</f>
        <v>6.6692879766826973E-2</v>
      </c>
      <c r="BP7">
        <f>BP5+1</f>
        <v>3</v>
      </c>
      <c r="BQ7">
        <v>0</v>
      </c>
      <c r="BR7" s="107">
        <f>$H$28*H39</f>
        <v>8.9417250836618684E-3</v>
      </c>
    </row>
    <row r="8" spans="1:70" x14ac:dyDescent="0.25">
      <c r="A8" s="5" t="s">
        <v>3</v>
      </c>
      <c r="B8" s="168">
        <v>9</v>
      </c>
      <c r="C8" s="169">
        <v>15.75</v>
      </c>
      <c r="E8" s="192" t="s">
        <v>18</v>
      </c>
      <c r="F8" s="167"/>
      <c r="G8" s="167"/>
      <c r="H8" s="10"/>
      <c r="I8" s="10"/>
      <c r="J8" s="166" t="s">
        <v>16</v>
      </c>
      <c r="K8" s="166">
        <v>12</v>
      </c>
      <c r="L8" s="10"/>
      <c r="M8" s="10"/>
      <c r="O8" s="67">
        <f>COUNTIF(F6:F18,"IMP")*AI8*AG8</f>
        <v>0</v>
      </c>
      <c r="P8" s="196" t="str">
        <f>P3</f>
        <v>0,6</v>
      </c>
      <c r="Q8" s="16">
        <f t="shared" si="1"/>
        <v>0</v>
      </c>
      <c r="R8" s="157">
        <f t="shared" si="8"/>
        <v>0</v>
      </c>
      <c r="S8" s="176">
        <f t="shared" si="2"/>
        <v>1</v>
      </c>
      <c r="T8" s="177">
        <f>R8*PRODUCT(S5:S7)*PRODUCT(S9:S19)</f>
        <v>0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0</v>
      </c>
      <c r="W8" s="186" t="s">
        <v>42</v>
      </c>
      <c r="X8" s="15" t="s">
        <v>43</v>
      </c>
      <c r="Y8" s="69">
        <f>COUNTIF(J6:J18,"IMP")*AI8*AK8</f>
        <v>0.127</v>
      </c>
      <c r="Z8" s="197" t="str">
        <f>Z3</f>
        <v>0,6</v>
      </c>
      <c r="AA8" s="19">
        <f t="shared" si="3"/>
        <v>7.6200000000000004E-2</v>
      </c>
      <c r="AB8" s="157">
        <f t="shared" si="4"/>
        <v>7.1534693877551014E-2</v>
      </c>
      <c r="AC8" s="176">
        <f t="shared" si="5"/>
        <v>0.92846530612244904</v>
      </c>
      <c r="AD8" s="177">
        <f>AB8*PRODUCT(AC5:AC7)*PRODUCT(AC9:AC19)</f>
        <v>4.6461458249604307E-2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1.7791490405648175E-2</v>
      </c>
      <c r="AG8" s="203">
        <f>IF(COUNTIF(F6:F18,"IMP")+COUNTIF(J6:J18,"IMP")=0,0,COUNTIF(F6:F18,"IMP")/(COUNTIF(F6:F18,"IMP")+COUNTIF(J6:J18,"IMP")))</f>
        <v>0</v>
      </c>
      <c r="AI8" s="206">
        <f t="shared" si="6"/>
        <v>0.127</v>
      </c>
      <c r="AK8" s="203">
        <f>IF(COUNTIF(F6:F18,"IMP")+COUNTIF(J6:J18,"IMP")=0,0,COUNTIF(J6:J18,"IMP")/(COUNTIF(F6:F18,"IMP")+COUNTIF(J6:J18,"IMP")))</f>
        <v>1</v>
      </c>
      <c r="AM8" s="13">
        <v>0.05</v>
      </c>
      <c r="AN8">
        <f t="shared" si="7"/>
        <v>0</v>
      </c>
      <c r="BH8">
        <v>0</v>
      </c>
      <c r="BI8">
        <v>5</v>
      </c>
      <c r="BJ8" s="107">
        <f t="shared" si="0"/>
        <v>1.5334285966036375E-3</v>
      </c>
      <c r="BL8">
        <f>BH31+1</f>
        <v>4</v>
      </c>
      <c r="BM8">
        <v>4</v>
      </c>
      <c r="BN8" s="107">
        <f>$H$29*H43</f>
        <v>4.2747668937085204E-2</v>
      </c>
      <c r="BP8">
        <f>BP6+1</f>
        <v>3</v>
      </c>
      <c r="BQ8">
        <v>1</v>
      </c>
      <c r="BR8" s="107">
        <f>$H$28*H40</f>
        <v>3.4515107985129613E-2</v>
      </c>
    </row>
    <row r="9" spans="1:70" x14ac:dyDescent="0.25">
      <c r="A9" s="5" t="s">
        <v>4</v>
      </c>
      <c r="B9" s="168">
        <v>5.75</v>
      </c>
      <c r="C9" s="169">
        <v>16.75</v>
      </c>
      <c r="E9" s="192" t="s">
        <v>18</v>
      </c>
      <c r="F9" s="167" t="s">
        <v>123</v>
      </c>
      <c r="G9" s="167"/>
      <c r="H9" s="10"/>
      <c r="I9" s="10"/>
      <c r="J9" s="166"/>
      <c r="K9" s="166">
        <v>14</v>
      </c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>
        <f t="shared" si="8"/>
        <v>0</v>
      </c>
      <c r="S9" s="176">
        <f t="shared" si="2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>
        <f t="shared" si="4"/>
        <v>0</v>
      </c>
      <c r="AC9" s="176">
        <f t="shared" si="5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0</v>
      </c>
      <c r="AI9" s="206">
        <f t="shared" si="6"/>
        <v>0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5.0000000000000001E-3</v>
      </c>
      <c r="BH9">
        <v>0</v>
      </c>
      <c r="BI9">
        <v>6</v>
      </c>
      <c r="BJ9" s="107">
        <f t="shared" si="0"/>
        <v>6.0934894856333693E-4</v>
      </c>
      <c r="BL9">
        <f>BH38+1</f>
        <v>5</v>
      </c>
      <c r="BM9">
        <v>5</v>
      </c>
      <c r="BN9" s="107">
        <f>$H$30*H44</f>
        <v>1.3663365674022846E-2</v>
      </c>
      <c r="BP9">
        <f>BL6+1</f>
        <v>3</v>
      </c>
      <c r="BQ9">
        <v>2</v>
      </c>
      <c r="BR9" s="107">
        <f>$H$28*H41</f>
        <v>6.1397074801210386E-2</v>
      </c>
    </row>
    <row r="10" spans="1:70" x14ac:dyDescent="0.25">
      <c r="A10" s="6" t="s">
        <v>5</v>
      </c>
      <c r="B10" s="168">
        <v>13.25</v>
      </c>
      <c r="C10" s="169">
        <v>11.5</v>
      </c>
      <c r="E10" s="192" t="s">
        <v>17</v>
      </c>
      <c r="F10" s="167"/>
      <c r="G10" s="167"/>
      <c r="H10" s="10"/>
      <c r="I10" s="10"/>
      <c r="J10" s="166" t="s">
        <v>154</v>
      </c>
      <c r="K10" s="166">
        <v>10</v>
      </c>
      <c r="L10" s="10"/>
      <c r="M10" s="10"/>
      <c r="O10" s="67">
        <f>COUNTIF(F11:F18,"RAP")*AI10*AG10</f>
        <v>0.76200000000000001</v>
      </c>
      <c r="P10" s="196" t="str">
        <f>R3</f>
        <v>0,72</v>
      </c>
      <c r="Q10" s="16">
        <f t="shared" si="1"/>
        <v>0.54864000000000002</v>
      </c>
      <c r="R10" s="157">
        <f>IF($M$2="SI",Q10*$B$22/0.5*$S$1,Q10*$B$22/0.5*$S$2)</f>
        <v>0.58223020408163273</v>
      </c>
      <c r="S10" s="176">
        <f t="shared" si="2"/>
        <v>0.41776979591836727</v>
      </c>
      <c r="T10" s="177">
        <f>R10*PRODUCT(S5:S9)*PRODUCT(S11:S19)</f>
        <v>0.19043384671285643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0.31498232854649788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>
        <f t="shared" si="4"/>
        <v>0</v>
      </c>
      <c r="AC10" s="176">
        <f t="shared" si="5"/>
        <v>1</v>
      </c>
      <c r="AD10" s="177">
        <f>AB10*PRODUCT(AC5:AC9)*PRODUCT(AC11:AC19)</f>
        <v>0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0</v>
      </c>
      <c r="AG10" s="203">
        <f>IF(COUNTIF(F11:F18,"RAP")+COUNTIF(J11:J18,"RAP")=0,0,COUNTIF(F11:F18,"RAP")/(COUNTIF(F11:F18,"RAP")+COUNTIF(J11:J18,"RAP")))</f>
        <v>1</v>
      </c>
      <c r="AI10" s="206">
        <f t="shared" si="6"/>
        <v>0.127</v>
      </c>
      <c r="AK10" s="203">
        <f>IF(COUNTIF(F11:F18,"RAP")+COUNTIF(J11:J18,"RAP")=0,0,COUNTIF(J11:J18,"RAP")/(COUNTIF(F11:F18,"RAP")+COUNTIF(J11:J18,"RAP")))</f>
        <v>0</v>
      </c>
      <c r="AM10" s="13">
        <v>0.05</v>
      </c>
      <c r="AN10">
        <f t="shared" si="7"/>
        <v>0</v>
      </c>
      <c r="BH10">
        <v>0</v>
      </c>
      <c r="BI10">
        <v>7</v>
      </c>
      <c r="BJ10" s="107">
        <f t="shared" si="0"/>
        <v>1.827895288610893E-4</v>
      </c>
      <c r="BL10">
        <f>BH44+1</f>
        <v>6</v>
      </c>
      <c r="BM10">
        <v>6</v>
      </c>
      <c r="BN10" s="107">
        <f>$H$31*H45</f>
        <v>2.3296119119315378E-3</v>
      </c>
      <c r="BP10">
        <f>BP7+1</f>
        <v>4</v>
      </c>
      <c r="BQ10">
        <v>0</v>
      </c>
      <c r="BR10" s="107">
        <f>$H$29*H39</f>
        <v>7.7359046299526881E-3</v>
      </c>
    </row>
    <row r="11" spans="1:70" x14ac:dyDescent="0.25">
      <c r="A11" s="6" t="s">
        <v>6</v>
      </c>
      <c r="B11" s="168">
        <v>15.5</v>
      </c>
      <c r="C11" s="169">
        <v>7</v>
      </c>
      <c r="E11" s="192" t="s">
        <v>19</v>
      </c>
      <c r="F11" s="167" t="s">
        <v>123</v>
      </c>
      <c r="G11" s="167"/>
      <c r="H11" s="10"/>
      <c r="I11" s="10"/>
      <c r="J11" s="166" t="s">
        <v>21</v>
      </c>
      <c r="K11" s="166">
        <v>13</v>
      </c>
      <c r="L11" s="10"/>
      <c r="M11" s="10"/>
      <c r="O11" s="67">
        <f>COUNTIF(F11:F18,"RAP")*AI11*AG11</f>
        <v>0.76200000000000001</v>
      </c>
      <c r="P11" s="196" t="str">
        <f>R3</f>
        <v>0,72</v>
      </c>
      <c r="Q11" s="16">
        <f t="shared" si="1"/>
        <v>0.54864000000000002</v>
      </c>
      <c r="R11" s="157">
        <f t="shared" si="8"/>
        <v>0.58223020408163273</v>
      </c>
      <c r="S11" s="176">
        <f t="shared" si="2"/>
        <v>0.41776979591836727</v>
      </c>
      <c r="T11" s="177">
        <f>R11*PRODUCT(S5:S10)*PRODUCT(S12:S19)</f>
        <v>0.19043384671285646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4.9581769389410973E-2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>
        <f t="shared" si="4"/>
        <v>0</v>
      </c>
      <c r="AC11" s="176">
        <f t="shared" si="5"/>
        <v>1</v>
      </c>
      <c r="AD11" s="177">
        <f>AB11*PRODUCT(AC5:AC10)*PRODUCT(AC12:AC19)</f>
        <v>0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0</v>
      </c>
      <c r="AG11" s="203">
        <f>IF(COUNTIF(F11:F18,"RAP")+COUNTIF(J11:J18,"RAP")=0,0,COUNTIF(F11:F18,"RAP")/(COUNTIF(F11:F18,"RAP")+COUNTIF(J11:J18,"RAP")))</f>
        <v>1</v>
      </c>
      <c r="AI11" s="206">
        <f t="shared" si="6"/>
        <v>0.127</v>
      </c>
      <c r="AK11" s="203">
        <f>IF(COUNTIF(F11:F18,"RAP")+COUNTIF(J11:J18,"RAP")=0,0,COUNTIF(J11:J18,"RAP")/(COUNTIF(F11:F18,"RAP")+COUNTIF(J11:J18,"RAP")))</f>
        <v>0</v>
      </c>
      <c r="AM11" s="13">
        <v>0.05</v>
      </c>
      <c r="AN11">
        <f t="shared" si="7"/>
        <v>0</v>
      </c>
      <c r="BH11">
        <v>0</v>
      </c>
      <c r="BI11">
        <v>8</v>
      </c>
      <c r="BJ11" s="107">
        <f t="shared" si="0"/>
        <v>4.1533576490391689E-5</v>
      </c>
      <c r="BL11">
        <f>BH50+1</f>
        <v>7</v>
      </c>
      <c r="BM11">
        <v>7</v>
      </c>
      <c r="BN11" s="107">
        <f>$H$32*H46</f>
        <v>2.1917049122034668E-4</v>
      </c>
      <c r="BP11">
        <f>BP8+1</f>
        <v>4</v>
      </c>
      <c r="BQ11">
        <v>1</v>
      </c>
      <c r="BR11" s="107">
        <f>$H$29*H40</f>
        <v>2.9860634404131718E-2</v>
      </c>
    </row>
    <row r="12" spans="1:70" x14ac:dyDescent="0.25">
      <c r="A12" s="6" t="s">
        <v>7</v>
      </c>
      <c r="B12" s="168">
        <v>7</v>
      </c>
      <c r="C12" s="169">
        <v>13.25</v>
      </c>
      <c r="E12" s="192" t="s">
        <v>19</v>
      </c>
      <c r="F12" s="167" t="s">
        <v>16</v>
      </c>
      <c r="G12" s="167"/>
      <c r="H12" s="10"/>
      <c r="I12" s="10"/>
      <c r="J12" s="166" t="s">
        <v>16</v>
      </c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8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G12" s="13"/>
      <c r="AI12" s="206"/>
      <c r="AK12" s="13"/>
      <c r="AM12" s="13">
        <v>0</v>
      </c>
      <c r="BH12">
        <v>0</v>
      </c>
      <c r="BI12">
        <v>9</v>
      </c>
      <c r="BJ12" s="107">
        <f t="shared" si="0"/>
        <v>7.0903156118009261E-6</v>
      </c>
      <c r="BL12">
        <f>BH54+1</f>
        <v>8</v>
      </c>
      <c r="BM12">
        <v>8</v>
      </c>
      <c r="BN12" s="107">
        <f>$H$33*H47</f>
        <v>1.1471218571330445E-5</v>
      </c>
      <c r="BP12">
        <f>BP9+1</f>
        <v>4</v>
      </c>
      <c r="BQ12">
        <v>2</v>
      </c>
      <c r="BR12" s="107">
        <f>$H$29*H41</f>
        <v>5.3117481333448208E-2</v>
      </c>
    </row>
    <row r="13" spans="1:70" x14ac:dyDescent="0.25">
      <c r="A13" s="7" t="s">
        <v>8</v>
      </c>
      <c r="B13" s="168">
        <v>8.5</v>
      </c>
      <c r="C13" s="169">
        <v>12.5</v>
      </c>
      <c r="E13" s="192" t="s">
        <v>19</v>
      </c>
      <c r="F13" s="167" t="s">
        <v>123</v>
      </c>
      <c r="G13" s="167"/>
      <c r="H13" s="10"/>
      <c r="I13" s="10"/>
      <c r="J13" s="166" t="s">
        <v>21</v>
      </c>
      <c r="K13" s="166">
        <v>13</v>
      </c>
      <c r="L13" s="10"/>
      <c r="M13" s="10"/>
      <c r="O13" s="67">
        <f>AI13*B22/0.5</f>
        <v>0.26212244897959186</v>
      </c>
      <c r="P13" s="196" t="str">
        <f>P2</f>
        <v>0,4</v>
      </c>
      <c r="Q13" s="16">
        <f t="shared" si="1"/>
        <v>0.10484897959183676</v>
      </c>
      <c r="R13" s="157">
        <f t="shared" si="8"/>
        <v>0.11126830487296963</v>
      </c>
      <c r="S13" s="176">
        <f t="shared" si="2"/>
        <v>0.88873169512703032</v>
      </c>
      <c r="T13" s="177">
        <f>R13*PRODUCT(S5:S12)*PRODUCT(S14:S19)</f>
        <v>1.7107527615270336E-2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2.3123079285017061E-3</v>
      </c>
      <c r="W13" s="186" t="s">
        <v>52</v>
      </c>
      <c r="X13" s="15" t="s">
        <v>53</v>
      </c>
      <c r="Y13" s="69">
        <f>AI13*C22/0.5</f>
        <v>0.23187755102040813</v>
      </c>
      <c r="Z13" s="197" t="str">
        <f>Z2</f>
        <v>0,4</v>
      </c>
      <c r="AA13" s="19">
        <f t="shared" si="3"/>
        <v>9.2751020408163257E-2</v>
      </c>
      <c r="AB13" s="157">
        <f t="shared" si="4"/>
        <v>8.7072386505622643E-2</v>
      </c>
      <c r="AC13" s="176">
        <f t="shared" si="5"/>
        <v>0.91292761349437734</v>
      </c>
      <c r="AD13" s="177">
        <f>AB13*PRODUCT(AC5:AC12)*PRODUCT(AC14:AC19)</f>
        <v>5.7515632237854018E-2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1.6538792154383822E-2</v>
      </c>
      <c r="AG13" s="13"/>
      <c r="AI13" s="206">
        <f>(AM13*$AI$2/2)+SUM($AN$5:$AN$19)</f>
        <v>0.247</v>
      </c>
      <c r="AK13" s="13"/>
      <c r="AM13" s="13">
        <v>0.22</v>
      </c>
      <c r="BH13">
        <v>0</v>
      </c>
      <c r="BI13">
        <v>10</v>
      </c>
      <c r="BJ13" s="107">
        <f t="shared" si="0"/>
        <v>8.8852887106893129E-7</v>
      </c>
      <c r="BL13">
        <f>BH57+1</f>
        <v>9</v>
      </c>
      <c r="BM13">
        <v>9</v>
      </c>
      <c r="BN13" s="107">
        <f>$H$34*H48</f>
        <v>3.2843418960210965E-7</v>
      </c>
      <c r="BP13">
        <f>BL7+1</f>
        <v>4</v>
      </c>
      <c r="BQ13">
        <v>3</v>
      </c>
      <c r="BR13" s="107">
        <f>$H$29*H42</f>
        <v>5.7699129926927703E-2</v>
      </c>
    </row>
    <row r="14" spans="1:70" x14ac:dyDescent="0.25">
      <c r="A14" s="7" t="s">
        <v>9</v>
      </c>
      <c r="B14" s="168">
        <v>7.25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146</v>
      </c>
      <c r="K14" s="166">
        <v>13</v>
      </c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0.15</v>
      </c>
      <c r="Q14" s="16">
        <f t="shared" si="1"/>
        <v>0</v>
      </c>
      <c r="R14" s="157">
        <f t="shared" si="8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IF(COUNTIF(J6:J18,"CAB")&gt;0,AI14*C22/0.5,0)</f>
        <v>0.14269387755102039</v>
      </c>
      <c r="Z14" s="197">
        <f>IF(COUNTIF(J6:J18,"CAB")-COUNTIF(F6:F18,"CAB")&gt;3,0.8,IF(COUNTIF(J6:J18,"CAB")-COUNTIF(F6:F18,"CAB")&gt;0,0.6,IF(COUNTIF(J6:J18,"CAB")-COUNTIF(F6:F18,"CAB")=0,0.4,0.15)))</f>
        <v>0.6</v>
      </c>
      <c r="AA14" s="19">
        <f t="shared" si="3"/>
        <v>8.5616326530612227E-2</v>
      </c>
      <c r="AB14" s="157">
        <f t="shared" si="4"/>
        <v>8.0374510620574741E-2</v>
      </c>
      <c r="AC14" s="176">
        <f t="shared" si="5"/>
        <v>0.91962548937942523</v>
      </c>
      <c r="AD14" s="177">
        <f>AB14*PRODUCT(AC5:AC13)*PRODUCT(AC15:AC19)</f>
        <v>5.270467445775006E-2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1.0549041694354812E-2</v>
      </c>
      <c r="AG14" s="13"/>
      <c r="AI14" s="206">
        <f>IF(COUNTIF(J6:J18,"CAB")+COUNTIF(F6:F18,"CAB")=0,0,(AM14*$AI$2/2)+SUM($AN$5:$AN$19))</f>
        <v>0.152</v>
      </c>
      <c r="AK14" s="13"/>
      <c r="AM14" s="13">
        <v>0.125</v>
      </c>
      <c r="AN14">
        <f>IF(COUNTIF(J6:J18,"CAB")+COUNTIF(F6:F18,"CAB")=0,AM14*2/10,0)</f>
        <v>0</v>
      </c>
      <c r="BH14">
        <v>1</v>
      </c>
      <c r="BI14">
        <v>2</v>
      </c>
      <c r="BJ14" s="107">
        <f t="shared" ref="BJ14:BJ22" si="9">$H$26*H41</f>
        <v>1.9619523699797276E-2</v>
      </c>
      <c r="BL14">
        <f>BP39+1</f>
        <v>10</v>
      </c>
      <c r="BM14">
        <v>10</v>
      </c>
      <c r="BN14" s="107">
        <f>$H$35*H49</f>
        <v>4.9001963679628645E-9</v>
      </c>
      <c r="BP14">
        <f>BP10+1</f>
        <v>5</v>
      </c>
      <c r="BQ14">
        <v>0</v>
      </c>
      <c r="BR14" s="107">
        <f>$H$30*H39</f>
        <v>4.6268820751407969E-3</v>
      </c>
    </row>
    <row r="15" spans="1:70" x14ac:dyDescent="0.25">
      <c r="A15" s="189" t="s">
        <v>71</v>
      </c>
      <c r="B15" s="170">
        <v>9</v>
      </c>
      <c r="C15" s="171">
        <v>11</v>
      </c>
      <c r="E15" s="192" t="s">
        <v>20</v>
      </c>
      <c r="F15" s="167" t="s">
        <v>16</v>
      </c>
      <c r="G15" s="167"/>
      <c r="H15" s="10"/>
      <c r="I15" s="10"/>
      <c r="J15" s="166" t="s">
        <v>154</v>
      </c>
      <c r="K15" s="166">
        <v>14</v>
      </c>
      <c r="L15" s="10"/>
      <c r="M15" s="10"/>
      <c r="O15" s="67"/>
      <c r="P15" s="196">
        <v>0.5</v>
      </c>
      <c r="Q15" s="16">
        <f t="shared" si="1"/>
        <v>0</v>
      </c>
      <c r="R15" s="157">
        <f t="shared" si="8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G15" s="13"/>
      <c r="AI15" s="206"/>
      <c r="AK15" s="13"/>
      <c r="AM15" s="13">
        <v>0</v>
      </c>
      <c r="BH15">
        <v>1</v>
      </c>
      <c r="BI15">
        <v>3</v>
      </c>
      <c r="BJ15" s="107">
        <f t="shared" si="9"/>
        <v>2.1311805805562519E-2</v>
      </c>
      <c r="BP15">
        <f>BP11+1</f>
        <v>5</v>
      </c>
      <c r="BQ15">
        <v>1</v>
      </c>
      <c r="BR15" s="107">
        <f>$H$30*H40</f>
        <v>1.7859790248946569E-2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12.545454545454545</v>
      </c>
      <c r="E16" s="192" t="s">
        <v>22</v>
      </c>
      <c r="F16" s="167" t="s">
        <v>123</v>
      </c>
      <c r="G16" s="167"/>
      <c r="H16" s="10"/>
      <c r="I16" s="10"/>
      <c r="J16" s="166" t="s">
        <v>154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8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G16" s="13"/>
      <c r="AI16" s="206"/>
      <c r="AK16" s="13"/>
      <c r="AM16" s="13">
        <v>0</v>
      </c>
      <c r="BH16">
        <v>1</v>
      </c>
      <c r="BI16">
        <v>4</v>
      </c>
      <c r="BJ16" s="107">
        <f t="shared" si="9"/>
        <v>1.5789319876771086E-2</v>
      </c>
      <c r="BP16">
        <f>BP12+1</f>
        <v>5</v>
      </c>
      <c r="BQ16">
        <v>2</v>
      </c>
      <c r="BR16" s="107">
        <f>$H$30*H41</f>
        <v>3.1769823183544141E-2</v>
      </c>
    </row>
    <row r="17" spans="1:70" x14ac:dyDescent="0.25">
      <c r="A17" s="188" t="s">
        <v>10</v>
      </c>
      <c r="B17" s="172" t="s">
        <v>222</v>
      </c>
      <c r="C17" s="173" t="s">
        <v>11</v>
      </c>
      <c r="E17" s="192" t="s">
        <v>22</v>
      </c>
      <c r="F17" s="167" t="s">
        <v>123</v>
      </c>
      <c r="G17" s="167"/>
      <c r="H17" s="10"/>
      <c r="I17" s="10"/>
      <c r="J17" s="166" t="s">
        <v>21</v>
      </c>
      <c r="K17" s="166">
        <v>10</v>
      </c>
      <c r="L17" s="10"/>
      <c r="M17" s="10"/>
      <c r="O17" s="67">
        <f>(AI17*2)*IF(COUNTBLANK(F14:F15)&lt;&gt;0, (2-COUNTBLANK(F14:F15))/2,1)*AG17</f>
        <v>0.187</v>
      </c>
      <c r="P17" s="196" t="str">
        <f>IF(COUNTIF(F14:F18,"CAB")&gt;0,0.95,P3)</f>
        <v>0,6</v>
      </c>
      <c r="Q17" s="16">
        <f t="shared" si="1"/>
        <v>0.11219999999999999</v>
      </c>
      <c r="R17" s="157">
        <f t="shared" si="8"/>
        <v>0.11906938775510205</v>
      </c>
      <c r="S17" s="176">
        <f t="shared" si="2"/>
        <v>0.88093061224489799</v>
      </c>
      <c r="T17" s="177">
        <f>R17*PRODUCT(S5:S16)*PRODUCT(S18:S19)</f>
        <v>1.8469063111001154E-2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(2-COUNTBLANK(J14:J15))/2,1)*AK17</f>
        <v>0.187</v>
      </c>
      <c r="Z17" s="197">
        <f>IF(COUNTIF(J14:J18,"CAB")&gt;0,0.95,Z3)</f>
        <v>0.95</v>
      </c>
      <c r="AA17" s="19">
        <f t="shared" si="3"/>
        <v>0.17765</v>
      </c>
      <c r="AB17" s="157">
        <f t="shared" si="4"/>
        <v>0.16677346938775509</v>
      </c>
      <c r="AC17" s="176">
        <f t="shared" si="5"/>
        <v>0.83322653061224494</v>
      </c>
      <c r="AD17" s="177">
        <f>AB17*PRODUCT(AC5:AC16)*PRODUCT(AC18:AC19)</f>
        <v>0.1206995545696255</v>
      </c>
      <c r="AE17" s="177">
        <f>AB17*AB18*PRODUCT(AC5:AC16)*AC19+AB17*AB19*PRODUCT(AC5:AC16)*AC18</f>
        <v>0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0.5</v>
      </c>
      <c r="AI17" s="206">
        <f t="shared" si="6"/>
        <v>0.187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0.5</v>
      </c>
      <c r="AM17" s="13">
        <v>0.08</v>
      </c>
      <c r="AN17">
        <f t="shared" si="7"/>
        <v>0</v>
      </c>
      <c r="BH17">
        <v>1</v>
      </c>
      <c r="BI17">
        <v>5</v>
      </c>
      <c r="BJ17" s="107">
        <f t="shared" si="9"/>
        <v>8.4378413160114685E-3</v>
      </c>
      <c r="BP17">
        <f>BP13+1</f>
        <v>5</v>
      </c>
      <c r="BQ17">
        <v>3</v>
      </c>
      <c r="BR17" s="107">
        <f>$H$30*H42</f>
        <v>3.4510129426421648E-2</v>
      </c>
    </row>
    <row r="18" spans="1:70" x14ac:dyDescent="0.25">
      <c r="A18" s="188" t="s">
        <v>12</v>
      </c>
      <c r="B18" s="172">
        <v>20</v>
      </c>
      <c r="C18" s="173">
        <v>21</v>
      </c>
      <c r="E18" s="192" t="s">
        <v>22</v>
      </c>
      <c r="F18" s="167" t="s">
        <v>123</v>
      </c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>
        <f t="shared" si="8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G18" s="203"/>
      <c r="AI18" s="206"/>
      <c r="AK18" s="203"/>
      <c r="AM18" s="13">
        <v>0</v>
      </c>
      <c r="BH18">
        <v>1</v>
      </c>
      <c r="BI18">
        <v>6</v>
      </c>
      <c r="BJ18" s="107">
        <f t="shared" si="9"/>
        <v>3.3530023800546586E-3</v>
      </c>
      <c r="BP18">
        <f>BL8+1</f>
        <v>5</v>
      </c>
      <c r="BQ18">
        <v>4</v>
      </c>
      <c r="BR18" s="107">
        <f>$H$30*H43</f>
        <v>2.5567588099940447E-2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>
        <f t="shared" si="8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06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>
        <f t="shared" si="9"/>
        <v>1.0058173182465036E-3</v>
      </c>
      <c r="BP19">
        <f>BP15+1</f>
        <v>6</v>
      </c>
      <c r="BQ19">
        <v>1</v>
      </c>
      <c r="BR19" s="107">
        <f>$H$31*H40</f>
        <v>7.6630160082906762E-3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0.13664270372690102</v>
      </c>
      <c r="T20" s="181">
        <f>SUM(T5:T19)</f>
        <v>0.41644428415198442</v>
      </c>
      <c r="U20" s="181">
        <f>SUM(U5:U19)</f>
        <v>0.36687640586441056</v>
      </c>
      <c r="V20" s="181">
        <f>1-S20-T20-U20</f>
        <v>8.0036606256704002E-2</v>
      </c>
      <c r="W20" s="21"/>
      <c r="X20" s="22"/>
      <c r="Y20" s="22"/>
      <c r="Z20" s="22"/>
      <c r="AA20" s="22"/>
      <c r="AB20" s="23"/>
      <c r="AC20" s="184">
        <f>PRODUCT(AC5:AC19)</f>
        <v>0.60303399257505941</v>
      </c>
      <c r="AD20" s="181">
        <f>SUM(AD5:AD19)</f>
        <v>0.32384277776443815</v>
      </c>
      <c r="AE20" s="181">
        <f>SUM(AE5:AE19)</f>
        <v>6.6250491973849163E-2</v>
      </c>
      <c r="AF20" s="181">
        <f>1-AC20-AD20-AE20</f>
        <v>6.8727376866532797E-3</v>
      </c>
      <c r="BH20">
        <v>1</v>
      </c>
      <c r="BI20">
        <v>8</v>
      </c>
      <c r="BJ20" s="107">
        <f t="shared" si="9"/>
        <v>2.2854257999920121E-4</v>
      </c>
      <c r="BP20">
        <f>BP16+1</f>
        <v>6</v>
      </c>
      <c r="BQ20">
        <v>2</v>
      </c>
      <c r="BR20" s="107">
        <f>$H$31*H41</f>
        <v>1.3631328265483E-2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9"/>
        <v>3.9015157370434207E-5</v>
      </c>
      <c r="BP21">
        <f>BP17+1</f>
        <v>6</v>
      </c>
      <c r="BQ21">
        <v>3</v>
      </c>
      <c r="BR21" s="107">
        <f>$H$31*H42</f>
        <v>1.4807098546885257E-2</v>
      </c>
    </row>
    <row r="22" spans="1:70" x14ac:dyDescent="0.25">
      <c r="A22" s="26" t="s">
        <v>77</v>
      </c>
      <c r="B22" s="62">
        <f>(B6)/((B6)+(C6))</f>
        <v>0.53061224489795922</v>
      </c>
      <c r="C22" s="63">
        <f>1-B22</f>
        <v>0.46938775510204078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9"/>
        <v>4.8892172973557497E-6</v>
      </c>
      <c r="BP22">
        <f>BP18+1</f>
        <v>6</v>
      </c>
      <c r="BQ22">
        <v>4</v>
      </c>
      <c r="BR22" s="107">
        <f>$H$31*H43</f>
        <v>1.0970164496460544E-2</v>
      </c>
    </row>
    <row r="23" spans="1:70" ht="15.75" thickBot="1" x14ac:dyDescent="0.3">
      <c r="A23" s="40" t="s">
        <v>67</v>
      </c>
      <c r="B23" s="56">
        <f>((B22^2.8)/((B22^2.8)+(C22^2.8)))*B21</f>
        <v>2.9249431599037723</v>
      </c>
      <c r="C23" s="57">
        <f>B21-B23</f>
        <v>2.0750568400962277</v>
      </c>
      <c r="D23" s="151">
        <f>SUM(D25:D30)</f>
        <v>1</v>
      </c>
      <c r="E23" s="151">
        <f>SUM(E25:E30)</f>
        <v>1</v>
      </c>
      <c r="H23" s="59">
        <f>SUM(H25:H35)</f>
        <v>0.99999293545373236</v>
      </c>
      <c r="J23" s="59">
        <f>SUM(J25:J35)</f>
        <v>1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0.99514026577124959</v>
      </c>
      <c r="Y23" s="80">
        <f>SUM(Y25:Y35)</f>
        <v>1.5080752472700827E-4</v>
      </c>
      <c r="Z23" s="81"/>
      <c r="AA23" s="80">
        <f>SUM(AA25:AA35)</f>
        <v>2.1264992974914299E-3</v>
      </c>
      <c r="AB23" s="81"/>
      <c r="AC23" s="80">
        <f>SUM(AC25:AC35)</f>
        <v>1.3494422825578646E-2</v>
      </c>
      <c r="AD23" s="81"/>
      <c r="AE23" s="80">
        <f>SUM(AE25:AE35)</f>
        <v>5.0751252857651627E-2</v>
      </c>
      <c r="AF23" s="81"/>
      <c r="AG23" s="80">
        <f>SUM(AG25:AG35)</f>
        <v>0.12527830252577998</v>
      </c>
      <c r="AH23" s="81"/>
      <c r="AI23" s="80">
        <f>SUM(AI25:AI35)</f>
        <v>0.21210408044631052</v>
      </c>
      <c r="AJ23" s="81"/>
      <c r="AK23" s="80">
        <f>SUM(AK25:AK35)</f>
        <v>0.24947145276645508</v>
      </c>
      <c r="AL23" s="81"/>
      <c r="AM23" s="80">
        <f>SUM(AM25:AM35)</f>
        <v>0.2013340962928617</v>
      </c>
      <c r="AN23" s="81"/>
      <c r="AO23" s="80">
        <f>SUM(AO25:AO35)</f>
        <v>0.10676875637570958</v>
      </c>
      <c r="AP23" s="81"/>
      <c r="AQ23" s="80">
        <f>SUM(AQ25:AQ35)</f>
        <v>3.3660594858684029E-2</v>
      </c>
      <c r="AR23" s="81"/>
      <c r="AS23" s="80">
        <f>SUM(AS25:AS35)</f>
        <v>4.8597342287504119E-3</v>
      </c>
      <c r="BH23">
        <f t="shared" ref="BH23:BH30" si="10">BH15+1</f>
        <v>2</v>
      </c>
      <c r="BI23">
        <v>3</v>
      </c>
      <c r="BJ23" s="107">
        <f t="shared" ref="BJ23:BJ30" si="11">$H$27*H42</f>
        <v>4.9881357470321637E-2</v>
      </c>
      <c r="BP23">
        <f>BL9+1</f>
        <v>6</v>
      </c>
      <c r="BQ23">
        <v>5</v>
      </c>
      <c r="BR23" s="107">
        <f>$H$31*H44</f>
        <v>5.8624758985252982E-3</v>
      </c>
    </row>
    <row r="24" spans="1:70" ht="15.75" thickBot="1" x14ac:dyDescent="0.3">
      <c r="A24" s="26" t="s">
        <v>76</v>
      </c>
      <c r="B24" s="64">
        <f>B23/B21</f>
        <v>0.58498863198075446</v>
      </c>
      <c r="C24" s="65">
        <f>C23/B21</f>
        <v>0.41501136801924554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>
        <f t="shared" si="11"/>
        <v>3.6955700336801421E-2</v>
      </c>
      <c r="BP24">
        <f>BH49+1</f>
        <v>7</v>
      </c>
      <c r="BQ24">
        <v>0</v>
      </c>
      <c r="BR24" s="107">
        <f t="shared" ref="BR24:BR30" si="12">$H$32*H39</f>
        <v>6.226228640724157E-4</v>
      </c>
    </row>
    <row r="25" spans="1:70" x14ac:dyDescent="0.25">
      <c r="A25" s="26" t="s">
        <v>69</v>
      </c>
      <c r="B25" s="117">
        <f>1/(1+EXP(-3.1416*4*((B11/(B11+C8))-(3.1416/6))))</f>
        <v>0.41415070776819607</v>
      </c>
      <c r="C25" s="118">
        <f>1/(1+EXP(-3.1416*4*((C11/(C11+B8))-(3.1416/6))))</f>
        <v>0.25313395312399234</v>
      </c>
      <c r="D25" s="153">
        <f>IF(B17="AOW", 0.36-0.08, IF(B17="AIM", 0.36+0.08, IF(B17="TL",(0.361)-(0.36*B32),0.36)))</f>
        <v>0.44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1.5206799062970931E-2</v>
      </c>
      <c r="I25" s="97">
        <v>0</v>
      </c>
      <c r="J25" s="98">
        <f t="shared" ref="J25:J35" si="13">Y25+AA25+AC25+AE25+AG25+AI25+AK25+AM25+AO25+AQ25+AS25</f>
        <v>0.11128877465249649</v>
      </c>
      <c r="K25" s="97">
        <v>0</v>
      </c>
      <c r="L25" s="98">
        <f>S20</f>
        <v>0.13664270372690102</v>
      </c>
      <c r="M25" s="84">
        <v>0</v>
      </c>
      <c r="N25" s="71">
        <f>(1-$B$24)^$B$21</f>
        <v>1.2311188061451681E-2</v>
      </c>
      <c r="O25" s="70">
        <v>0</v>
      </c>
      <c r="P25" s="71">
        <f>N25</f>
        <v>1.2311188061451681E-2</v>
      </c>
      <c r="Q25" s="12">
        <v>0</v>
      </c>
      <c r="R25" s="73">
        <f>P25*N25</f>
        <v>1.5156535148443042E-4</v>
      </c>
      <c r="S25" s="70">
        <v>0</v>
      </c>
      <c r="T25" s="135">
        <f>(1-$B$33)^(INT(C23*2*(1-C31)))</f>
        <v>0.995</v>
      </c>
      <c r="U25" s="140">
        <v>0</v>
      </c>
      <c r="V25" s="86">
        <f>R25*T25</f>
        <v>1.5080752472700827E-4</v>
      </c>
      <c r="W25" s="136">
        <f>B31</f>
        <v>0.33675006482933201</v>
      </c>
      <c r="X25" s="12">
        <v>0</v>
      </c>
      <c r="Y25" s="79">
        <f>V25</f>
        <v>1.5080752472700827E-4</v>
      </c>
      <c r="Z25" s="12">
        <v>0</v>
      </c>
      <c r="AA25" s="78">
        <f>((1-W25)^Z26)*V26</f>
        <v>1.4104005212016619E-3</v>
      </c>
      <c r="AB25" s="12">
        <v>0</v>
      </c>
      <c r="AC25" s="79">
        <f>(((1-$W$25)^AB27))*V27</f>
        <v>5.9362030311170882E-3</v>
      </c>
      <c r="AD25" s="12">
        <v>0</v>
      </c>
      <c r="AE25" s="79">
        <f>(((1-$W$25)^AB28))*V28</f>
        <v>1.4807386636742706E-2</v>
      </c>
      <c r="AF25" s="12">
        <v>0</v>
      </c>
      <c r="AG25" s="79">
        <f>(((1-$W$25)^AB29))*V29</f>
        <v>2.4242908651368338E-2</v>
      </c>
      <c r="AH25" s="12">
        <v>0</v>
      </c>
      <c r="AI25" s="79">
        <f>(((1-$W$25)^AB30))*V30</f>
        <v>2.7222944925859721E-2</v>
      </c>
      <c r="AJ25" s="12">
        <v>0</v>
      </c>
      <c r="AK25" s="79">
        <f>(((1-$W$25)^AB31))*V31</f>
        <v>2.123655923403861E-2</v>
      </c>
      <c r="AL25" s="12">
        <v>0</v>
      </c>
      <c r="AM25" s="79">
        <f>(((1-$W$25)^AB32))*V32</f>
        <v>1.1367313644005056E-2</v>
      </c>
      <c r="AN25" s="12">
        <v>0</v>
      </c>
      <c r="AO25" s="79">
        <f>(((1-$W$25)^AB33))*V33</f>
        <v>3.9981760545119878E-3</v>
      </c>
      <c r="AP25" s="12">
        <v>0</v>
      </c>
      <c r="AQ25" s="79">
        <f>(((1-$W$25)^AB34))*V34</f>
        <v>8.3602012584723794E-4</v>
      </c>
      <c r="AR25" s="12">
        <v>0</v>
      </c>
      <c r="AS25" s="79">
        <f>(((1-$W$25)^AB35))*V35</f>
        <v>8.0054303077072529E-5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>
        <f t="shared" si="11"/>
        <v>1.9749193606670441E-2</v>
      </c>
      <c r="BP25">
        <f>BP19+1</f>
        <v>7</v>
      </c>
      <c r="BQ25">
        <v>1</v>
      </c>
      <c r="BR25" s="107">
        <f t="shared" si="12"/>
        <v>2.4033276785411341E-3</v>
      </c>
    </row>
    <row r="26" spans="1:70" x14ac:dyDescent="0.25">
      <c r="A26" s="40" t="s">
        <v>24</v>
      </c>
      <c r="B26" s="119">
        <f>1/(1+EXP(-3.1416*4*((B10/(B10+C9))-(3.1416/6))))</f>
        <v>0.26316029475130442</v>
      </c>
      <c r="C26" s="120">
        <f>1/(1+EXP(-3.1416*4*((C10/(C10+B9))-(3.1416/6))))</f>
        <v>0.85788493795897802</v>
      </c>
      <c r="D26" s="153">
        <f>IF(B17="AOW", 0.257+0.04, IF(B17="AIM", 0.257-0.04, IF(B17="TL",(0.257)-(0.257*B32),0.257)))</f>
        <v>0.217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8.3676903966717273E-2</v>
      </c>
      <c r="I26" s="93">
        <v>1</v>
      </c>
      <c r="J26" s="86">
        <f t="shared" si="13"/>
        <v>0.27320397543522401</v>
      </c>
      <c r="K26" s="93">
        <v>1</v>
      </c>
      <c r="L26" s="86">
        <f>T20</f>
        <v>0.41644428415198442</v>
      </c>
      <c r="M26" s="85">
        <v>1</v>
      </c>
      <c r="N26" s="71">
        <f>(($B$24)^M26)*((1-($B$24))^($B$21-M26))*HLOOKUP($B$21,$AV$24:$BF$34,M26+1)</f>
        <v>8.6767563699513384E-2</v>
      </c>
      <c r="O26" s="72">
        <v>1</v>
      </c>
      <c r="P26" s="71">
        <f t="shared" ref="P26:P30" si="14">N26</f>
        <v>8.6767563699513384E-2</v>
      </c>
      <c r="Q26" s="28">
        <v>1</v>
      </c>
      <c r="R26" s="37">
        <f>N26*P25+P26*N25</f>
        <v>2.1364235886773947E-3</v>
      </c>
      <c r="S26" s="72">
        <v>1</v>
      </c>
      <c r="T26" s="135">
        <f t="shared" ref="T26:T35" si="15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2.1264992974914299E-3</v>
      </c>
      <c r="W26" s="137"/>
      <c r="X26" s="28">
        <v>1</v>
      </c>
      <c r="Y26" s="73"/>
      <c r="Z26" s="28">
        <v>1</v>
      </c>
      <c r="AA26" s="79">
        <f>(1-((1-W25)^Z26))*V26</f>
        <v>7.1609877628976801E-4</v>
      </c>
      <c r="AB26" s="28">
        <v>1</v>
      </c>
      <c r="AC26" s="79">
        <f>((($W$25)^M26)*((1-($W$25))^($U$27-M26))*HLOOKUP($U$27,$AV$24:$BF$34,M26+1))*V27</f>
        <v>6.0279440662270641E-3</v>
      </c>
      <c r="AD26" s="28">
        <v>1</v>
      </c>
      <c r="AE26" s="79">
        <f>((($W$25)^M26)*((1-($W$25))^($U$28-M26))*HLOOKUP($U$28,$AV$24:$BF$34,M26+1))*V28</f>
        <v>2.2554341035523763E-2</v>
      </c>
      <c r="AF26" s="28">
        <v>1</v>
      </c>
      <c r="AG26" s="79">
        <f>((($W$25)^M26)*((1-($W$25))^($U$29-M26))*HLOOKUP($U$29,$AV$24:$BF$34,M26+1))*V29</f>
        <v>4.9235141246710537E-2</v>
      </c>
      <c r="AH26" s="28">
        <v>1</v>
      </c>
      <c r="AI26" s="79">
        <f>((($W$25)^M26)*((1-($W$25))^($U$30-M26))*HLOOKUP($U$30,$AV$24:$BF$34,M26+1))*V30</f>
        <v>6.9109154652760366E-2</v>
      </c>
      <c r="AJ26" s="28">
        <v>1</v>
      </c>
      <c r="AK26" s="79">
        <f>((($W$25)^M26)*((1-($W$25))^($U$31-M26))*HLOOKUP($U$31,$AV$24:$BF$34,M26+1))*V31</f>
        <v>6.4694278759100762E-2</v>
      </c>
      <c r="AL26" s="28">
        <v>1</v>
      </c>
      <c r="AM26" s="79">
        <f>((($W$25)^Q26)*((1-($W$25))^($U$32-Q26))*HLOOKUP($U$32,$AV$24:$BF$34,Q26+1))*V32</f>
        <v>4.0400464176424393E-2</v>
      </c>
      <c r="AN26" s="28">
        <v>1</v>
      </c>
      <c r="AO26" s="79">
        <f>((($W$25)^Q26)*((1-($W$25))^($U$33-Q26))*HLOOKUP($U$33,$AV$24:$BF$34,Q26+1))*V33</f>
        <v>1.6239863425959226E-2</v>
      </c>
      <c r="AP26" s="28">
        <v>1</v>
      </c>
      <c r="AQ26" s="79">
        <f>((($W$25)^Q26)*((1-($W$25))^($U$34-Q26))*HLOOKUP($U$34,$AV$24:$BF$34,Q26+1))*V34</f>
        <v>3.8202317856950289E-3</v>
      </c>
      <c r="AR26" s="28">
        <v>1</v>
      </c>
      <c r="AS26" s="79">
        <f>((($W$25)^Q26)*((1-($W$25))^($U$35-Q26))*HLOOKUP($U$35,$AV$24:$BF$34,Q26+1))*V35</f>
        <v>4.0645751053310309E-4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>
        <f t="shared" si="11"/>
        <v>7.8478713556357459E-3</v>
      </c>
      <c r="BP26">
        <f>BP20+1</f>
        <v>7</v>
      </c>
      <c r="BQ26">
        <v>2</v>
      </c>
      <c r="BR26" s="107">
        <f t="shared" si="12"/>
        <v>4.2751507344199087E-3</v>
      </c>
    </row>
    <row r="27" spans="1:70" x14ac:dyDescent="0.25">
      <c r="A27" s="26" t="s">
        <v>25</v>
      </c>
      <c r="B27" s="119">
        <f>1/(1+EXP(-3.1416*4*((B12/(B12+C7))-(3.1416/6))))</f>
        <v>7.3412897429614599E-2</v>
      </c>
      <c r="C27" s="120">
        <f>1/(1+EXP(-3.1416*4*((C12/(C12+B7))-(3.1416/6))))</f>
        <v>0.72881782180711829</v>
      </c>
      <c r="D27" s="153">
        <f>D26</f>
        <v>0.217</v>
      </c>
      <c r="E27" s="153">
        <f>E26</f>
        <v>0.25700000000000001</v>
      </c>
      <c r="G27" s="87">
        <v>2</v>
      </c>
      <c r="H27" s="128">
        <f>L25*J27+J26*L26+J25*L27</f>
        <v>0.19585001838202654</v>
      </c>
      <c r="I27" s="93">
        <v>2</v>
      </c>
      <c r="J27" s="86">
        <f t="shared" si="13"/>
        <v>0.30185701557327899</v>
      </c>
      <c r="K27" s="93">
        <v>2</v>
      </c>
      <c r="L27" s="86">
        <f>U20</f>
        <v>0.36687640586441056</v>
      </c>
      <c r="M27" s="85">
        <v>2</v>
      </c>
      <c r="N27" s="71">
        <f>(($B$24)^M27)*((1-($B$24))^($B$21-M27))*HLOOKUP($B$21,$AV$24:$BF$34,M27+1)</f>
        <v>0.24461035190981792</v>
      </c>
      <c r="O27" s="72">
        <v>2</v>
      </c>
      <c r="P27" s="71">
        <f t="shared" si="14"/>
        <v>0.24461035190981792</v>
      </c>
      <c r="Q27" s="28">
        <v>2</v>
      </c>
      <c r="R27" s="37">
        <f>P25*N27+P26*N26+P27*N25</f>
        <v>1.3551498198628402E-2</v>
      </c>
      <c r="S27" s="72">
        <v>2</v>
      </c>
      <c r="T27" s="135">
        <f t="shared" si="15"/>
        <v>0</v>
      </c>
      <c r="U27" s="93">
        <v>2</v>
      </c>
      <c r="V27" s="86">
        <f>R27*T25+T26*R26+R25*T27</f>
        <v>1.3494422825578648E-2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1.5302757282344951E-3</v>
      </c>
      <c r="AD27" s="28">
        <v>2</v>
      </c>
      <c r="AE27" s="79">
        <f>((($W$25)^M27)*((1-($W$25))^($U$28-M27))*HLOOKUP($U$28,$AV$24:$BF$34,M27+1))*V28</f>
        <v>1.1451453521727212E-2</v>
      </c>
      <c r="AF27" s="28">
        <v>2</v>
      </c>
      <c r="AG27" s="79">
        <f>((($W$25)^M27)*((1-($W$25))^($U$29-M27))*HLOOKUP($U$29,$AV$24:$BF$34,M27+1))*V29</f>
        <v>3.749703421179694E-2</v>
      </c>
      <c r="AH27" s="28">
        <v>2</v>
      </c>
      <c r="AI27" s="79">
        <f>((($W$25)^M27)*((1-($W$25))^($U$30-M27))*HLOOKUP($U$30,$AV$24:$BF$34,M27+1))*V30</f>
        <v>7.0177201912967793E-2</v>
      </c>
      <c r="AJ27" s="28">
        <v>2</v>
      </c>
      <c r="AK27" s="79">
        <f>((($W$25)^M27)*((1-($W$25))^($U$31-M27))*HLOOKUP($U$31,$AV$24:$BF$34,M27+1))*V31</f>
        <v>8.2117620413366954E-2</v>
      </c>
      <c r="AL27" s="28">
        <v>2</v>
      </c>
      <c r="AM27" s="79">
        <f>((($W$25)^Q27)*((1-($W$25))^($U$32-Q27))*HLOOKUP($U$32,$AV$24:$BF$34,Q27+1))*V32</f>
        <v>6.1537249575660535E-2</v>
      </c>
      <c r="AN27" s="28">
        <v>2</v>
      </c>
      <c r="AO27" s="79">
        <f>((($W$25)^Q27)*((1-($W$25))^($U$33-Q27))*HLOOKUP($U$33,$AV$24:$BF$34,Q27+1))*V33</f>
        <v>2.8858974121669739E-2</v>
      </c>
      <c r="AP27" s="28">
        <v>2</v>
      </c>
      <c r="AQ27" s="79">
        <f>((($W$25)^Q27)*((1-($W$25))^($U$34-Q27))*HLOOKUP($U$34,$AV$24:$BF$34,Q27+1))*V34</f>
        <v>7.7585430968181981E-3</v>
      </c>
      <c r="AR27" s="28">
        <v>2</v>
      </c>
      <c r="AS27" s="79">
        <f>((($W$25)^Q27)*((1-($W$25))^($U$35-Q27))*HLOOKUP($U$35,$AV$24:$BF$34,Q27+1))*V35</f>
        <v>9.2866299103710873E-4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>
        <f t="shared" si="11"/>
        <v>2.3541662146808326E-3</v>
      </c>
      <c r="BP27">
        <f>BP21+1</f>
        <v>7</v>
      </c>
      <c r="BQ27">
        <v>3</v>
      </c>
      <c r="BR27" s="107">
        <f t="shared" si="12"/>
        <v>4.6439038804192024E-3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0.26185738301237782</v>
      </c>
      <c r="I28" s="93">
        <v>3</v>
      </c>
      <c r="J28" s="86">
        <f t="shared" si="13"/>
        <v>0.19767967916163892</v>
      </c>
      <c r="K28" s="93">
        <v>3</v>
      </c>
      <c r="L28" s="86">
        <f>V20</f>
        <v>8.0036606256704002E-2</v>
      </c>
      <c r="M28" s="85">
        <v>3</v>
      </c>
      <c r="N28" s="71">
        <f>(($B$24)^M28)*((1-($B$24))^($B$21-M28))*HLOOKUP($B$21,$AV$24:$BF$34,M28+1)</f>
        <v>0.34479603731100572</v>
      </c>
      <c r="O28" s="72">
        <v>3</v>
      </c>
      <c r="P28" s="71">
        <f t="shared" si="14"/>
        <v>0.34479603731100572</v>
      </c>
      <c r="Q28" s="28">
        <v>3</v>
      </c>
      <c r="R28" s="37">
        <f>P25*N28+P26*N27+P27*N26+P28*N25</f>
        <v>5.0938186298149231E-2</v>
      </c>
      <c r="S28" s="72">
        <v>3</v>
      </c>
      <c r="T28" s="135">
        <f t="shared" si="15"/>
        <v>0</v>
      </c>
      <c r="U28" s="93">
        <v>3</v>
      </c>
      <c r="V28" s="86">
        <f>R28*T25+R27*T26+R26*T27+R25*T28</f>
        <v>5.0751252857651627E-2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1.9380716636579445E-3</v>
      </c>
      <c r="AF28" s="28">
        <v>3</v>
      </c>
      <c r="AG28" s="79">
        <f>((($W$25)^M28)*((1-($W$25))^($U$29-M28))*HLOOKUP($U$29,$AV$24:$BF$34,M28+1))*V29</f>
        <v>1.2692177344860781E-2</v>
      </c>
      <c r="AH28" s="28">
        <v>3</v>
      </c>
      <c r="AI28" s="79">
        <f>((($W$25)^M28)*((1-($W$25))^($U$30-M28))*HLOOKUP($U$30,$AV$24:$BF$34,M28+1))*V30</f>
        <v>3.5630877653462539E-2</v>
      </c>
      <c r="AJ28" s="28">
        <v>3</v>
      </c>
      <c r="AK28" s="79">
        <f>((($W$25)^M28)*((1-($W$25))^($U$31-M28))*HLOOKUP($U$31,$AV$24:$BF$34,M28+1))*V31</f>
        <v>5.5591137983734752E-2</v>
      </c>
      <c r="AL28" s="28">
        <v>3</v>
      </c>
      <c r="AM28" s="79">
        <f>((($W$25)^Q28)*((1-($W$25))^($U$32-Q28))*HLOOKUP($U$32,$AV$24:$BF$34,Q28+1))*V32</f>
        <v>5.2073564039600687E-2</v>
      </c>
      <c r="AN28" s="28">
        <v>3</v>
      </c>
      <c r="AO28" s="79">
        <f>((($W$25)^Q28)*((1-($W$25))^($U$33-Q28))*HLOOKUP($U$33,$AV$24:$BF$34,Q28+1))*V33</f>
        <v>2.9304975066087532E-2</v>
      </c>
      <c r="AP28" s="28">
        <v>3</v>
      </c>
      <c r="AQ28" s="79">
        <f>((($W$25)^Q28)*((1-($W$25))^($U$34-Q28))*HLOOKUP($U$34,$AV$24:$BF$34,Q28+1))*V34</f>
        <v>9.1915220623111291E-3</v>
      </c>
      <c r="AR28" s="28">
        <v>3</v>
      </c>
      <c r="AS28" s="79">
        <f>((($W$25)^Q28)*((1-($W$25))^($U$35-Q28))*HLOOKUP($U$35,$AV$24:$BF$34,Q28+1))*V35</f>
        <v>1.2573533479235659E-3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>
        <f t="shared" si="11"/>
        <v>5.3491544705959449E-4</v>
      </c>
      <c r="BP28">
        <f>BP22+1</f>
        <v>7</v>
      </c>
      <c r="BQ28">
        <v>4</v>
      </c>
      <c r="BR28" s="107">
        <f t="shared" si="12"/>
        <v>3.4405382872707683E-3</v>
      </c>
    </row>
    <row r="29" spans="1:70" x14ac:dyDescent="0.25">
      <c r="A29" s="26" t="s">
        <v>27</v>
      </c>
      <c r="B29" s="123">
        <f>1/(1+EXP(-3.1416*4*((B14/(B14+C13))-(3.1416/6))))</f>
        <v>0.12273465459919035</v>
      </c>
      <c r="C29" s="118">
        <f>1/(1+EXP(-3.1416*4*((C14/(C14+B13))-(3.1416/6))))</f>
        <v>0.60774254752805823</v>
      </c>
      <c r="D29" s="153">
        <v>0.04</v>
      </c>
      <c r="E29" s="153">
        <v>0.04</v>
      </c>
      <c r="G29" s="87">
        <v>4</v>
      </c>
      <c r="H29" s="128">
        <f>J29*L25+J28*L26+J27*L27+J26*L28</f>
        <v>0.2265450707418942</v>
      </c>
      <c r="I29" s="93">
        <v>4</v>
      </c>
      <c r="J29" s="86">
        <f t="shared" si="13"/>
        <v>8.4980478116726585E-2</v>
      </c>
      <c r="K29" s="93">
        <v>4</v>
      </c>
      <c r="L29" s="86"/>
      <c r="M29" s="85">
        <v>4</v>
      </c>
      <c r="N29" s="71">
        <f>(($B$24)^M29)*((1-($B$24))^($B$21-M29))*HLOOKUP($B$21,$AV$24:$BF$34,M29+1)</f>
        <v>0.24300751463945056</v>
      </c>
      <c r="O29" s="72">
        <v>4</v>
      </c>
      <c r="P29" s="71">
        <f t="shared" si="14"/>
        <v>0.24300751463945056</v>
      </c>
      <c r="Q29" s="28">
        <v>4</v>
      </c>
      <c r="R29" s="37">
        <f>P25*N29+P26*N28+P27*N27+P28*N26+P29*N25</f>
        <v>0.12565187094903441</v>
      </c>
      <c r="S29" s="72">
        <v>4</v>
      </c>
      <c r="T29" s="135">
        <f t="shared" si="15"/>
        <v>0</v>
      </c>
      <c r="U29" s="93">
        <v>4</v>
      </c>
      <c r="V29" s="86">
        <f>T29*R25+T28*R26+T27*R27+T26*R28+T25*R29</f>
        <v>0.12527830252577998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1.6110410710433894E-3</v>
      </c>
      <c r="AH29" s="28">
        <v>4</v>
      </c>
      <c r="AI29" s="79">
        <f>((($W$25)^M29)*((1-($W$25))^($U$30-M29))*HLOOKUP($U$30,$AV$24:$BF$34,M29+1))*V30</f>
        <v>9.0453837410794415E-3</v>
      </c>
      <c r="AJ29" s="28">
        <v>4</v>
      </c>
      <c r="AK29" s="79">
        <f>((($W$25)^M29)*((1-($W$25))^($U$31-M29))*HLOOKUP($U$31,$AV$24:$BF$34,M29+1))*V31</f>
        <v>2.1168851658246179E-2</v>
      </c>
      <c r="AL29" s="28">
        <v>4</v>
      </c>
      <c r="AM29" s="79">
        <f>((($W$25)^Q29)*((1-($W$25))^($U$32-Q29))*HLOOKUP($U$32,$AV$24:$BF$34,Q29+1))*V32</f>
        <v>2.6439167403337294E-2</v>
      </c>
      <c r="AN29" s="28">
        <v>4</v>
      </c>
      <c r="AO29" s="79">
        <f>((($W$25)^Q29)*((1-($W$25))^($U$33-Q29))*HLOOKUP($U$33,$AV$24:$BF$34,Q29+1))*V33</f>
        <v>1.8598667956875817E-2</v>
      </c>
      <c r="AP29" s="28">
        <v>4</v>
      </c>
      <c r="AQ29" s="79">
        <f>((($W$25)^Q29)*((1-($W$25))^($U$34-Q29))*HLOOKUP($U$34,$AV$24:$BF$34,Q29+1))*V34</f>
        <v>7.0001793130225563E-3</v>
      </c>
      <c r="AR29" s="28">
        <v>4</v>
      </c>
      <c r="AS29" s="79">
        <f>((($W$25)^Q29)*((1-($W$25))^($U$35-Q29))*HLOOKUP($U$35,$AV$24:$BF$34,Q29+1))*V35</f>
        <v>1.1171869731219036E-3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>
        <f t="shared" si="11"/>
        <v>9.1316945608031525E-5</v>
      </c>
      <c r="BP29">
        <f>BP23+1</f>
        <v>7</v>
      </c>
      <c r="BQ29">
        <v>5</v>
      </c>
      <c r="BR29" s="107">
        <f t="shared" si="12"/>
        <v>1.8386299306255747E-3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0.13549770546144707</v>
      </c>
      <c r="I30" s="93">
        <v>5</v>
      </c>
      <c r="J30" s="86">
        <f t="shared" si="13"/>
        <v>2.5061343835551718E-2</v>
      </c>
      <c r="K30" s="93">
        <v>5</v>
      </c>
      <c r="L30" s="86"/>
      <c r="M30" s="85">
        <v>5</v>
      </c>
      <c r="N30" s="71">
        <f>(($B$24)^M30)*((1-($B$24))^($B$21-M30))*HLOOKUP($B$21,$AV$24:$BF$34,M30+1)</f>
        <v>6.8507344378760743E-2</v>
      </c>
      <c r="O30" s="72">
        <v>5</v>
      </c>
      <c r="P30" s="71">
        <f t="shared" si="14"/>
        <v>6.8507344378760743E-2</v>
      </c>
      <c r="Q30" s="28">
        <v>5</v>
      </c>
      <c r="R30" s="37">
        <f>P25*N30+P26*N29+P27*N28+P28*N27+P29*N26+P30*N25</f>
        <v>0.21253851365986468</v>
      </c>
      <c r="S30" s="72">
        <v>5</v>
      </c>
      <c r="T30" s="135">
        <f t="shared" si="15"/>
        <v>0</v>
      </c>
      <c r="U30" s="93">
        <v>5</v>
      </c>
      <c r="V30" s="86">
        <f>T30*R25+T29*R26+T28*R27+T27*R28+T26*R29+T25*R30</f>
        <v>0.21210408044631052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9.1851756018065174E-4</v>
      </c>
      <c r="AJ30" s="28">
        <v>5</v>
      </c>
      <c r="AK30" s="79">
        <f>((($W$25)^M30)*((1-($W$25))^($U$31-M30))*HLOOKUP($U$31,$AV$24:$BF$34,M30+1))*V31</f>
        <v>4.2992011248022639E-3</v>
      </c>
      <c r="AL30" s="28">
        <v>5</v>
      </c>
      <c r="AM30" s="79">
        <f>((($W$25)^Q30)*((1-($W$25))^($U$32-Q30))*HLOOKUP($U$32,$AV$24:$BF$34,Q30+1))*V32</f>
        <v>8.054331435237639E-3</v>
      </c>
      <c r="AN30" s="28">
        <v>5</v>
      </c>
      <c r="AO30" s="79">
        <f>((($W$25)^Q30)*((1-($W$25))^($U$33-Q30))*HLOOKUP($U$33,$AV$24:$BF$34,Q30+1))*V33</f>
        <v>7.5544404099857458E-3</v>
      </c>
      <c r="AP30" s="28">
        <v>5</v>
      </c>
      <c r="AQ30" s="79">
        <f>((($W$25)^Q30)*((1-($W$25))^($U$34-Q30))*HLOOKUP($U$34,$AV$24:$BF$34,Q30+1))*V34</f>
        <v>3.5541817834791188E-3</v>
      </c>
      <c r="AR30" s="28">
        <v>5</v>
      </c>
      <c r="AS30" s="79">
        <f>((($W$25)^Q30)*((1-($W$25))^($U$35-Q30))*HLOOKUP($U$35,$AV$24:$BF$34,Q30+1))*V35</f>
        <v>6.8067152186630005E-4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>
        <f t="shared" si="11"/>
        <v>1.1443459929417502E-5</v>
      </c>
      <c r="BP30">
        <f>BL10+1</f>
        <v>7</v>
      </c>
      <c r="BQ30">
        <v>6</v>
      </c>
      <c r="BR30" s="107">
        <f t="shared" si="12"/>
        <v>7.306288779961816E-4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0.33675006482933201</v>
      </c>
      <c r="C31" s="61">
        <f>(C25*E25)+(C26*E26)+(C27*E27)+(C28*E28)+(C29*E29)+(C30*E30)/(C25+C26+C27+C28+C29+C30)</f>
        <v>0.59976342109072822</v>
      </c>
      <c r="G31" s="87">
        <v>6</v>
      </c>
      <c r="H31" s="128">
        <f>J31*L25+J30*L26+J29*L27+J28*L28</f>
        <v>5.8137361725116993E-2</v>
      </c>
      <c r="I31" s="93">
        <v>6</v>
      </c>
      <c r="J31" s="86">
        <f t="shared" si="13"/>
        <v>5.1357685875491263E-3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0.24965704542528216</v>
      </c>
      <c r="S31" s="70">
        <v>6</v>
      </c>
      <c r="T31" s="135">
        <f t="shared" si="15"/>
        <v>0</v>
      </c>
      <c r="U31" s="93">
        <v>6</v>
      </c>
      <c r="V31" s="86">
        <f>T31*R25+T30*R26+T29*R27+T28*R28+T27*R29+T26*R30+T25*R31</f>
        <v>0.24947145276645508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3.6380359316556435E-4</v>
      </c>
      <c r="AL31" s="28">
        <v>6</v>
      </c>
      <c r="AM31" s="79">
        <f>((($W$25)^Q31)*((1-($W$25))^($U$32-Q31))*HLOOKUP($U$32,$AV$24:$BF$34,Q31+1))*V32</f>
        <v>1.3631345134245518E-3</v>
      </c>
      <c r="AN31" s="28">
        <v>6</v>
      </c>
      <c r="AO31" s="79">
        <f>((($W$25)^Q31)*((1-($W$25))^($U$33-Q31))*HLOOKUP($U$33,$AV$24:$BF$34,Q31+1))*V33</f>
        <v>1.917797622669509E-3</v>
      </c>
      <c r="AP31" s="28">
        <v>6</v>
      </c>
      <c r="AQ31" s="79">
        <f>((($W$25)^Q31)*((1-($W$25))^($U$34-Q31))*HLOOKUP($U$34,$AV$24:$BF$34,Q31+1))*V34</f>
        <v>1.2030366256966106E-3</v>
      </c>
      <c r="AR31" s="28">
        <v>6</v>
      </c>
      <c r="AS31" s="79">
        <f>((($W$25)^Q31)*((1-($W$25))^($U$35-Q31))*HLOOKUP($U$35,$AV$24:$BF$34,Q31+1))*V35</f>
        <v>2.8799623259288945E-4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>
        <f t="shared" ref="BJ31:BJ37" si="18">$H$28*H43</f>
        <v>4.9410886235957359E-2</v>
      </c>
      <c r="BP31">
        <f t="shared" ref="BP31:BP37" si="19">BP24+1</f>
        <v>8</v>
      </c>
      <c r="BQ31">
        <v>0</v>
      </c>
      <c r="BR31" s="107">
        <f t="shared" ref="BR31:BR38" si="20">$H$33*H39</f>
        <v>1.434182840448184E-4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1.8233438432095673E-2</v>
      </c>
      <c r="I32" s="93">
        <v>7</v>
      </c>
      <c r="J32" s="86">
        <f t="shared" si="13"/>
        <v>7.2241061788784965E-4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0.20109126740274902</v>
      </c>
      <c r="S32" s="72">
        <v>7</v>
      </c>
      <c r="T32" s="135">
        <f t="shared" si="15"/>
        <v>0</v>
      </c>
      <c r="U32" s="93">
        <v>7</v>
      </c>
      <c r="V32" s="86">
        <f>T32*R25+T31*R26+T30*R27+T29*R28+T28*R29+T27*R30+T26*R31+T25*R32</f>
        <v>0.2013340962928617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9.8871505171554188E-5</v>
      </c>
      <c r="AN32" s="28">
        <v>7</v>
      </c>
      <c r="AO32" s="79">
        <f>((($W$25)^Q32)*((1-($W$25))^($U$33-Q32))*HLOOKUP($U$33,$AV$24:$BF$34,Q32+1))*V33</f>
        <v>2.7820517447159154E-4</v>
      </c>
      <c r="AP32" s="28">
        <v>7</v>
      </c>
      <c r="AQ32" s="79">
        <f>((($W$25)^Q32)*((1-($W$25))^($U$34-Q32))*HLOOKUP($U$34,$AV$24:$BF$34,Q32+1))*V34</f>
        <v>2.6177763262770276E-4</v>
      </c>
      <c r="AR32" s="28">
        <v>7</v>
      </c>
      <c r="AS32" s="79">
        <f>((($W$25)^Q32)*((1-($W$25))^($U$35-Q32))*HLOOKUP($U$35,$AV$24:$BF$34,Q32+1))*V35</f>
        <v>8.3556305617001118E-5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>
        <f t="shared" si="18"/>
        <v>2.6405267649043523E-2</v>
      </c>
      <c r="BP32">
        <f t="shared" si="19"/>
        <v>8</v>
      </c>
      <c r="BQ32">
        <v>1</v>
      </c>
      <c r="BR32" s="107">
        <f t="shared" si="20"/>
        <v>5.5359536493619253E-4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4.1999878306169308E-3</v>
      </c>
      <c r="I33" s="93">
        <v>8</v>
      </c>
      <c r="J33" s="86">
        <f t="shared" si="13"/>
        <v>6.6793382717168635E-5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0.10629477390823699</v>
      </c>
      <c r="S33" s="72">
        <v>8</v>
      </c>
      <c r="T33" s="135">
        <f t="shared" si="15"/>
        <v>0</v>
      </c>
      <c r="U33" s="93">
        <v>8</v>
      </c>
      <c r="V33" s="86">
        <f>T33*R25+T32*R26+T31*R27+T30*R28+T29*R29+T28*R30+T27*R31+T26*R32+T25*R33</f>
        <v>0.10676875637570957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1.7656543478413005E-5</v>
      </c>
      <c r="AP33" s="28">
        <v>8</v>
      </c>
      <c r="AQ33" s="79">
        <f>((($W$25)^Q33)*((1-($W$25))^($U$34-Q33))*HLOOKUP($U$34,$AV$24:$BF$34,Q33+1))*V34</f>
        <v>3.3227909300723936E-5</v>
      </c>
      <c r="AR33" s="28">
        <v>8</v>
      </c>
      <c r="AS33" s="79">
        <f>((($W$25)^Q33)*((1-($W$25))^($U$35-Q33))*HLOOKUP($U$35,$AV$24:$BF$34,Q33+1))*V35</f>
        <v>1.5908929938031701E-5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>
        <f t="shared" si="18"/>
        <v>1.0492840758360485E-2</v>
      </c>
      <c r="BP33">
        <f t="shared" si="19"/>
        <v>8</v>
      </c>
      <c r="BQ33">
        <v>2</v>
      </c>
      <c r="BR33" s="107">
        <f t="shared" si="20"/>
        <v>9.8476110940271585E-4</v>
      </c>
    </row>
    <row r="34" spans="1:70" x14ac:dyDescent="0.25">
      <c r="A34" s="40" t="s">
        <v>86</v>
      </c>
      <c r="B34" s="56">
        <f>B23*2</f>
        <v>5.8498863198075446</v>
      </c>
      <c r="C34" s="57">
        <f>C23*2</f>
        <v>4.1501136801924554</v>
      </c>
      <c r="G34" s="87">
        <v>9</v>
      </c>
      <c r="H34" s="128">
        <f>J34*L25+J33*L26+J32*L27+J31*L28</f>
        <v>7.044020323124095E-4</v>
      </c>
      <c r="I34" s="93">
        <v>9</v>
      </c>
      <c r="J34" s="86">
        <f t="shared" si="13"/>
        <v>3.6695010475652084E-6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3.3295598984063167E-2</v>
      </c>
      <c r="S34" s="72">
        <v>9</v>
      </c>
      <c r="T34" s="135">
        <f t="shared" si="15"/>
        <v>0</v>
      </c>
      <c r="U34" s="93">
        <v>9</v>
      </c>
      <c r="V34" s="86">
        <f>T34*R25+T33*R26+T32*R27+T31*R28+T30*R29+T29*R30+T28*R31+T27*R32+T26*R33+T25*R34</f>
        <v>3.3660594858684036E-2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1.8745238857275424E-6</v>
      </c>
      <c r="AR34" s="28">
        <v>9</v>
      </c>
      <c r="AS34" s="79">
        <f>((($W$25)^Q34)*((1-($W$25))^($U$35-Q34))*HLOOKUP($U$35,$AV$24:$BF$34,Q34+1))*V35</f>
        <v>1.7949771618376661E-6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>
        <f t="shared" si="18"/>
        <v>3.1475912499023362E-3</v>
      </c>
      <c r="BP34">
        <f t="shared" si="19"/>
        <v>8</v>
      </c>
      <c r="BQ34">
        <v>3</v>
      </c>
      <c r="BR34" s="107">
        <f t="shared" si="20"/>
        <v>1.0697016833633858E-3</v>
      </c>
    </row>
    <row r="35" spans="1:70" ht="15.75" thickBot="1" x14ac:dyDescent="0.3">
      <c r="G35" s="88">
        <v>10</v>
      </c>
      <c r="H35" s="129">
        <f>J35*L25+J34*L26+J33*L27+J32*L28</f>
        <v>8.386480615656927E-5</v>
      </c>
      <c r="I35" s="94">
        <v>10</v>
      </c>
      <c r="J35" s="89">
        <f t="shared" si="13"/>
        <v>9.1135881598007942E-8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4.6932562338301209E-3</v>
      </c>
      <c r="S35" s="72">
        <v>10</v>
      </c>
      <c r="T35" s="135">
        <f t="shared" si="15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4.8597342287504119E-3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9.1135881598007942E-8</v>
      </c>
      <c r="BH35">
        <f t="shared" si="17"/>
        <v>3</v>
      </c>
      <c r="BI35">
        <v>8</v>
      </c>
      <c r="BJ35" s="107">
        <f t="shared" si="18"/>
        <v>7.151980901359779E-4</v>
      </c>
      <c r="BP35">
        <f t="shared" si="19"/>
        <v>8</v>
      </c>
      <c r="BQ35">
        <v>4</v>
      </c>
      <c r="BR35" s="107">
        <f t="shared" si="20"/>
        <v>7.9251200979583969E-4</v>
      </c>
    </row>
    <row r="36" spans="1:70" x14ac:dyDescent="0.25">
      <c r="A36" s="1"/>
      <c r="B36" s="108">
        <f>SUM(B37:B39)</f>
        <v>0.99990366229215777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7"/>
        <v>3</v>
      </c>
      <c r="BI36">
        <v>9</v>
      </c>
      <c r="BJ36" s="107">
        <f t="shared" si="18"/>
        <v>1.2209351114259189E-4</v>
      </c>
      <c r="BP36">
        <f t="shared" si="19"/>
        <v>8</v>
      </c>
      <c r="BQ36">
        <v>5</v>
      </c>
      <c r="BR36" s="107">
        <f t="shared" si="20"/>
        <v>4.2351986227909212E-4</v>
      </c>
    </row>
    <row r="37" spans="1:70" ht="15.75" thickBot="1" x14ac:dyDescent="0.3">
      <c r="A37" s="109" t="s">
        <v>104</v>
      </c>
      <c r="B37" s="107">
        <f>SUM(BN4:BN14)</f>
        <v>0.1831336108477695</v>
      </c>
      <c r="G37" s="13"/>
      <c r="H37" s="59">
        <f>SUM(H39:H49)</f>
        <v>0.99999458625211723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0.99981552891763803</v>
      </c>
      <c r="W37" s="13"/>
      <c r="X37" s="13"/>
      <c r="Y37" s="80">
        <f>SUM(Y39:Y49)</f>
        <v>4.6232087978831772E-3</v>
      </c>
      <c r="Z37" s="81"/>
      <c r="AA37" s="80">
        <f>SUM(AA39:AA49)</f>
        <v>3.2868354622319615E-2</v>
      </c>
      <c r="AB37" s="81"/>
      <c r="AC37" s="80">
        <f>SUM(AC39:AC49)</f>
        <v>0.10520311348581923</v>
      </c>
      <c r="AD37" s="81"/>
      <c r="AE37" s="80">
        <f>SUM(AE39:AE49)</f>
        <v>0.19967095762416331</v>
      </c>
      <c r="AF37" s="81"/>
      <c r="AG37" s="80">
        <f>SUM(AG39:AG49)</f>
        <v>0.24892509995478806</v>
      </c>
      <c r="AH37" s="81"/>
      <c r="AI37" s="80">
        <f>SUM(AI39:AI49)</f>
        <v>0.21308887024481113</v>
      </c>
      <c r="AJ37" s="81"/>
      <c r="AK37" s="80">
        <f>SUM(AK39:AK49)</f>
        <v>0.12695143349185112</v>
      </c>
      <c r="AL37" s="81"/>
      <c r="AM37" s="80">
        <f>SUM(AM39:AM49)</f>
        <v>5.2059796797133379E-2</v>
      </c>
      <c r="AN37" s="81"/>
      <c r="AO37" s="80">
        <f>SUM(AO39:AO49)</f>
        <v>1.4115094900607757E-2</v>
      </c>
      <c r="AP37" s="81"/>
      <c r="AQ37" s="80">
        <f>SUM(AQ39:AQ49)</f>
        <v>2.3095989982612605E-3</v>
      </c>
      <c r="AR37" s="81"/>
      <c r="AS37" s="80">
        <f>SUM(AS39:AS49)</f>
        <v>1.8447108236196999E-4</v>
      </c>
      <c r="BH37">
        <f t="shared" si="17"/>
        <v>3</v>
      </c>
      <c r="BI37">
        <v>10</v>
      </c>
      <c r="BJ37" s="107">
        <f t="shared" si="18"/>
        <v>1.5300251153814931E-5</v>
      </c>
      <c r="BP37">
        <f t="shared" si="19"/>
        <v>8</v>
      </c>
      <c r="BQ37">
        <v>6</v>
      </c>
      <c r="BR37" s="107">
        <f t="shared" si="20"/>
        <v>1.6829696755822317E-4</v>
      </c>
    </row>
    <row r="38" spans="1:70" ht="15.75" thickBot="1" x14ac:dyDescent="0.3">
      <c r="A38" s="110" t="s">
        <v>105</v>
      </c>
      <c r="B38" s="107">
        <f>SUM(BJ4:BJ59)</f>
        <v>0.33802972733258552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>
        <f t="shared" ref="BJ38:BJ43" si="34">$H$29*H44</f>
        <v>2.2844432181728675E-2</v>
      </c>
      <c r="BP38">
        <f>BL11+1</f>
        <v>8</v>
      </c>
      <c r="BQ38">
        <v>7</v>
      </c>
      <c r="BR38" s="107">
        <f t="shared" si="20"/>
        <v>5.0484904390575287E-5</v>
      </c>
    </row>
    <row r="39" spans="1:70" x14ac:dyDescent="0.25">
      <c r="A39" s="111" t="s">
        <v>0</v>
      </c>
      <c r="B39" s="107">
        <f>SUM(BR4:BR47)</f>
        <v>0.47874032411180284</v>
      </c>
      <c r="G39" s="130">
        <v>0</v>
      </c>
      <c r="H39" s="131">
        <f>L39*J39</f>
        <v>3.4147309427739907E-2</v>
      </c>
      <c r="I39" s="97">
        <v>0</v>
      </c>
      <c r="J39" s="98">
        <f t="shared" ref="J39:J49" si="35">Y39+AA39+AC39+AE39+AG39+AI39+AK39+AM39+AO39+AQ39+AS39</f>
        <v>5.66258450571335E-2</v>
      </c>
      <c r="K39" s="102">
        <v>0</v>
      </c>
      <c r="L39" s="98">
        <f>AC20</f>
        <v>0.60303399257505941</v>
      </c>
      <c r="M39" s="84">
        <v>0</v>
      </c>
      <c r="N39" s="71">
        <f>(1-$C$24)^$B$21</f>
        <v>6.8507344378760743E-2</v>
      </c>
      <c r="O39" s="70">
        <v>0</v>
      </c>
      <c r="P39" s="71">
        <f>N39</f>
        <v>6.8507344378760743E-2</v>
      </c>
      <c r="Q39" s="12">
        <v>0</v>
      </c>
      <c r="R39" s="73">
        <f>P39*N39</f>
        <v>4.6932562338301209E-3</v>
      </c>
      <c r="S39" s="70">
        <v>0</v>
      </c>
      <c r="T39" s="135">
        <f>(1-$C$33)^(INT(B23*2*(1-B31)))</f>
        <v>0.98507487500000002</v>
      </c>
      <c r="U39" s="140">
        <v>0</v>
      </c>
      <c r="V39" s="86">
        <f>R39*T39</f>
        <v>4.6232087978831772E-3</v>
      </c>
      <c r="W39" s="136">
        <f>C31</f>
        <v>0.59976342109072822</v>
      </c>
      <c r="X39" s="12">
        <v>0</v>
      </c>
      <c r="Y39" s="79">
        <f>V39</f>
        <v>4.6232087978831772E-3</v>
      </c>
      <c r="Z39" s="12">
        <v>0</v>
      </c>
      <c r="AA39" s="78">
        <f>((1-W39)^Z40)*V40</f>
        <v>1.3155117808413953E-2</v>
      </c>
      <c r="AB39" s="12">
        <v>0</v>
      </c>
      <c r="AC39" s="79">
        <f>(((1-$W$39)^AB41))*V41</f>
        <v>1.6852415116177563E-2</v>
      </c>
      <c r="AD39" s="12">
        <v>0</v>
      </c>
      <c r="AE39" s="79">
        <f>(((1-$W$39)^AB42))*V42</f>
        <v>1.2801628911126609E-2</v>
      </c>
      <c r="AF39" s="12">
        <v>0</v>
      </c>
      <c r="AG39" s="79">
        <f>(((1-$W$39)^AB43))*V43</f>
        <v>6.387571888792353E-3</v>
      </c>
      <c r="AH39" s="12">
        <v>0</v>
      </c>
      <c r="AI39" s="79">
        <f>(((1-$W$39)^AB44))*V44</f>
        <v>2.1884904473393209E-3</v>
      </c>
      <c r="AJ39" s="12">
        <v>0</v>
      </c>
      <c r="AK39" s="79">
        <f>(((1-$W$39)^AB45))*V45</f>
        <v>5.2184109312149109E-4</v>
      </c>
      <c r="AL39" s="12">
        <v>0</v>
      </c>
      <c r="AM39" s="79">
        <f>(((1-$W$39)^AB46))*V46</f>
        <v>8.5648529784824833E-5</v>
      </c>
      <c r="AN39" s="12">
        <v>0</v>
      </c>
      <c r="AO39" s="79">
        <f>(((1-$W$39)^AB47))*V47</f>
        <v>9.2943286220707255E-6</v>
      </c>
      <c r="AP39" s="12">
        <v>0</v>
      </c>
      <c r="AQ39" s="79">
        <f>(((1-$W$39)^AB48))*V48</f>
        <v>6.0867796738823406E-7</v>
      </c>
      <c r="AR39" s="12">
        <v>0</v>
      </c>
      <c r="AS39" s="79">
        <f>(((1-$W$39)^AB49))*V49</f>
        <v>1.9457904735615825E-8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>
        <f t="shared" si="34"/>
        <v>9.0778473554585359E-3</v>
      </c>
      <c r="BP39">
        <f t="shared" ref="BP39:BP46" si="36">BP31+1</f>
        <v>9</v>
      </c>
      <c r="BQ39">
        <v>0</v>
      </c>
      <c r="BR39" s="107">
        <f t="shared" ref="BR39:BR47" si="37">$H$34*H39</f>
        <v>2.4053434158900693E-5</v>
      </c>
    </row>
    <row r="40" spans="1:70" x14ac:dyDescent="0.25">
      <c r="G40" s="91">
        <v>1</v>
      </c>
      <c r="H40" s="132">
        <f>L39*J40+L40*J39</f>
        <v>0.13180880213523752</v>
      </c>
      <c r="I40" s="93">
        <v>1</v>
      </c>
      <c r="J40" s="86">
        <f t="shared" si="35"/>
        <v>0.18816672455583514</v>
      </c>
      <c r="K40" s="95">
        <v>1</v>
      </c>
      <c r="L40" s="86">
        <f>AD20</f>
        <v>0.32384277776443815</v>
      </c>
      <c r="M40" s="85">
        <v>1</v>
      </c>
      <c r="N40" s="71">
        <f>(($C$24)^M26)*((1-($C$24))^($B$21-M26))*HLOOKUP($B$21,$AV$24:$BF$34,M26+1)</f>
        <v>0.24300751463945056</v>
      </c>
      <c r="O40" s="72">
        <v>1</v>
      </c>
      <c r="P40" s="71">
        <f t="shared" ref="P40:P44" si="38">N40</f>
        <v>0.24300751463945056</v>
      </c>
      <c r="Q40" s="28">
        <v>1</v>
      </c>
      <c r="R40" s="37">
        <f>P40*N39+P39*N40</f>
        <v>3.3295598984063167E-2</v>
      </c>
      <c r="S40" s="72">
        <v>1</v>
      </c>
      <c r="T40" s="135">
        <f t="shared" ref="T40:T49" si="39">(($C$33)^S40)*((1-($C$33))^(INT($B$23*2*(1-$B$31))-S40))*HLOOKUP(INT($B$23*2*(1-$B$31)),$AV$24:$BF$34,S40+1)</f>
        <v>1.4850375000000002E-2</v>
      </c>
      <c r="U40" s="93">
        <v>1</v>
      </c>
      <c r="V40" s="86">
        <f>R40*T39+T40*R39</f>
        <v>3.2868354622319615E-2</v>
      </c>
      <c r="W40" s="137"/>
      <c r="X40" s="28">
        <v>1</v>
      </c>
      <c r="Y40" s="73"/>
      <c r="Z40" s="28">
        <v>1</v>
      </c>
      <c r="AA40" s="79">
        <f>(1-((1-W39)^Z40))*V40</f>
        <v>1.9713236813905664E-2</v>
      </c>
      <c r="AB40" s="28">
        <v>1</v>
      </c>
      <c r="AC40" s="79">
        <f>((($W$39)^M40)*((1-($W$39))^($U$27-M40))*HLOOKUP($U$27,$AV$24:$BF$34,M40+1))*V41</f>
        <v>5.05074382319812E-2</v>
      </c>
      <c r="AD40" s="28">
        <v>1</v>
      </c>
      <c r="AE40" s="79">
        <f>((($W$39)^M40)*((1-($W$39))^($U$28-M40))*HLOOKUP($U$28,$AV$24:$BF$34,M40+1))*V42</f>
        <v>5.7550577502400814E-2</v>
      </c>
      <c r="AF40" s="28">
        <v>1</v>
      </c>
      <c r="AG40" s="79">
        <f>((($W$39)^M40)*((1-($W$39))^($U$29-M40))*HLOOKUP($U$29,$AV$24:$BF$34,M40+1))*V43</f>
        <v>3.8287674544145153E-2</v>
      </c>
      <c r="AH40" s="28">
        <v>1</v>
      </c>
      <c r="AI40" s="79">
        <f>((($W$39)^M40)*((1-($W$39))^($U$30-M40))*HLOOKUP($U$30,$AV$24:$BF$34,M40+1))*V44</f>
        <v>1.6397508209989878E-2</v>
      </c>
      <c r="AJ40" s="28">
        <v>1</v>
      </c>
      <c r="AK40" s="79">
        <f>((($W$39)^M40)*((1-($W$39))^($U$31-M40))*HLOOKUP($U$31,$AV$24:$BF$34,M40+1))*V45</f>
        <v>4.6919429522790232E-3</v>
      </c>
      <c r="AL40" s="28">
        <v>1</v>
      </c>
      <c r="AM40" s="79">
        <f>((($W$39)^Q40)*((1-($W$39))^($U$32-Q40))*HLOOKUP($U$32,$AV$24:$BF$34,Q40+1))*V46</f>
        <v>8.9842359642864126E-4</v>
      </c>
      <c r="AN40" s="28">
        <v>1</v>
      </c>
      <c r="AO40" s="79">
        <f>((($W$39)^Q40)*((1-($W$39))^($U$33-Q40))*HLOOKUP($U$33,$AV$24:$BF$34,Q40+1))*V47</f>
        <v>1.114220663449805E-4</v>
      </c>
      <c r="AP40" s="28">
        <v>1</v>
      </c>
      <c r="AQ40" s="79">
        <f>((($W$39)^Q40)*((1-($W$39))^($U$34-Q40))*HLOOKUP($U$34,$AV$24:$BF$34,Q40+1))*V48</f>
        <v>8.209057326853314E-6</v>
      </c>
      <c r="AR40" s="28">
        <v>1</v>
      </c>
      <c r="AS40" s="79">
        <f>((($W$39)^Q40)*((1-($W$39))^($U$35-Q40))*HLOOKUP($U$35,$AV$24:$BF$34,Q40+1))*V49</f>
        <v>2.9158103298039358E-7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>
        <f t="shared" si="34"/>
        <v>2.7231284227032301E-3</v>
      </c>
      <c r="BP40">
        <f t="shared" si="36"/>
        <v>9</v>
      </c>
      <c r="BQ40">
        <v>1</v>
      </c>
      <c r="BR40" s="107">
        <f t="shared" si="37"/>
        <v>9.2846388100725573E-5</v>
      </c>
    </row>
    <row r="41" spans="1:70" x14ac:dyDescent="0.25">
      <c r="G41" s="91">
        <v>2</v>
      </c>
      <c r="H41" s="132">
        <f>L39*J41+J40*L40+J39*L41</f>
        <v>0.23446761017354317</v>
      </c>
      <c r="I41" s="93">
        <v>2</v>
      </c>
      <c r="J41" s="86">
        <f t="shared" si="35"/>
        <v>0.28154247920931774</v>
      </c>
      <c r="K41" s="95">
        <v>2</v>
      </c>
      <c r="L41" s="86">
        <f>AE20</f>
        <v>6.6250491973849163E-2</v>
      </c>
      <c r="M41" s="85">
        <v>2</v>
      </c>
      <c r="N41" s="71">
        <f>(($C$24)^M27)*((1-($C$24))^($B$21-M27))*HLOOKUP($B$21,$AV$24:$BF$34,M27+1)</f>
        <v>0.34479603731100572</v>
      </c>
      <c r="O41" s="72">
        <v>2</v>
      </c>
      <c r="P41" s="71">
        <f t="shared" si="38"/>
        <v>0.34479603731100572</v>
      </c>
      <c r="Q41" s="28">
        <v>2</v>
      </c>
      <c r="R41" s="37">
        <f>P41*N39+P40*N40+P39*N41</f>
        <v>0.10629477390823699</v>
      </c>
      <c r="S41" s="72">
        <v>2</v>
      </c>
      <c r="T41" s="135">
        <f t="shared" si="39"/>
        <v>7.4625000000000011E-5</v>
      </c>
      <c r="U41" s="93">
        <v>2</v>
      </c>
      <c r="V41" s="86">
        <f>R41*T39+T40*R40+R39*T41</f>
        <v>0.10520311348581923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3.784326013766047E-2</v>
      </c>
      <c r="AD41" s="28">
        <v>2</v>
      </c>
      <c r="AE41" s="79">
        <f>((($W$39)^M41)*((1-($W$39))^($U$28-M41))*HLOOKUP($U$28,$AV$24:$BF$34,M41+1))*V42</f>
        <v>8.6240821222918471E-2</v>
      </c>
      <c r="AF41" s="28">
        <v>2</v>
      </c>
      <c r="AG41" s="79">
        <f>((($W$39)^M41)*((1-($W$39))^($U$29-M41))*HLOOKUP($U$29,$AV$24:$BF$34,M41+1))*V43</f>
        <v>8.6062398642268043E-2</v>
      </c>
      <c r="AH41" s="28">
        <v>2</v>
      </c>
      <c r="AI41" s="79">
        <f>((($W$39)^M41)*((1-($W$39))^($U$30-M41))*HLOOKUP($U$30,$AV$24:$BF$34,M41+1))*V44</f>
        <v>4.9144061985479895E-2</v>
      </c>
      <c r="AJ41" s="28">
        <v>2</v>
      </c>
      <c r="AK41" s="79">
        <f>((($W$39)^M41)*((1-($W$39))^($U$31-M41))*HLOOKUP($U$31,$AV$24:$BF$34,M41+1))*V45</f>
        <v>1.7577452342626247E-2</v>
      </c>
      <c r="AL41" s="28">
        <v>2</v>
      </c>
      <c r="AM41" s="79">
        <f>((($W$39)^Q41)*((1-($W$39))^($U$32-Q41))*HLOOKUP($U$32,$AV$24:$BF$34,Q41+1))*V46</f>
        <v>4.0389232632194712E-3</v>
      </c>
      <c r="AN41" s="28">
        <v>2</v>
      </c>
      <c r="AO41" s="79">
        <f>((($W$39)^Q41)*((1-($W$39))^($U$33-Q41))*HLOOKUP($U$33,$AV$24:$BF$34,Q41+1))*V47</f>
        <v>5.8438956172779789E-4</v>
      </c>
      <c r="AP41" s="28">
        <v>2</v>
      </c>
      <c r="AQ41" s="79">
        <f>((($W$39)^Q41)*((1-($W$39))^($U$34-Q41))*HLOOKUP($U$34,$AV$24:$BF$34,Q41+1))*V48</f>
        <v>4.9205820414525792E-5</v>
      </c>
      <c r="AR41" s="28">
        <v>2</v>
      </c>
      <c r="AS41" s="79">
        <f>((($W$39)^Q41)*((1-($W$39))^($U$35-Q41))*HLOOKUP($U$35,$AV$24:$BF$34,Q41+1))*V49</f>
        <v>1.9662330028387905E-6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>
        <f t="shared" si="34"/>
        <v>6.1875132203801167E-4</v>
      </c>
      <c r="BP41">
        <f t="shared" si="36"/>
        <v>9</v>
      </c>
      <c r="BQ41">
        <v>2</v>
      </c>
      <c r="BR41" s="107">
        <f t="shared" si="37"/>
        <v>1.6515946111767758E-4</v>
      </c>
    </row>
    <row r="42" spans="1:70" ht="15" customHeight="1" x14ac:dyDescent="0.25">
      <c r="G42" s="91">
        <v>3</v>
      </c>
      <c r="H42" s="132">
        <f>J42*L39+J41*L40+L42*J39+L41*J40</f>
        <v>0.25469161495314585</v>
      </c>
      <c r="I42" s="93">
        <v>3</v>
      </c>
      <c r="J42" s="86">
        <f t="shared" si="35"/>
        <v>0.24983799525076777</v>
      </c>
      <c r="K42" s="95">
        <v>3</v>
      </c>
      <c r="L42" s="86">
        <f>AF20</f>
        <v>6.8727376866532797E-3</v>
      </c>
      <c r="M42" s="85">
        <v>3</v>
      </c>
      <c r="N42" s="71">
        <f>(($C$24)^M28)*((1-($C$24))^($B$21-M28))*HLOOKUP($B$21,$AV$24:$BF$34,M28+1)</f>
        <v>0.24461035190981792</v>
      </c>
      <c r="O42" s="72">
        <v>3</v>
      </c>
      <c r="P42" s="71">
        <f t="shared" si="38"/>
        <v>0.24461035190981792</v>
      </c>
      <c r="Q42" s="28">
        <v>3</v>
      </c>
      <c r="R42" s="37">
        <f>P42*N39+P41*N40+P40*N41+P39*N42</f>
        <v>0.20109126740274902</v>
      </c>
      <c r="S42" s="72">
        <v>3</v>
      </c>
      <c r="T42" s="135">
        <f t="shared" si="39"/>
        <v>1.2500000000000002E-7</v>
      </c>
      <c r="U42" s="93">
        <v>3</v>
      </c>
      <c r="V42" s="86">
        <f>R42*T39+R41*T40+R40*T41+R39*T42</f>
        <v>0.19967095762416331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4.307792998771743E-2</v>
      </c>
      <c r="AF42" s="28">
        <v>3</v>
      </c>
      <c r="AG42" s="79">
        <f>((($W$39)^M42)*((1-($W$39))^($U$29-M42))*HLOOKUP($U$29,$AV$24:$BF$34,M42+1))*V43</f>
        <v>8.5977613170070633E-2</v>
      </c>
      <c r="AH42" s="28">
        <v>3</v>
      </c>
      <c r="AI42" s="79">
        <f>((($W$39)^M42)*((1-($W$39))^($U$30-M42))*HLOOKUP($U$30,$AV$24:$BF$34,M42+1))*V44</f>
        <v>7.3643470626875818E-2</v>
      </c>
      <c r="AJ42" s="28">
        <v>3</v>
      </c>
      <c r="AK42" s="79">
        <f>((($W$39)^M42)*((1-($W$39))^($U$31-M42))*HLOOKUP($U$31,$AV$24:$BF$34,M42+1))*V45</f>
        <v>3.512027138150061E-2</v>
      </c>
      <c r="AL42" s="28">
        <v>3</v>
      </c>
      <c r="AM42" s="79">
        <f>((($W$39)^Q42)*((1-($W$39))^($U$32-Q42))*HLOOKUP($U$32,$AV$24:$BF$34,Q42+1))*V46</f>
        <v>1.0087360665838268E-2</v>
      </c>
      <c r="AN42" s="28">
        <v>3</v>
      </c>
      <c r="AO42" s="79">
        <f>((($W$39)^Q42)*((1-($W$39))^($U$33-Q42))*HLOOKUP($U$33,$AV$24:$BF$34,Q42+1))*V47</f>
        <v>1.7514415286416286E-3</v>
      </c>
      <c r="AP42" s="28">
        <v>3</v>
      </c>
      <c r="AQ42" s="79">
        <f>((($W$39)^Q42)*((1-($W$39))^($U$34-Q42))*HLOOKUP($U$34,$AV$24:$BF$34,Q42+1))*V48</f>
        <v>1.7205070635033373E-4</v>
      </c>
      <c r="AR42" s="28">
        <v>3</v>
      </c>
      <c r="AS42" s="79">
        <f>((($W$39)^Q42)*((1-($W$39))^($U$35-Q42))*HLOOKUP($U$35,$AV$24:$BF$34,Q42+1))*V49</f>
        <v>7.857183773043154E-6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>
        <f t="shared" si="34"/>
        <v>1.056288075620815E-4</v>
      </c>
      <c r="BP42">
        <f t="shared" si="36"/>
        <v>9</v>
      </c>
      <c r="BQ42">
        <v>3</v>
      </c>
      <c r="BR42" s="107">
        <f t="shared" si="37"/>
        <v>1.794052911859256E-4</v>
      </c>
    </row>
    <row r="43" spans="1:70" ht="15" customHeight="1" x14ac:dyDescent="0.25">
      <c r="G43" s="91">
        <v>4</v>
      </c>
      <c r="H43" s="132">
        <f>J43*L39+J42*L40+J41*L41+J40*L42</f>
        <v>0.18869388240094701</v>
      </c>
      <c r="I43" s="93">
        <v>4</v>
      </c>
      <c r="J43" s="86">
        <f t="shared" si="35"/>
        <v>0.14566360240218618</v>
      </c>
      <c r="K43" s="95">
        <v>4</v>
      </c>
      <c r="L43" s="86"/>
      <c r="M43" s="85">
        <v>4</v>
      </c>
      <c r="N43" s="71">
        <f>(($C$24)^M29)*((1-($C$24))^($B$21-M29))*HLOOKUP($B$21,$AV$24:$BF$34,M29+1)</f>
        <v>8.6767563699513384E-2</v>
      </c>
      <c r="O43" s="72">
        <v>4</v>
      </c>
      <c r="P43" s="71">
        <f t="shared" si="38"/>
        <v>8.6767563699513384E-2</v>
      </c>
      <c r="Q43" s="28">
        <v>4</v>
      </c>
      <c r="R43" s="37">
        <f>P43*N39+P42*N40+P41*N41+P40*N42+P39*N43</f>
        <v>0.24965704542528216</v>
      </c>
      <c r="S43" s="72">
        <v>4</v>
      </c>
      <c r="T43" s="135">
        <f t="shared" si="39"/>
        <v>0</v>
      </c>
      <c r="U43" s="93">
        <v>4</v>
      </c>
      <c r="V43" s="86">
        <f>T43*R39+T42*R40+T41*R41+T40*R42+T39*R43</f>
        <v>0.24892509995478804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3.2209841709511869E-2</v>
      </c>
      <c r="AH43" s="28">
        <v>4</v>
      </c>
      <c r="AI43" s="79">
        <f>((($W$39)^M43)*((1-($W$39))^($U$30-M43))*HLOOKUP($U$30,$AV$24:$BF$34,M43+1))*V44</f>
        <v>5.5178189865277193E-2</v>
      </c>
      <c r="AJ43" s="28">
        <v>4</v>
      </c>
      <c r="AK43" s="79">
        <f>((($W$39)^M43)*((1-($W$39))^($U$31-M43))*HLOOKUP($U$31,$AV$24:$BF$34,M43+1))*V45</f>
        <v>3.9471381221839463E-2</v>
      </c>
      <c r="AL43" s="28">
        <v>4</v>
      </c>
      <c r="AM43" s="79">
        <f>((($W$39)^Q43)*((1-($W$39))^($U$32-Q43))*HLOOKUP($U$32,$AV$24:$BF$34,Q43+1))*V46</f>
        <v>1.5116134460290462E-2</v>
      </c>
      <c r="AN43" s="28">
        <v>4</v>
      </c>
      <c r="AO43" s="79">
        <f>((($W$39)^Q43)*((1-($W$39))^($U$33-Q43))*HLOOKUP($U$33,$AV$24:$BF$34,Q43+1))*V47</f>
        <v>3.2807176380566429E-3</v>
      </c>
      <c r="AP43" s="28">
        <v>4</v>
      </c>
      <c r="AQ43" s="79">
        <f>((($W$39)^Q43)*((1-($W$39))^($U$34-Q43))*HLOOKUP($U$34,$AV$24:$BF$34,Q43+1))*V48</f>
        <v>3.8673271889453221E-4</v>
      </c>
      <c r="AR43" s="28">
        <v>4</v>
      </c>
      <c r="AS43" s="79">
        <f>((($W$39)^Q43)*((1-($W$39))^($U$35-Q43))*HLOOKUP($U$35,$AV$24:$BF$34,Q43+1))*V49</f>
        <v>2.0604788316018814E-5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>
        <f t="shared" si="34"/>
        <v>1.323696296104016E-5</v>
      </c>
      <c r="BP43">
        <f t="shared" si="36"/>
        <v>9</v>
      </c>
      <c r="BQ43">
        <v>4</v>
      </c>
      <c r="BR43" s="107">
        <f t="shared" si="37"/>
        <v>1.3291635424814586E-4</v>
      </c>
    </row>
    <row r="44" spans="1:70" ht="15" customHeight="1" thickBot="1" x14ac:dyDescent="0.3">
      <c r="G44" s="91">
        <v>5</v>
      </c>
      <c r="H44" s="132">
        <f>J44*L39+J43*L40+J42*L41+J41*L42</f>
        <v>0.100838354623728</v>
      </c>
      <c r="I44" s="93">
        <v>5</v>
      </c>
      <c r="J44" s="86">
        <f t="shared" si="35"/>
        <v>5.833732713147402E-2</v>
      </c>
      <c r="K44" s="95">
        <v>5</v>
      </c>
      <c r="L44" s="86"/>
      <c r="M44" s="85">
        <v>5</v>
      </c>
      <c r="N44" s="71">
        <f>(($C$24)^M30)*((1-($C$24))^($B$21-M30))*HLOOKUP($B$21,$AV$24:$BF$34,M30+1)</f>
        <v>1.2311188061451681E-2</v>
      </c>
      <c r="O44" s="72">
        <v>5</v>
      </c>
      <c r="P44" s="71">
        <f t="shared" si="38"/>
        <v>1.2311188061451681E-2</v>
      </c>
      <c r="Q44" s="28">
        <v>5</v>
      </c>
      <c r="R44" s="37">
        <f>P44*N39+P43*N40+P42*N41+P41*N42+P40*N43+P39*N44</f>
        <v>0.21253851365986468</v>
      </c>
      <c r="S44" s="72">
        <v>5</v>
      </c>
      <c r="T44" s="135">
        <f t="shared" si="39"/>
        <v>0</v>
      </c>
      <c r="U44" s="93">
        <v>5</v>
      </c>
      <c r="V44" s="86">
        <f>T44*R39+T43*R40+T42*R41+T41*R42+T40*R43+T39*R44</f>
        <v>0.21308887024481113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1.653714910984902E-2</v>
      </c>
      <c r="AJ44" s="28">
        <v>5</v>
      </c>
      <c r="AK44" s="79">
        <f>((($W$39)^M44)*((1-($W$39))^($U$31-M44))*HLOOKUP($U$31,$AV$24:$BF$34,M44+1))*V45</f>
        <v>2.3659497291628834E-2</v>
      </c>
      <c r="AL44" s="28">
        <v>5</v>
      </c>
      <c r="AM44" s="79">
        <f>((($W$39)^Q44)*((1-($W$39))^($U$32-Q44))*HLOOKUP($U$32,$AV$24:$BF$34,Q44+1))*V46</f>
        <v>1.3591118346471405E-2</v>
      </c>
      <c r="AN44" s="28">
        <v>5</v>
      </c>
      <c r="AO44" s="79">
        <f>((($W$39)^Q44)*((1-($W$39))^($U$33-Q44))*HLOOKUP($U$33,$AV$24:$BF$34,Q44+1))*V47</f>
        <v>3.9329827165639182E-3</v>
      </c>
      <c r="AP44" s="28">
        <v>5</v>
      </c>
      <c r="AQ44" s="79">
        <f>((($W$39)^Q44)*((1-($W$39))^($U$34-Q44))*HLOOKUP($U$34,$AV$24:$BF$34,Q44+1))*V48</f>
        <v>5.7952758631909813E-4</v>
      </c>
      <c r="AR44" s="28">
        <v>5</v>
      </c>
      <c r="AS44" s="79">
        <f>((($W$39)^Q44)*((1-($W$39))^($U$35-Q44))*HLOOKUP($U$35,$AV$24:$BF$34,Q44+1))*V49</f>
        <v>3.7052080641735955E-5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>
        <f>$H$30*H45</f>
        <v>5.4295045271379296E-3</v>
      </c>
      <c r="BP44">
        <f t="shared" si="36"/>
        <v>9</v>
      </c>
      <c r="BQ44">
        <v>5</v>
      </c>
      <c r="BR44" s="107">
        <f t="shared" si="37"/>
        <v>7.1030741931993465E-5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4.0070822665574782E-2</v>
      </c>
      <c r="I45" s="93">
        <v>6</v>
      </c>
      <c r="J45" s="86">
        <f t="shared" si="35"/>
        <v>1.6269968846571205E-2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0.12565187094903441</v>
      </c>
      <c r="S45" s="70">
        <v>6</v>
      </c>
      <c r="T45" s="135">
        <f t="shared" si="39"/>
        <v>0</v>
      </c>
      <c r="U45" s="93">
        <v>6</v>
      </c>
      <c r="V45" s="86">
        <f>T45*R39+T44*R40+T43*R41+T42*R42+T41*R43+T40*R44+T39*R45</f>
        <v>0.12695143349185112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5.9090472088554535E-3</v>
      </c>
      <c r="AL45" s="28">
        <v>6</v>
      </c>
      <c r="AM45" s="79">
        <f>((($W$39)^Q45)*((1-($W$39))^($U$32-Q45))*HLOOKUP($U$32,$AV$24:$BF$34,Q45+1))*V46</f>
        <v>6.7888644412454494E-3</v>
      </c>
      <c r="AN45" s="28">
        <v>6</v>
      </c>
      <c r="AO45" s="79">
        <f>((($W$39)^Q45)*((1-($W$39))^($U$33-Q45))*HLOOKUP($U$33,$AV$24:$BF$34,Q45+1))*V47</f>
        <v>2.946831066272684E-3</v>
      </c>
      <c r="AP45" s="28">
        <v>6</v>
      </c>
      <c r="AQ45" s="79">
        <f>((($W$39)^Q45)*((1-($W$39))^($U$34-Q45))*HLOOKUP($U$34,$AV$24:$BF$34,Q45+1))*V48</f>
        <v>5.7895665730906985E-4</v>
      </c>
      <c r="AR45" s="28">
        <v>6</v>
      </c>
      <c r="AS45" s="79">
        <f>((($W$39)^Q45)*((1-($W$39))^($U$35-Q45))*HLOOKUP($U$35,$AV$24:$BF$34,Q45+1))*V49</f>
        <v>4.6269472888547575E-5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>
        <f>$H$30*H46</f>
        <v>1.6287163156752959E-3</v>
      </c>
      <c r="BP45">
        <f t="shared" si="36"/>
        <v>9</v>
      </c>
      <c r="BQ45">
        <v>6</v>
      </c>
      <c r="BR45" s="107">
        <f t="shared" si="37"/>
        <v>2.8225968922061038E-5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1.2020250159429539E-2</v>
      </c>
      <c r="I46" s="93">
        <v>7</v>
      </c>
      <c r="J46" s="86">
        <f t="shared" si="35"/>
        <v>3.126447139839571E-3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5.0938186298149231E-2</v>
      </c>
      <c r="S46" s="72">
        <v>7</v>
      </c>
      <c r="T46" s="135">
        <f t="shared" si="39"/>
        <v>0</v>
      </c>
      <c r="U46" s="93">
        <v>7</v>
      </c>
      <c r="V46" s="86">
        <f>T46*R39+T45*R40+T44*R41+T43*R42+T42*R43+T41*R44+T40*R45+T39*R46</f>
        <v>5.2059796797133379E-2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1.4533234938548566E-3</v>
      </c>
      <c r="AN46" s="28">
        <v>7</v>
      </c>
      <c r="AO46" s="79">
        <f>((($W$39)^Q46)*((1-($W$39))^($U$33-Q46))*HLOOKUP($U$33,$AV$24:$BF$34,Q46+1))*V47</f>
        <v>1.2616834105615956E-3</v>
      </c>
      <c r="AP46" s="28">
        <v>7</v>
      </c>
      <c r="AQ46" s="79">
        <f>((($W$39)^Q46)*((1-($W$39))^($U$34-Q46))*HLOOKUP($U$34,$AV$24:$BF$34,Q46+1))*V48</f>
        <v>3.7181975834382048E-4</v>
      </c>
      <c r="AR46" s="28">
        <v>7</v>
      </c>
      <c r="AS46" s="79">
        <f>((($W$39)^Q46)*((1-($W$39))^($U$35-Q46))*HLOOKUP($U$35,$AV$24:$BF$34,Q46+1))*V49</f>
        <v>3.9620477079297939E-5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>
        <f>$H$30*H47</f>
        <v>3.7007816640118735E-4</v>
      </c>
      <c r="BP46">
        <f t="shared" si="36"/>
        <v>9</v>
      </c>
      <c r="BQ46">
        <v>7</v>
      </c>
      <c r="BR46" s="107">
        <f t="shared" si="37"/>
        <v>8.4670886412057312E-6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2.7312504307055226E-3</v>
      </c>
      <c r="I47" s="93">
        <v>8</v>
      </c>
      <c r="J47" s="86">
        <f t="shared" si="35"/>
        <v>3.9789219208349012E-4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1.3551498198628402E-2</v>
      </c>
      <c r="S47" s="72">
        <v>8</v>
      </c>
      <c r="T47" s="135">
        <f t="shared" si="39"/>
        <v>0</v>
      </c>
      <c r="U47" s="93">
        <v>8</v>
      </c>
      <c r="V47" s="86">
        <f>T47*R39+T46*R40+T45*R41+T44*R42+T43*R43+T42*R44+T41*R45+T40*R46+T39*R47</f>
        <v>1.4115094900607757E-2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2.3633258381643846E-4</v>
      </c>
      <c r="AP47" s="28">
        <v>8</v>
      </c>
      <c r="AQ47" s="79">
        <f>((($W$39)^Q47)*((1-($W$39))^($U$34-Q47))*HLOOKUP($U$34,$AV$24:$BF$34,Q47+1))*V48</f>
        <v>1.3929504575840482E-4</v>
      </c>
      <c r="AR47" s="28">
        <v>8</v>
      </c>
      <c r="AS47" s="79">
        <f>((($W$39)^Q47)*((1-($W$39))^($U$35-Q47))*HLOOKUP($U$35,$AV$24:$BF$34,Q47+1))*V49</f>
        <v>2.2264562508646835E-5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>
        <f>$H$30*H48</f>
        <v>6.3177102059294726E-5</v>
      </c>
      <c r="BP47">
        <f>BL12+1</f>
        <v>9</v>
      </c>
      <c r="BQ47">
        <v>8</v>
      </c>
      <c r="BR47" s="107">
        <f t="shared" si="37"/>
        <v>1.9238983541431139E-6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4.6625957129045549E-4</v>
      </c>
      <c r="I48" s="93">
        <v>9</v>
      </c>
      <c r="J48" s="86">
        <f t="shared" si="35"/>
        <v>3.0607179007325063E-5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2.1364235886773947E-3</v>
      </c>
      <c r="S48" s="72">
        <v>9</v>
      </c>
      <c r="T48" s="135">
        <f t="shared" si="39"/>
        <v>0</v>
      </c>
      <c r="U48" s="93">
        <v>9</v>
      </c>
      <c r="V48" s="86">
        <f>T48*R39+T47*R40+T46*R41+T45*R42+T44*R43+T43*R44+T42*R45+T41*R46+T40*R47+T39*R48</f>
        <v>2.3095989982612605E-3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2.3192969577233944E-5</v>
      </c>
      <c r="AR48" s="28">
        <v>9</v>
      </c>
      <c r="AS48" s="79">
        <f>((($W$39)^Q48)*((1-($W$39))^($U$35-Q48))*HLOOKUP($U$35,$AV$24:$BF$34,Q48+1))*V49</f>
        <v>7.4142094300911202E-6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>
        <f>$H$30*H49</f>
        <v>7.9170917408419407E-6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5.842971077539448E-5</v>
      </c>
      <c r="I49" s="94">
        <v>10</v>
      </c>
      <c r="J49" s="89">
        <f t="shared" si="35"/>
        <v>1.1110357840337757E-6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1.5156535148443042E-4</v>
      </c>
      <c r="S49" s="72">
        <v>10</v>
      </c>
      <c r="T49" s="135">
        <f t="shared" si="39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1.8447108236196996E-4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1.1110357840337757E-6</v>
      </c>
      <c r="BH49">
        <f>BP14+1</f>
        <v>6</v>
      </c>
      <c r="BI49">
        <v>0</v>
      </c>
      <c r="BJ49" s="107">
        <f>$H$31*H39</f>
        <v>1.9852344801400126E-3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6.988256315451503E-4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1.5878769425180854E-4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2.7107101353911185E-5</v>
      </c>
    </row>
    <row r="53" spans="1:62" x14ac:dyDescent="0.25">
      <c r="BH53">
        <f>BH48+1</f>
        <v>6</v>
      </c>
      <c r="BI53">
        <v>10</v>
      </c>
      <c r="BJ53" s="107">
        <f>$H$31*H49</f>
        <v>3.3969492308430749E-6</v>
      </c>
    </row>
    <row r="54" spans="1:62" x14ac:dyDescent="0.25">
      <c r="BH54">
        <f>BH51+1</f>
        <v>7</v>
      </c>
      <c r="BI54">
        <v>8</v>
      </c>
      <c r="BJ54" s="107">
        <f>$H$32*H47</f>
        <v>4.9800086570903933E-5</v>
      </c>
    </row>
    <row r="55" spans="1:62" x14ac:dyDescent="0.25">
      <c r="BH55">
        <f>BH52+1</f>
        <v>7</v>
      </c>
      <c r="BI55">
        <v>9</v>
      </c>
      <c r="BJ55" s="107">
        <f>$H$32*H48</f>
        <v>8.501515186499844E-6</v>
      </c>
    </row>
    <row r="56" spans="1:62" x14ac:dyDescent="0.25">
      <c r="BH56">
        <f>BH53+1</f>
        <v>7</v>
      </c>
      <c r="BI56">
        <v>10</v>
      </c>
      <c r="BJ56" s="107">
        <f>$H$32*H49</f>
        <v>1.0653745340283124E-6</v>
      </c>
    </row>
    <row r="57" spans="1:62" x14ac:dyDescent="0.25">
      <c r="BH57">
        <f>BH55+1</f>
        <v>8</v>
      </c>
      <c r="BI57">
        <v>9</v>
      </c>
      <c r="BJ57" s="107">
        <f>$H$33*H48</f>
        <v>1.9582845253285802E-6</v>
      </c>
    </row>
    <row r="58" spans="1:62" x14ac:dyDescent="0.25">
      <c r="BH58">
        <f>BH56+1</f>
        <v>8</v>
      </c>
      <c r="BI58">
        <v>10</v>
      </c>
      <c r="BJ58" s="107">
        <f>$H$33*H49</f>
        <v>2.4540407420312376E-7</v>
      </c>
    </row>
    <row r="59" spans="1:62" x14ac:dyDescent="0.25">
      <c r="BH59">
        <f t="shared" ref="BH59" si="41">BH58+1</f>
        <v>9</v>
      </c>
      <c r="BI59">
        <v>10</v>
      </c>
      <c r="BJ59" s="107">
        <f>$H$34*H49</f>
        <v>4.1158007017614165E-8</v>
      </c>
    </row>
  </sheetData>
  <mergeCells count="2">
    <mergeCell ref="P1:Q1"/>
    <mergeCell ref="B3:C3"/>
  </mergeCells>
  <conditionalFormatting sqref="V25:V35 V39:V49">
    <cfRule type="cellIs" dxfId="69" priority="14" operator="greaterThan">
      <formula>0.15</formula>
    </cfRule>
  </conditionalFormatting>
  <conditionalFormatting sqref="V35">
    <cfRule type="cellIs" dxfId="68" priority="13" operator="greaterThan">
      <formula>0.15</formula>
    </cfRule>
  </conditionalFormatting>
  <conditionalFormatting sqref="V49">
    <cfRule type="cellIs" dxfId="67" priority="12" operator="greaterThan">
      <formula>0.15</formula>
    </cfRule>
  </conditionalFormatting>
  <conditionalFormatting sqref="V25:V35 V39:V49">
    <cfRule type="cellIs" dxfId="66" priority="11" operator="greaterThan">
      <formula>0.15</formula>
    </cfRule>
  </conditionalFormatting>
  <conditionalFormatting sqref="V35">
    <cfRule type="cellIs" dxfId="65" priority="10" operator="greaterThan">
      <formula>0.15</formula>
    </cfRule>
  </conditionalFormatting>
  <conditionalFormatting sqref="V49">
    <cfRule type="cellIs" dxfId="64" priority="9" operator="greaterThan">
      <formula>0.15</formula>
    </cfRule>
  </conditionalFormatting>
  <conditionalFormatting sqref="H25:H35">
    <cfRule type="cellIs" dxfId="63" priority="8" operator="greaterThan">
      <formula>0.15</formula>
    </cfRule>
  </conditionalFormatting>
  <conditionalFormatting sqref="H35">
    <cfRule type="cellIs" dxfId="62" priority="7" operator="greaterThan">
      <formula>0.15</formula>
    </cfRule>
  </conditionalFormatting>
  <conditionalFormatting sqref="H25:H35">
    <cfRule type="cellIs" dxfId="61" priority="6" operator="greaterThan">
      <formula>0.15</formula>
    </cfRule>
  </conditionalFormatting>
  <conditionalFormatting sqref="H35">
    <cfRule type="cellIs" dxfId="60" priority="5" operator="greaterThan">
      <formula>0.15</formula>
    </cfRule>
  </conditionalFormatting>
  <conditionalFormatting sqref="H39:H49">
    <cfRule type="cellIs" dxfId="59" priority="4" operator="greaterThan">
      <formula>0.15</formula>
    </cfRule>
  </conditionalFormatting>
  <conditionalFormatting sqref="H49">
    <cfRule type="cellIs" dxfId="58" priority="3" operator="greaterThan">
      <formula>0.15</formula>
    </cfRule>
  </conditionalFormatting>
  <conditionalFormatting sqref="H39:H49">
    <cfRule type="cellIs" dxfId="57" priority="2" operator="greaterThan">
      <formula>0.15</formula>
    </cfRule>
  </conditionalFormatting>
  <conditionalFormatting sqref="H49">
    <cfRule type="cellIs" dxfId="5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Y7" sqref="Y7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0" t="s">
        <v>142</v>
      </c>
      <c r="B1" t="s">
        <v>145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0</v>
      </c>
      <c r="L1" s="13"/>
      <c r="P1" s="211"/>
      <c r="Q1" s="211"/>
      <c r="R1" s="152">
        <v>0</v>
      </c>
      <c r="S1" s="153">
        <f>1+R1</f>
        <v>1</v>
      </c>
      <c r="AI1" s="160" t="s">
        <v>152</v>
      </c>
    </row>
    <row r="2" spans="1:70" x14ac:dyDescent="0.25">
      <c r="A2" s="200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0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12" t="s">
        <v>116</v>
      </c>
      <c r="C3" s="212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0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0" t="s">
        <v>75</v>
      </c>
      <c r="AK4" s="9" t="s">
        <v>14</v>
      </c>
      <c r="AM4" s="13" t="s">
        <v>153</v>
      </c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AG5" s="203">
        <f>IF(COUNTIF(F5:F10,"IMP")+COUNTIF(J5:J10,"IMP")=0,0,COUNTIF(F5:F10,"IMP")/(COUNTIF(F5:F10,"IMP")+COUNTIF(J5:J10,"IMP")))</f>
        <v>0</v>
      </c>
      <c r="AI5" s="201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COUNTIF(J11:J18,"IMP")*AI6*AK6</f>
        <v>0</v>
      </c>
      <c r="Z6" s="197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AG6" s="203">
        <f>IF(COUNTIF(F11:F18,"IMP")+COUNTIF(J11:J18,"IMP")=0,0,COUNTIF(F11:F18,"IMP")/(COUNTIF(F11:F18,"IMP")+COUNTIF(J11:J18,"IMP")))</f>
        <v>0</v>
      </c>
      <c r="AI6" s="201">
        <f t="shared" ref="AI6:AI19" si="6">IF(AN6=0,(AM6*2*$AI$2/2)+SUM($AN$5:$AN$19),0)</f>
        <v>0</v>
      </c>
      <c r="AK6" s="203">
        <f>IF(COUNTIF(F11:F18,"IMP")+COUNTIF(J11:J18,"IMP")=0,0,COUNTIF(J11:J18,"IMP")/(COUNTIF(F11:F18,"IMP")+COUNTIF(J11:J18,"IMP")))</f>
        <v>0</v>
      </c>
      <c r="AM6" s="13">
        <v>0.05</v>
      </c>
      <c r="AN6">
        <f t="shared" ref="AN6:AN19" si="7">IF(AK6+AG6=0,AM6*2/10,0)</f>
        <v>0.01</v>
      </c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 t="e">
        <f t="shared" ref="R7:R19" si="8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AG7" s="13"/>
      <c r="AI7" s="201"/>
      <c r="AK7" s="13"/>
      <c r="AM7" s="13">
        <v>0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COUNTIF(F6:F18,"IMP")*AI8*AG8</f>
        <v>0</v>
      </c>
      <c r="P8" s="196" t="str">
        <f>P3</f>
        <v>0,6</v>
      </c>
      <c r="Q8" s="16">
        <f t="shared" si="1"/>
        <v>0</v>
      </c>
      <c r="R8" s="157" t="e">
        <f t="shared" si="8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COUNTIF(J6:J18,"IMP")*AI8*AK8</f>
        <v>0</v>
      </c>
      <c r="Z8" s="197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AG8" s="203">
        <f>IF(COUNTIF(F6:F18,"IMP")+COUNTIF(J6:J18,"IMP")=0,0,COUNTIF(F6:F18,"IMP")/(COUNTIF(F6:F18,"IMP")+COUNTIF(J6:J18,"IMP")))</f>
        <v>0</v>
      </c>
      <c r="AI8" s="201">
        <f t="shared" si="6"/>
        <v>0</v>
      </c>
      <c r="AK8" s="203">
        <f>IF(COUNTIF(F6:F18,"IMP")+COUNTIF(J6:J18,"IMP")=0,0,COUNTIF(J6:J18,"IMP")/(COUNTIF(F6:F18,"IMP")+COUNTIF(J6:J18,"IMP")))</f>
        <v>0</v>
      </c>
      <c r="AM8" s="13">
        <v>0.05</v>
      </c>
      <c r="AN8">
        <f t="shared" si="7"/>
        <v>0.01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 t="e">
        <f t="shared" si="8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AG9" s="203">
        <f>IF(COUNTIF(J6:J13,"IMP")+COUNTIF(F6:F13,"IMP")=0,0,COUNTIF(J6:J13,"IMP")/(COUNTIF(J6:J13,"IMP")+COUNTIF(F6:F13,"IMP")))</f>
        <v>0</v>
      </c>
      <c r="AI9" s="201">
        <f t="shared" si="6"/>
        <v>0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5.0000000000000001E-3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COUNTIF(F11:F18,"RAP")*AI10*AG10</f>
        <v>0</v>
      </c>
      <c r="P10" s="196" t="str">
        <f>R3</f>
        <v>0,72</v>
      </c>
      <c r="Q10" s="16">
        <f t="shared" si="1"/>
        <v>0</v>
      </c>
      <c r="R10" s="157" t="e">
        <f t="shared" si="8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AG10" s="203">
        <f>IF(COUNTIF(F11:F18,"RAP")+COUNTIF(J11:J18,"RAP")=0,0,COUNTIF(F11:F18,"RAP")/(COUNTIF(F11:F18,"RAP")+COUNTIF(J11:J18,"RAP")))</f>
        <v>0</v>
      </c>
      <c r="AI10" s="201">
        <f t="shared" si="6"/>
        <v>0</v>
      </c>
      <c r="AK10" s="203">
        <f>IF(COUNTIF(F11:F18,"RAP")+COUNTIF(J11:J18,"RAP")=0,0,COUNTIF(J11:J18,"RAP")/(COUNTIF(F11:F18,"RAP")+COUNTIF(J11:J18,"RAP")))</f>
        <v>0</v>
      </c>
      <c r="AM10" s="13">
        <v>0.05</v>
      </c>
      <c r="AN10">
        <f t="shared" si="7"/>
        <v>0.01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COUNTIF(F11:F18,"RAP")*AI11*AG11</f>
        <v>0</v>
      </c>
      <c r="P11" s="196" t="str">
        <f>R3</f>
        <v>0,72</v>
      </c>
      <c r="Q11" s="16">
        <f t="shared" si="1"/>
        <v>0</v>
      </c>
      <c r="R11" s="157" t="e">
        <f t="shared" si="8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AG11" s="203">
        <f>IF(COUNTIF(F11:F18,"RAP")+COUNTIF(J11:J18,"RAP")=0,0,COUNTIF(F11:F18,"RAP")/(COUNTIF(F11:F18,"RAP")+COUNTIF(J11:J18,"RAP")))</f>
        <v>0</v>
      </c>
      <c r="AI11" s="201">
        <f t="shared" si="6"/>
        <v>0</v>
      </c>
      <c r="AK11" s="203">
        <f>IF(COUNTIF(F11:F18,"RAP")+COUNTIF(J11:J18,"RAP")=0,0,COUNTIF(J11:J18,"RAP")/(COUNTIF(F11:F18,"RAP")+COUNTIF(J11:J18,"RAP")))</f>
        <v>0</v>
      </c>
      <c r="AM11" s="13">
        <v>0.05</v>
      </c>
      <c r="AN11">
        <f t="shared" si="7"/>
        <v>0.01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 t="e">
        <f t="shared" si="8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AG12" s="13"/>
      <c r="AI12" s="201"/>
      <c r="AK12" s="13"/>
      <c r="AM12" s="13">
        <v>0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3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 t="e">
        <f>AI13*B22/0.5</f>
        <v>#DIV/0!</v>
      </c>
      <c r="P13" s="196" t="str">
        <f>P2</f>
        <v>0,4</v>
      </c>
      <c r="Q13" s="16" t="e">
        <f t="shared" si="1"/>
        <v>#DIV/0!</v>
      </c>
      <c r="R13" s="157" t="e">
        <f t="shared" si="8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 t="e">
        <f>AI13*C22/0.5</f>
        <v>#DIV/0!</v>
      </c>
      <c r="Z13" s="197" t="str">
        <f>Z2</f>
        <v>0,4</v>
      </c>
      <c r="AA13" s="19" t="e">
        <f t="shared" si="3"/>
        <v>#DIV/0!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AG13" s="13"/>
      <c r="AI13" s="201">
        <f>(AM13*$AI$2/2)+SUM($AN$5:$AN$19)</f>
        <v>0.32800000000000001</v>
      </c>
      <c r="AK13" s="13"/>
      <c r="AM13" s="13">
        <v>0.22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3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0.4</v>
      </c>
      <c r="Q14" s="16">
        <f t="shared" si="1"/>
        <v>0</v>
      </c>
      <c r="R14" s="157" t="e">
        <f t="shared" si="8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IF(COUNTIF(J6:J18,"CAB")&gt;0,AI14*C22/0.5,0)</f>
        <v>0</v>
      </c>
      <c r="Z14" s="197">
        <f>IF(COUNTIF(J6:J18,"CAB")-COUNTIF(F6:F18,"CAB")&gt;3,0.8,IF(COUNTIF(J6:J18,"CAB")-COUNTIF(F6:F18,"CAB")&gt;0,0.6,IF(COUNTIF(J6:J18,"CAB")-COUNTIF(F6:F18,"CAB")=0,0.4,0.15)))</f>
        <v>0.4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AG14" s="13"/>
      <c r="AI14" s="201">
        <f>IF(COUNTIF(J6:J18,"CAB")+COUNTIF(F6:F18,"CAB")=0,0,(AM14*$AI$2/2)+SUM($AN$5:$AN$19))</f>
        <v>0</v>
      </c>
      <c r="AK14" s="13"/>
      <c r="AM14" s="13">
        <v>0.125</v>
      </c>
      <c r="AN14">
        <f>IF(COUNTIF(J6:J18,"CAB")+COUNTIF(F6:F18,"CAB")=0,AM14*2/10,0)</f>
        <v>2.5000000000000001E-2</v>
      </c>
      <c r="BH14">
        <v>1</v>
      </c>
      <c r="BI14">
        <v>2</v>
      </c>
      <c r="BJ14" s="107" t="e">
        <f t="shared" ref="BJ14:BJ22" si="9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96">
        <v>0.5</v>
      </c>
      <c r="Q15" s="16">
        <f t="shared" si="1"/>
        <v>0</v>
      </c>
      <c r="R15" s="157" t="e">
        <f t="shared" si="8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AG15" s="13"/>
      <c r="AI15" s="201"/>
      <c r="AK15" s="13"/>
      <c r="AM15" s="13">
        <v>0</v>
      </c>
      <c r="BH15">
        <v>1</v>
      </c>
      <c r="BI15">
        <v>3</v>
      </c>
      <c r="BJ15" s="107" t="e">
        <f t="shared" si="9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/>
      <c r="P16" s="196">
        <v>0.25</v>
      </c>
      <c r="Q16" s="16">
        <f t="shared" si="1"/>
        <v>0</v>
      </c>
      <c r="R16" s="157" t="e">
        <f t="shared" si="8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AG16" s="13"/>
      <c r="AI16" s="201"/>
      <c r="AK16" s="13"/>
      <c r="AM16" s="13">
        <v>0</v>
      </c>
      <c r="BH16">
        <v>1</v>
      </c>
      <c r="BI16">
        <v>4</v>
      </c>
      <c r="BJ16" s="107" t="e">
        <f t="shared" si="9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(2-COUNTBLANK(F14:F15))/2,1)*AG17</f>
        <v>0</v>
      </c>
      <c r="P17" s="196" t="str">
        <f>IF(COUNTIF(F14:F18,"CAB")&gt;0,0.95,P3)</f>
        <v>0,6</v>
      </c>
      <c r="Q17" s="16">
        <f t="shared" si="1"/>
        <v>0</v>
      </c>
      <c r="R17" s="157" t="e">
        <f t="shared" si="8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(AI17*2)*IF(COUNTBLANK(J14:J15)&lt;&gt;0, (2-COUNTBLANK(J14:J15))/2,1)*AK17</f>
        <v>0</v>
      </c>
      <c r="Z17" s="197" t="str">
        <f>IF(COUNTIF(J14:J18,"CAB")&gt;0,0.95,Z3)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</v>
      </c>
      <c r="AI17" s="201">
        <f t="shared" si="6"/>
        <v>0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</v>
      </c>
      <c r="AM17" s="13">
        <v>0.08</v>
      </c>
      <c r="AN17">
        <f t="shared" si="7"/>
        <v>1.6E-2</v>
      </c>
      <c r="BH17">
        <v>1</v>
      </c>
      <c r="BI17">
        <v>5</v>
      </c>
      <c r="BJ17" s="107" t="e">
        <f t="shared" si="9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 t="e">
        <f t="shared" si="8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AG18" s="203"/>
      <c r="AI18" s="201"/>
      <c r="AK18" s="203"/>
      <c r="AM18" s="13">
        <v>0</v>
      </c>
      <c r="BH18">
        <v>1</v>
      </c>
      <c r="BI18">
        <v>6</v>
      </c>
      <c r="BJ18" s="107" t="e">
        <f t="shared" si="9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 t="e">
        <f t="shared" si="8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01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 t="e">
        <f t="shared" si="9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9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 t="e">
        <f t="shared" si="9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9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10">BH15+1</f>
        <v>2</v>
      </c>
      <c r="BI23">
        <v>3</v>
      </c>
      <c r="BJ23" s="107" t="e">
        <f t="shared" ref="BJ23:BJ30" si="11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 t="e">
        <f t="shared" si="11"/>
        <v>#DIV/0!</v>
      </c>
      <c r="BP24">
        <f>BH49+1</f>
        <v>7</v>
      </c>
      <c r="BQ24">
        <v>0</v>
      </c>
      <c r="BR24" s="107" t="e">
        <f t="shared" ref="BR24:BR30" si="12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3">Y25+AA25+AC25+AE25+AG25+AI25+AK25+AM25+AO25+AQ25+AS25</f>
        <v>#DIV/0!</v>
      </c>
      <c r="K25" s="97">
        <v>0</v>
      </c>
      <c r="L25" s="98" t="e">
        <f>S20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 t="e">
        <f t="shared" si="11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3"/>
        <v>#DIV/0!</v>
      </c>
      <c r="K26" s="93">
        <v>1</v>
      </c>
      <c r="L26" s="86" t="e">
        <f>T20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4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5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 t="e">
        <f t="shared" si="11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3"/>
        <v>#DIV/0!</v>
      </c>
      <c r="K27" s="93">
        <v>2</v>
      </c>
      <c r="L27" s="86" t="e">
        <f>U20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4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5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 t="e">
        <f t="shared" si="11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3"/>
        <v>#DIV/0!</v>
      </c>
      <c r="K28" s="93">
        <v>3</v>
      </c>
      <c r="L28" s="86" t="e">
        <f>V20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4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5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 t="e">
        <f t="shared" si="11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27</v>
      </c>
      <c r="B29" s="123">
        <f>1/(1+EXP(-3.1416*4*((B14/(B14+C13))-(3.1416/6))))</f>
        <v>1.555707217202411E-2</v>
      </c>
      <c r="C29" s="118">
        <f>1/(1+EXP(-3.1416*4*((C14/(C14+B13))-(3.1416/6))))</f>
        <v>0.96248844203767769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3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4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5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 t="e">
        <f t="shared" si="11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3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4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5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 t="e">
        <f t="shared" si="11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3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5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 t="e">
        <f t="shared" ref="BJ31:BJ37" si="18">$H$28*H43</f>
        <v>#DIV/0!</v>
      </c>
      <c r="BP31">
        <f t="shared" ref="BP31:BP37" si="19">BP24+1</f>
        <v>8</v>
      </c>
      <c r="BQ31">
        <v>0</v>
      </c>
      <c r="BR31" s="107" t="e">
        <f t="shared" ref="BR31:BR38" si="20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3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5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 t="e">
        <f t="shared" si="18"/>
        <v>#DIV/0!</v>
      </c>
      <c r="BP32">
        <f t="shared" si="19"/>
        <v>8</v>
      </c>
      <c r="BQ32">
        <v>1</v>
      </c>
      <c r="BR32" s="107" t="e">
        <f t="shared" si="20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3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5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 t="e">
        <f t="shared" si="18"/>
        <v>#DIV/0!</v>
      </c>
      <c r="BP33">
        <f t="shared" si="19"/>
        <v>8</v>
      </c>
      <c r="BQ33">
        <v>2</v>
      </c>
      <c r="BR33" s="107" t="e">
        <f t="shared" si="20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3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5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 t="e">
        <f t="shared" si="18"/>
        <v>#DIV/0!</v>
      </c>
      <c r="BP34">
        <f t="shared" si="19"/>
        <v>8</v>
      </c>
      <c r="BQ34">
        <v>3</v>
      </c>
      <c r="BR34" s="107" t="e">
        <f t="shared" si="20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3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5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7"/>
        <v>3</v>
      </c>
      <c r="BI35">
        <v>8</v>
      </c>
      <c r="BJ35" s="107" t="e">
        <f t="shared" si="18"/>
        <v>#DIV/0!</v>
      </c>
      <c r="BP35">
        <f t="shared" si="19"/>
        <v>8</v>
      </c>
      <c r="BQ35">
        <v>4</v>
      </c>
      <c r="BR35" s="107" t="e">
        <f t="shared" si="20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7"/>
        <v>3</v>
      </c>
      <c r="BI36">
        <v>9</v>
      </c>
      <c r="BJ36" s="107" t="e">
        <f t="shared" si="18"/>
        <v>#DIV/0!</v>
      </c>
      <c r="BP36">
        <f t="shared" si="19"/>
        <v>8</v>
      </c>
      <c r="BQ36">
        <v>5</v>
      </c>
      <c r="BR36" s="107" t="e">
        <f t="shared" si="20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7"/>
        <v>3</v>
      </c>
      <c r="BI37">
        <v>10</v>
      </c>
      <c r="BJ37" s="107" t="e">
        <f t="shared" si="18"/>
        <v>#DIV/0!</v>
      </c>
      <c r="BP37">
        <f t="shared" si="19"/>
        <v>8</v>
      </c>
      <c r="BQ37">
        <v>6</v>
      </c>
      <c r="BR37" s="107" t="e">
        <f t="shared" si="20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 t="e">
        <f t="shared" ref="BJ38:BJ43" si="34">$H$29*H44</f>
        <v>#DIV/0!</v>
      </c>
      <c r="BP38">
        <f>BL11+1</f>
        <v>8</v>
      </c>
      <c r="BQ38">
        <v>7</v>
      </c>
      <c r="BR38" s="107" t="e">
        <f t="shared" si="20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5">Y39+AA39+AC39+AE39+AG39+AI39+AK39+AM39+AO39+AQ39+AS39</f>
        <v>#DIV/0!</v>
      </c>
      <c r="K39" s="102">
        <v>0</v>
      </c>
      <c r="L39" s="98" t="e">
        <f>AC20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 t="e">
        <f t="shared" si="34"/>
        <v>#DIV/0!</v>
      </c>
      <c r="BP39">
        <f t="shared" ref="BP39:BP46" si="36">BP31+1</f>
        <v>9</v>
      </c>
      <c r="BQ39">
        <v>0</v>
      </c>
      <c r="BR39" s="107" t="e">
        <f t="shared" ref="BR39:BR47" si="37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5"/>
        <v>#DIV/0!</v>
      </c>
      <c r="K40" s="95">
        <v>1</v>
      </c>
      <c r="L40" s="86" t="e">
        <f>AD20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8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9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 t="e">
        <f t="shared" si="34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5"/>
        <v>#DIV/0!</v>
      </c>
      <c r="K41" s="95">
        <v>2</v>
      </c>
      <c r="L41" s="86" t="e">
        <f>AE20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8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9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 t="e">
        <f t="shared" si="34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5"/>
        <v>#DIV/0!</v>
      </c>
      <c r="K42" s="95">
        <v>3</v>
      </c>
      <c r="L42" s="86" t="e">
        <f>AF20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8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9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 t="e">
        <f t="shared" si="34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5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8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9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 t="e">
        <f t="shared" si="34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5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8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9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5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9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5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9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5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9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5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9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5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9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41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G8" sqref="G8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145</v>
      </c>
      <c r="F1" s="10" t="s">
        <v>123</v>
      </c>
      <c r="G1" s="70">
        <f>IF(D3="SI",COUNTIF($F$6:$F$18,"RAP"),0)</f>
        <v>2</v>
      </c>
      <c r="H1" s="70">
        <f>G1+G2+G3</f>
        <v>4</v>
      </c>
      <c r="J1" s="11" t="s">
        <v>123</v>
      </c>
      <c r="K1" s="70">
        <f>IF(D3="SI",COUNTIF($J$6:$J$18,"RAP"),0)</f>
        <v>3</v>
      </c>
      <c r="L1" s="70">
        <f>K1+K2+K3</f>
        <v>3</v>
      </c>
      <c r="M1" s="150">
        <f>L1+H1</f>
        <v>7</v>
      </c>
      <c r="P1" s="211"/>
      <c r="Q1" s="211"/>
      <c r="R1" s="152">
        <v>0</v>
      </c>
      <c r="S1" s="153">
        <f>1+R1</f>
        <v>1</v>
      </c>
      <c r="U1" s="160" t="s">
        <v>144</v>
      </c>
      <c r="V1">
        <f>IF(B17="JC",IF(C17="JC",2,1.5),IF(C17="JC",1.5,1))</f>
        <v>1</v>
      </c>
      <c r="AE1" s="160" t="s">
        <v>144</v>
      </c>
    </row>
    <row r="2" spans="1:70" x14ac:dyDescent="0.25">
      <c r="A2" s="193" t="s">
        <v>143</v>
      </c>
      <c r="B2" t="s">
        <v>145</v>
      </c>
      <c r="F2" s="10" t="s">
        <v>21</v>
      </c>
      <c r="G2" s="70">
        <f>IF(D3="SI",COUNTIF($F$6:$F$18,"TEC"),0)</f>
        <v>2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SI</v>
      </c>
      <c r="O2" t="s">
        <v>147</v>
      </c>
      <c r="P2" s="198" t="s">
        <v>148</v>
      </c>
      <c r="R2" s="152">
        <v>0</v>
      </c>
      <c r="S2" s="153">
        <f>1+R2</f>
        <v>1</v>
      </c>
      <c r="U2">
        <f>IF(B17="JC",IF(C17="JC",3,2.25),IF(C17="JC",1.75,1))</f>
        <v>1</v>
      </c>
      <c r="Y2" t="s">
        <v>147</v>
      </c>
      <c r="Z2" s="199" t="s">
        <v>148</v>
      </c>
      <c r="AE2">
        <f>IF(B17="JC",IF(C17="JC",3,1.75),IF(C17="JC",2.25,1))</f>
        <v>1</v>
      </c>
    </row>
    <row r="3" spans="1:70" x14ac:dyDescent="0.25">
      <c r="A3" s="162" t="s">
        <v>108</v>
      </c>
      <c r="B3" s="213" t="s">
        <v>116</v>
      </c>
      <c r="C3" s="213"/>
      <c r="D3" t="str">
        <f>IF(B3="Sol","SI",IF(B3="Lluvia","SI","NO"))</f>
        <v>SI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1.5710760863666719E-2</v>
      </c>
      <c r="BL4">
        <v>0</v>
      </c>
      <c r="BM4">
        <v>0</v>
      </c>
      <c r="BN4" s="107">
        <f>H25*H39</f>
        <v>4.2098796242761435E-3</v>
      </c>
      <c r="BP4">
        <v>1</v>
      </c>
      <c r="BQ4">
        <v>0</v>
      </c>
      <c r="BR4" s="107">
        <f>$H$26*H39</f>
        <v>9.7454689573103614E-3</v>
      </c>
    </row>
    <row r="5" spans="1:70" x14ac:dyDescent="0.25">
      <c r="A5" s="188" t="s">
        <v>150</v>
      </c>
      <c r="B5" s="161">
        <v>352</v>
      </c>
      <c r="C5" s="161">
        <v>352</v>
      </c>
      <c r="E5" s="192" t="s">
        <v>15</v>
      </c>
      <c r="F5" s="167" t="s">
        <v>146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COUNTIF(F5:F10,"IMP")*AI5</f>
        <v>0.04</v>
      </c>
      <c r="P5" s="196" t="str">
        <f>P3</f>
        <v>0,6</v>
      </c>
      <c r="Q5" s="16">
        <f>P5*O5</f>
        <v>2.4E-2</v>
      </c>
      <c r="R5" s="157">
        <f>IF($M$2="SI",Q5*$B$22/0.5*$S$1,Q5*$B$22/0.5*$S$2)</f>
        <v>2.2736842105263156E-2</v>
      </c>
      <c r="S5" s="176">
        <f>(1-R5)</f>
        <v>0.97726315789473683</v>
      </c>
      <c r="T5" s="177">
        <f>R5*PRODUCT(S6:S19)</f>
        <v>1.5462580558822462E-2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6.1646568708122991E-3</v>
      </c>
      <c r="V5" s="18"/>
      <c r="W5" s="186" t="s">
        <v>36</v>
      </c>
      <c r="X5" s="15" t="s">
        <v>37</v>
      </c>
      <c r="Y5" s="69">
        <f>COUNTIF(J5:J10,"IMP")*AI5</f>
        <v>0.2</v>
      </c>
      <c r="Z5" s="197" t="str">
        <f>Z3</f>
        <v>0,6</v>
      </c>
      <c r="AA5" s="19">
        <f>Z5*Y5</f>
        <v>0.12</v>
      </c>
      <c r="AB5" s="157">
        <f>IF($M$2="SI",AA5*$C$22/0.5*$S$1,AA5*$C$22/0.5*$S$2)</f>
        <v>0.12631578947368421</v>
      </c>
      <c r="AC5" s="176">
        <f>(1-AB5)</f>
        <v>0.87368421052631584</v>
      </c>
      <c r="AD5" s="177">
        <f>AB5*PRODUCT(AC6:AC19)</f>
        <v>6.5180495192466478E-2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4.6200306086421165E-2</v>
      </c>
      <c r="AF5" s="18"/>
      <c r="AI5" s="194">
        <v>0.04</v>
      </c>
      <c r="BH5">
        <v>0</v>
      </c>
      <c r="BI5">
        <v>2</v>
      </c>
      <c r="BJ5" s="107">
        <f t="shared" si="0"/>
        <v>2.7310783784979888E-2</v>
      </c>
      <c r="BL5">
        <v>1</v>
      </c>
      <c r="BM5">
        <v>1</v>
      </c>
      <c r="BN5" s="107">
        <f>$H$26*H40</f>
        <v>3.6368909792501833E-2</v>
      </c>
      <c r="BP5">
        <f>BP4+1</f>
        <v>2</v>
      </c>
      <c r="BQ5">
        <v>0</v>
      </c>
      <c r="BR5" s="107">
        <f>$H$27*H39</f>
        <v>1.0470909407618526E-2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146</v>
      </c>
      <c r="K6" s="166"/>
      <c r="L6" s="10"/>
      <c r="M6" s="10"/>
      <c r="O6" s="67">
        <f>COUNTIF(F11:F18,"IMP")*AI6</f>
        <v>0.04</v>
      </c>
      <c r="P6" s="196" t="str">
        <f>P3</f>
        <v>0,6</v>
      </c>
      <c r="Q6" s="16">
        <f t="shared" ref="Q6:Q19" si="1">P6*O6</f>
        <v>2.4E-2</v>
      </c>
      <c r="R6" s="157">
        <f>IF($M$2="SI",Q6*$B$22/0.5*$S$1,Q6*$B$22/0.5*$S$2)</f>
        <v>2.2736842105263156E-2</v>
      </c>
      <c r="S6" s="176">
        <f t="shared" ref="S6:S19" si="2">(1-R6)</f>
        <v>0.97726315789473683</v>
      </c>
      <c r="T6" s="177">
        <f>R6*S5*PRODUCT(S7:S19)</f>
        <v>1.5462580558822462E-2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5.8049070430757996E-3</v>
      </c>
      <c r="V6" s="18"/>
      <c r="W6" s="186" t="s">
        <v>38</v>
      </c>
      <c r="X6" s="15" t="s">
        <v>39</v>
      </c>
      <c r="Y6" s="69">
        <f>COUNTIF(J11:J18,"IMP")*AI6</f>
        <v>0.08</v>
      </c>
      <c r="Z6" s="197" t="str">
        <f>Z3</f>
        <v>0,6</v>
      </c>
      <c r="AA6" s="19">
        <f t="shared" ref="AA6:AA19" si="3">Z6*Y6</f>
        <v>4.8000000000000001E-2</v>
      </c>
      <c r="AB6" s="157">
        <f t="shared" ref="AB6:AB19" si="4">IF($M$2="SI",AA6*$C$22/0.5*$S$1,AA6*$C$22/0.5*$S$2)</f>
        <v>5.052631578947369E-2</v>
      </c>
      <c r="AC6" s="176">
        <f t="shared" ref="AC6:AC19" si="5">(1-AB6)</f>
        <v>0.94947368421052636</v>
      </c>
      <c r="AD6" s="177">
        <f>AB6*AC5*PRODUCT(AC7:AC19)</f>
        <v>2.3991047010974362E-2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1.5728305281779445E-2</v>
      </c>
      <c r="AF6" s="18"/>
      <c r="AI6" s="194">
        <v>0.04</v>
      </c>
      <c r="BH6">
        <v>0</v>
      </c>
      <c r="BI6">
        <v>3</v>
      </c>
      <c r="BJ6" s="107">
        <f t="shared" si="0"/>
        <v>2.9377629484313671E-2</v>
      </c>
      <c r="BL6">
        <f>BH14+1</f>
        <v>2</v>
      </c>
      <c r="BM6">
        <v>2</v>
      </c>
      <c r="BN6" s="107">
        <f>$H$27*H41</f>
        <v>6.7928009441066028E-2</v>
      </c>
      <c r="BP6">
        <f>BL5+1</f>
        <v>2</v>
      </c>
      <c r="BQ6">
        <v>1</v>
      </c>
      <c r="BR6" s="107">
        <f>$H$27*H40</f>
        <v>3.9076165688822599E-2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 t="s">
        <v>146</v>
      </c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2.1875343532560668E-2</v>
      </c>
      <c r="BL7">
        <f>BH23+1</f>
        <v>3</v>
      </c>
      <c r="BM7">
        <v>3</v>
      </c>
      <c r="BN7" s="107">
        <f>$H$28*H42</f>
        <v>4.8362110630153693E-2</v>
      </c>
      <c r="BP7">
        <f>BP5+1</f>
        <v>3</v>
      </c>
      <c r="BQ7">
        <v>0</v>
      </c>
      <c r="BR7" s="107">
        <f>$H$28*H39</f>
        <v>6.9303979831859888E-3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146</v>
      </c>
      <c r="K8" s="166"/>
      <c r="L8" s="10"/>
      <c r="M8" s="10"/>
      <c r="O8" s="67">
        <f>COUNTIF(F6:F18,"IMP")*AI8</f>
        <v>0.04</v>
      </c>
      <c r="P8" s="196" t="str">
        <f>P3</f>
        <v>0,6</v>
      </c>
      <c r="Q8" s="16">
        <f t="shared" si="1"/>
        <v>2.4E-2</v>
      </c>
      <c r="R8" s="157">
        <f t="shared" si="6"/>
        <v>2.2736842105263156E-2</v>
      </c>
      <c r="S8" s="176">
        <f t="shared" si="2"/>
        <v>0.97726315789473683</v>
      </c>
      <c r="T8" s="177">
        <f>R8*PRODUCT(S5:S7)*PRODUCT(S9:S19)</f>
        <v>1.5462580558822464E-2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5.4451572153393019E-3</v>
      </c>
      <c r="W8" s="186" t="s">
        <v>42</v>
      </c>
      <c r="X8" s="15" t="s">
        <v>43</v>
      </c>
      <c r="Y8" s="69">
        <f>COUNTIF(J6:J18,"IMP")*AI8</f>
        <v>0.28000000000000003</v>
      </c>
      <c r="Z8" s="197" t="str">
        <f>Z3</f>
        <v>0,6</v>
      </c>
      <c r="AA8" s="19">
        <f t="shared" si="3"/>
        <v>0.16800000000000001</v>
      </c>
      <c r="AB8" s="157">
        <f t="shared" si="4"/>
        <v>0.17684210526315794</v>
      </c>
      <c r="AC8" s="176">
        <f t="shared" si="5"/>
        <v>0.82315789473684209</v>
      </c>
      <c r="AD8" s="177">
        <f>AB8*PRODUCT(AC5:AC7)*PRODUCT(AC9:AC19)</f>
        <v>9.6853881603127953E-2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4.2689012359657573E-2</v>
      </c>
      <c r="AI8" s="194">
        <v>0.04</v>
      </c>
      <c r="BH8">
        <v>0</v>
      </c>
      <c r="BI8">
        <v>5</v>
      </c>
      <c r="BJ8" s="107">
        <f t="shared" si="0"/>
        <v>1.192809961349613E-2</v>
      </c>
      <c r="BL8">
        <f>BH31+1</f>
        <v>4</v>
      </c>
      <c r="BM8">
        <v>4</v>
      </c>
      <c r="BN8" s="107">
        <f>$H$29*H43</f>
        <v>1.6424231496534585E-2</v>
      </c>
      <c r="BP8">
        <f>BP6+1</f>
        <v>3</v>
      </c>
      <c r="BQ8">
        <v>1</v>
      </c>
      <c r="BR8" s="107">
        <f>$H$28*H40</f>
        <v>2.5863405874127481E-2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 t="s">
        <v>146</v>
      </c>
      <c r="K9" s="166"/>
      <c r="L9" s="10"/>
      <c r="M9" s="10"/>
      <c r="O9" s="67">
        <f>COUNTIF(J6:J13,"IMP")*AI9</f>
        <v>0.125</v>
      </c>
      <c r="P9" s="196" t="str">
        <f>Z3</f>
        <v>0,6</v>
      </c>
      <c r="Q9" s="16">
        <f t="shared" si="1"/>
        <v>7.4999999999999997E-2</v>
      </c>
      <c r="R9" s="157">
        <f t="shared" si="6"/>
        <v>7.1052631578947367E-2</v>
      </c>
      <c r="S9" s="176">
        <f t="shared" si="2"/>
        <v>0.92894736842105263</v>
      </c>
      <c r="T9" s="177">
        <f>R9*PRODUCT(S5:S8)*PRODUCT(S10:S19)</f>
        <v>5.0833781128933352E-2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1.4013010928952015E-2</v>
      </c>
      <c r="W9" s="187" t="s">
        <v>44</v>
      </c>
      <c r="X9" s="15" t="s">
        <v>45</v>
      </c>
      <c r="Y9" s="69">
        <f>COUNTIF(F6:F13,"IMP")*AI9</f>
        <v>2.5000000000000001E-2</v>
      </c>
      <c r="Z9" s="197" t="str">
        <f>P3</f>
        <v>0,6</v>
      </c>
      <c r="AA9" s="19">
        <f t="shared" si="3"/>
        <v>1.4999999999999999E-2</v>
      </c>
      <c r="AB9" s="157">
        <f t="shared" si="4"/>
        <v>1.5789473684210527E-2</v>
      </c>
      <c r="AC9" s="176">
        <f t="shared" si="5"/>
        <v>0.98421052631578942</v>
      </c>
      <c r="AD9" s="177">
        <f>AB9*PRODUCT(AC5:AC8)*PRODUCT(AC10:AC19)</f>
        <v>7.2325950547790351E-3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3.0717849213186916E-3</v>
      </c>
      <c r="AI9" s="194">
        <v>2.5000000000000001E-2</v>
      </c>
      <c r="BH9">
        <v>0</v>
      </c>
      <c r="BI9">
        <v>6</v>
      </c>
      <c r="BJ9" s="107">
        <f t="shared" si="0"/>
        <v>4.9030419901580176E-3</v>
      </c>
      <c r="BL9">
        <f>BH38+1</f>
        <v>5</v>
      </c>
      <c r="BM9">
        <v>5</v>
      </c>
      <c r="BN9" s="107">
        <f>$H$30*H44</f>
        <v>2.9800808497183564E-3</v>
      </c>
      <c r="BP9">
        <f>BL6+1</f>
        <v>3</v>
      </c>
      <c r="BQ9">
        <v>2</v>
      </c>
      <c r="BR9" s="107">
        <f>$H$28*H41</f>
        <v>4.4959623018959255E-2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146</v>
      </c>
      <c r="K10" s="166"/>
      <c r="L10" s="10"/>
      <c r="M10" s="10"/>
      <c r="O10" s="67">
        <f>COUNTIF(F11:F18,"RAP")*AI10</f>
        <v>0.12</v>
      </c>
      <c r="P10" s="196" t="str">
        <f>R3</f>
        <v>0,72</v>
      </c>
      <c r="Q10" s="16">
        <f t="shared" si="1"/>
        <v>8.6399999999999991E-2</v>
      </c>
      <c r="R10" s="157">
        <f t="shared" si="6"/>
        <v>8.1852631578947357E-2</v>
      </c>
      <c r="S10" s="176">
        <f t="shared" si="2"/>
        <v>0.9181473684210526</v>
      </c>
      <c r="T10" s="177">
        <f>R10*PRODUCT(S5:S9)*PRODUCT(S11:S19)</f>
        <v>5.9249352525587905E-2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1.105080915621854E-2</v>
      </c>
      <c r="W10" s="186" t="s">
        <v>46</v>
      </c>
      <c r="X10" s="15" t="s">
        <v>47</v>
      </c>
      <c r="Y10" s="69">
        <f>COUNTIF(J11:J18,"RAP")*AI10</f>
        <v>0.18</v>
      </c>
      <c r="Z10" s="197" t="str">
        <f>AB3</f>
        <v>0,72</v>
      </c>
      <c r="AA10" s="19">
        <f t="shared" si="3"/>
        <v>0.12959999999999999</v>
      </c>
      <c r="AB10" s="157">
        <f t="shared" si="4"/>
        <v>0.13642105263157897</v>
      </c>
      <c r="AC10" s="176">
        <f t="shared" si="5"/>
        <v>0.863578947368421</v>
      </c>
      <c r="AD10" s="177">
        <f>AB10*PRODUCT(AC5:AC9)*PRODUCT(AC11:AC19)</f>
        <v>7.1218668808540914E-2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1.8997035386145802E-2</v>
      </c>
      <c r="AI10" s="194">
        <v>0.06</v>
      </c>
      <c r="BH10">
        <v>0</v>
      </c>
      <c r="BI10">
        <v>7</v>
      </c>
      <c r="BJ10" s="107">
        <f t="shared" si="0"/>
        <v>1.5374619379472027E-3</v>
      </c>
      <c r="BL10">
        <f>BH44+1</f>
        <v>6</v>
      </c>
      <c r="BM10">
        <v>6</v>
      </c>
      <c r="BN10" s="107">
        <f>$H$31*H45</f>
        <v>3.0672599812041091E-4</v>
      </c>
      <c r="BP10">
        <f>BP7+1</f>
        <v>4</v>
      </c>
      <c r="BQ10">
        <v>0</v>
      </c>
      <c r="BR10" s="107">
        <f>$H$29*H39</f>
        <v>3.1608206480843145E-3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146</v>
      </c>
      <c r="G11" s="167"/>
      <c r="H11" s="10"/>
      <c r="I11" s="10"/>
      <c r="J11" s="166" t="s">
        <v>123</v>
      </c>
      <c r="K11" s="166"/>
      <c r="L11" s="10"/>
      <c r="M11" s="10"/>
      <c r="O11" s="67">
        <f>COUNTIF(F11:F18,"RAP")*AI11</f>
        <v>0.12</v>
      </c>
      <c r="P11" s="196" t="str">
        <f>R3</f>
        <v>0,72</v>
      </c>
      <c r="Q11" s="16">
        <f t="shared" si="1"/>
        <v>8.6399999999999991E-2</v>
      </c>
      <c r="R11" s="157">
        <f t="shared" si="6"/>
        <v>8.1852631578947357E-2</v>
      </c>
      <c r="S11" s="176">
        <f t="shared" si="2"/>
        <v>0.9181473684210526</v>
      </c>
      <c r="T11" s="177">
        <f>R11*PRODUCT(S5:S10)*PRODUCT(S12:S19)</f>
        <v>5.9249352525587898E-2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5.7687426924130317E-3</v>
      </c>
      <c r="W11" s="186" t="s">
        <v>48</v>
      </c>
      <c r="X11" s="15" t="s">
        <v>49</v>
      </c>
      <c r="Y11" s="69">
        <f>COUNTIF(J11:J18,"RAP")*AI11</f>
        <v>0.18</v>
      </c>
      <c r="Z11" s="197" t="str">
        <f>AB3</f>
        <v>0,72</v>
      </c>
      <c r="AA11" s="19">
        <f t="shared" si="3"/>
        <v>0.12959999999999999</v>
      </c>
      <c r="AB11" s="157">
        <f t="shared" si="4"/>
        <v>0.13642105263157897</v>
      </c>
      <c r="AC11" s="176">
        <f t="shared" si="5"/>
        <v>0.863578947368421</v>
      </c>
      <c r="AD11" s="177">
        <f>AB11*PRODUCT(AC5:AC10)*PRODUCT(AC12:AC19)</f>
        <v>7.1218668808540914E-2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7.746499699179803E-3</v>
      </c>
      <c r="AI11" s="194">
        <v>0.06</v>
      </c>
      <c r="BH11">
        <v>0</v>
      </c>
      <c r="BI11">
        <v>8</v>
      </c>
      <c r="BJ11" s="107">
        <f t="shared" si="0"/>
        <v>3.6724810127541869E-4</v>
      </c>
      <c r="BL11">
        <f>BH50+1</f>
        <v>7</v>
      </c>
      <c r="BM11">
        <v>7</v>
      </c>
      <c r="BN11" s="107">
        <f>$H$32*H46</f>
        <v>1.838762597856114E-5</v>
      </c>
      <c r="BP11">
        <f>BP8+1</f>
        <v>4</v>
      </c>
      <c r="BQ11">
        <v>1</v>
      </c>
      <c r="BR11" s="107">
        <f>$H$29*H40</f>
        <v>1.1795799824925205E-2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6.5868638185525192E-5</v>
      </c>
      <c r="BL12">
        <f>BH54+1</f>
        <v>8</v>
      </c>
      <c r="BM12">
        <v>8</v>
      </c>
      <c r="BN12" s="107">
        <f>$H$33*H47</f>
        <v>6.4208908520440627E-7</v>
      </c>
      <c r="BP12">
        <f>BP9+1</f>
        <v>4</v>
      </c>
      <c r="BQ12">
        <v>2</v>
      </c>
      <c r="BR12" s="107">
        <f>$H$29*H41</f>
        <v>2.0505215589810017E-2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/>
      <c r="K13" s="166"/>
      <c r="L13" s="10"/>
      <c r="M13" s="10"/>
      <c r="O13" s="67">
        <f>AI13</f>
        <v>0.125</v>
      </c>
      <c r="P13" s="196" t="str">
        <f>P2</f>
        <v>0,4</v>
      </c>
      <c r="Q13" s="16">
        <f t="shared" si="1"/>
        <v>0.05</v>
      </c>
      <c r="R13" s="157">
        <f t="shared" si="6"/>
        <v>4.736842105263158E-2</v>
      </c>
      <c r="S13" s="176">
        <f t="shared" si="2"/>
        <v>0.95263157894736838</v>
      </c>
      <c r="T13" s="177">
        <f>R13*PRODUCT(S5:S12)*PRODUCT(S14:S19)</f>
        <v>3.3046638560798293E-2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1.5743436103071084E-3</v>
      </c>
      <c r="W13" s="186" t="s">
        <v>52</v>
      </c>
      <c r="X13" s="15" t="s">
        <v>53</v>
      </c>
      <c r="Y13" s="69">
        <f>AI13</f>
        <v>0.125</v>
      </c>
      <c r="Z13" s="197" t="str">
        <f>Z2</f>
        <v>0,4</v>
      </c>
      <c r="AA13" s="19">
        <f t="shared" si="3"/>
        <v>0.05</v>
      </c>
      <c r="AB13" s="157">
        <f t="shared" si="4"/>
        <v>5.2631578947368432E-2</v>
      </c>
      <c r="AC13" s="176">
        <f t="shared" si="5"/>
        <v>0.94736842105263153</v>
      </c>
      <c r="AD13" s="177">
        <f>AB13*PRODUCT(AC5:AC12)*PRODUCT(AC14:AC19)</f>
        <v>2.5046208800808885E-2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1.3328359450541314E-3</v>
      </c>
      <c r="AI13" s="194">
        <v>0.125</v>
      </c>
      <c r="BH13">
        <v>0</v>
      </c>
      <c r="BI13">
        <v>10</v>
      </c>
      <c r="BJ13" s="107">
        <f t="shared" si="0"/>
        <v>8.6049888980214087E-6</v>
      </c>
      <c r="BL13">
        <f>BH57+1</f>
        <v>9</v>
      </c>
      <c r="BM13">
        <v>9</v>
      </c>
      <c r="BN13" s="107">
        <f>$H$34*H48</f>
        <v>1.2727679298407143E-8</v>
      </c>
      <c r="BP13">
        <f>BL7+1</f>
        <v>4</v>
      </c>
      <c r="BQ13">
        <v>3</v>
      </c>
      <c r="BR13" s="107">
        <f>$H$29*H42</f>
        <v>2.205702446462595E-2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146</v>
      </c>
      <c r="K14" s="166"/>
      <c r="L14" s="10"/>
      <c r="M14" s="10"/>
      <c r="O14" s="67">
        <f>IF(COUNTIF(F6:F18,"CAB")&gt;0,AI14,0)</f>
        <v>0</v>
      </c>
      <c r="P14" s="196">
        <f>IF(COUNTIF(F6:F18,"CAB")-COUNTIF(J6:J18,"CAB")&gt;0,0.85,IF(COUNTIF(F6:F18,"CAB")-COUNTIF(J6:J18,"CAB")=0,0.5,0.25))</f>
        <v>0.5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0</v>
      </c>
      <c r="Z14" s="197">
        <f>IF(COUNTIF(J6:J18,"CAB")-COUNTIF(F6:F18,"CAB")&gt;0,0.85,IF(COUNTIF(J6:J18,"CAB")-COUNTIF(F6:F18,"CAB")=0,0.5,0.25))</f>
        <v>0.5</v>
      </c>
      <c r="AA14" s="19">
        <f t="shared" si="3"/>
        <v>0</v>
      </c>
      <c r="AB14" s="157">
        <f t="shared" si="4"/>
        <v>0</v>
      </c>
      <c r="AC14" s="176">
        <f t="shared" si="5"/>
        <v>1</v>
      </c>
      <c r="AD14" s="177">
        <f>AB14*PRODUCT(AC5:AC13)*PRODUCT(AC15:AC19)</f>
        <v>0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I14" s="195">
        <v>0.125</v>
      </c>
      <c r="BH14">
        <v>1</v>
      </c>
      <c r="BI14">
        <v>2</v>
      </c>
      <c r="BJ14" s="107">
        <f t="shared" ref="BJ14:BJ22" si="7">$H$26*H41</f>
        <v>6.3221854145556533E-2</v>
      </c>
      <c r="BL14">
        <f>BP39+1</f>
        <v>10</v>
      </c>
      <c r="BM14">
        <v>10</v>
      </c>
      <c r="BN14" s="107">
        <f>$H$35*H49</f>
        <v>1.3514223913083559E-10</v>
      </c>
      <c r="BP14">
        <f>BP10+1</f>
        <v>5</v>
      </c>
      <c r="BQ14">
        <v>0</v>
      </c>
      <c r="BR14" s="107">
        <f>$H$30*H39</f>
        <v>1.0517837756594383E-3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146</v>
      </c>
      <c r="K15" s="166"/>
      <c r="L15" s="10"/>
      <c r="M15" s="10"/>
      <c r="O15" s="67"/>
      <c r="P15" s="196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6.8006404394038086E-2</v>
      </c>
      <c r="BP15">
        <f>BP11+1</f>
        <v>5</v>
      </c>
      <c r="BQ15">
        <v>1</v>
      </c>
      <c r="BR15" s="107">
        <f>$H$30*H40</f>
        <v>3.9251296603311199E-3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123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5.0639329471023911E-2</v>
      </c>
      <c r="BP16">
        <f>BP12+1</f>
        <v>5</v>
      </c>
      <c r="BQ16">
        <v>2</v>
      </c>
      <c r="BR16" s="107">
        <f>$H$30*H41</f>
        <v>6.82324480727255E-3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0.08</v>
      </c>
      <c r="P17" s="196" t="str">
        <f>P3</f>
        <v>0,6</v>
      </c>
      <c r="Q17" s="16">
        <f t="shared" si="1"/>
        <v>4.8000000000000001E-2</v>
      </c>
      <c r="R17" s="157">
        <f t="shared" si="6"/>
        <v>4.5473684210526312E-2</v>
      </c>
      <c r="S17" s="176">
        <f t="shared" si="2"/>
        <v>0.95452631578947367</v>
      </c>
      <c r="T17" s="177">
        <f>R17*PRODUCT(S5:S16)*PRODUCT(S18:S19)</f>
        <v>3.1661799273954072E-2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0.08</v>
      </c>
      <c r="Z17" s="197" t="str">
        <f>Z3</f>
        <v>0,6</v>
      </c>
      <c r="AA17" s="19">
        <f t="shared" si="3"/>
        <v>4.8000000000000001E-2</v>
      </c>
      <c r="AB17" s="157">
        <f t="shared" si="4"/>
        <v>5.052631578947369E-2</v>
      </c>
      <c r="AC17" s="176">
        <f t="shared" si="5"/>
        <v>0.94947368421052636</v>
      </c>
      <c r="AD17" s="177">
        <f>AB17*PRODUCT(AC5:AC16)*PRODUCT(AC18:AC19)</f>
        <v>2.3991047010974358E-2</v>
      </c>
      <c r="AE17" s="177">
        <f>AB17*AB18*PRODUCT(AC5:AC16)*AC19+AB17*AB19*PRODUCT(AC5:AC16)*AC18</f>
        <v>0</v>
      </c>
      <c r="AI17" s="194">
        <v>0.04</v>
      </c>
      <c r="BH17">
        <v>1</v>
      </c>
      <c r="BI17">
        <v>5</v>
      </c>
      <c r="BJ17" s="107">
        <f t="shared" si="7"/>
        <v>2.7612410538465144E-2</v>
      </c>
      <c r="BP17">
        <f>BP13+1</f>
        <v>5</v>
      </c>
      <c r="BQ17">
        <v>3</v>
      </c>
      <c r="BR17" s="107">
        <f>$H$30*H42</f>
        <v>7.3396193755179643E-3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96"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</v>
      </c>
      <c r="Z18" s="197">
        <v>0.95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I18" s="194">
        <v>0.04</v>
      </c>
      <c r="BH18">
        <v>1</v>
      </c>
      <c r="BI18">
        <v>6</v>
      </c>
      <c r="BJ18" s="107">
        <f t="shared" si="7"/>
        <v>1.135007358308731E-2</v>
      </c>
      <c r="BP18">
        <f>BL8+1</f>
        <v>5</v>
      </c>
      <c r="BQ18">
        <v>4</v>
      </c>
      <c r="BR18" s="107">
        <f>$H$30*H43</f>
        <v>5.4652706176794791E-3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9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3.559077438440287E-3</v>
      </c>
      <c r="BP19">
        <f>BP15+1</f>
        <v>6</v>
      </c>
      <c r="BQ19">
        <v>1</v>
      </c>
      <c r="BR19" s="107">
        <f>$H$31*H40</f>
        <v>9.8283857589071097E-4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0.66460461994494335</v>
      </c>
      <c r="T20" s="181">
        <f>SUM(T5:T19)</f>
        <v>0.28042866569132896</v>
      </c>
      <c r="U20" s="181">
        <f>SUM(U5:U19)</f>
        <v>4.9821627517118099E-2</v>
      </c>
      <c r="V20" s="181">
        <f>1-S20-T20-U20</f>
        <v>5.1450868466095881E-3</v>
      </c>
      <c r="W20" s="21"/>
      <c r="X20" s="22"/>
      <c r="Y20" s="22"/>
      <c r="Z20" s="22"/>
      <c r="AA20" s="22"/>
      <c r="AB20" s="23"/>
      <c r="AC20" s="184">
        <f>PRODUCT(AC5:AC19)</f>
        <v>0.4508317584145598</v>
      </c>
      <c r="AD20" s="181">
        <f>SUM(AD5:AD19)</f>
        <v>0.38473261229021288</v>
      </c>
      <c r="AE20" s="181">
        <f>SUM(AE5:AE19)</f>
        <v>0.13576577967955661</v>
      </c>
      <c r="AF20" s="181">
        <f>1-AC20-AD20-AE20</f>
        <v>2.8669849615670706E-2</v>
      </c>
      <c r="BH20">
        <v>1</v>
      </c>
      <c r="BI20">
        <v>8</v>
      </c>
      <c r="BJ20" s="107">
        <f t="shared" si="7"/>
        <v>8.5014425352509875E-4</v>
      </c>
      <c r="BP20">
        <f>BP16+1</f>
        <v>6</v>
      </c>
      <c r="BQ20">
        <v>2</v>
      </c>
      <c r="BR20" s="107">
        <f>$H$31*H41</f>
        <v>1.7085163522388503E-3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0.66460461994494335</v>
      </c>
      <c r="T21" s="183">
        <f>T20*U2</f>
        <v>0.28042866569132896</v>
      </c>
      <c r="U21" s="183">
        <f>U20*U2</f>
        <v>4.9821627517118099E-2</v>
      </c>
      <c r="V21" s="183">
        <f>V20*U2</f>
        <v>5.1450868466095881E-3</v>
      </c>
      <c r="W21" s="21"/>
      <c r="X21" s="22"/>
      <c r="Y21" s="22"/>
      <c r="Z21" s="22"/>
      <c r="AA21" s="22"/>
      <c r="AB21" s="23"/>
      <c r="AC21" s="185">
        <f>1-AD21-AE21-AF21</f>
        <v>0.45083175841455986</v>
      </c>
      <c r="AD21" s="183">
        <f>AD20*AE2</f>
        <v>0.38473261229021288</v>
      </c>
      <c r="AE21" s="183">
        <f>AE20*AE2</f>
        <v>0.13576577967955661</v>
      </c>
      <c r="AF21" s="183">
        <f>AF20*AE2</f>
        <v>2.8669849615670706E-2</v>
      </c>
      <c r="BH21" s="18">
        <v>1</v>
      </c>
      <c r="BI21">
        <v>9</v>
      </c>
      <c r="BJ21" s="107">
        <f t="shared" si="7"/>
        <v>1.5247960179092223E-4</v>
      </c>
      <c r="BP21">
        <f>BP17+1</f>
        <v>6</v>
      </c>
      <c r="BQ21">
        <v>3</v>
      </c>
      <c r="BR21" s="107">
        <f>$H$31*H42</f>
        <v>1.8378147166749667E-3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1.9919726849217682E-5</v>
      </c>
      <c r="BP22">
        <f>BP18+1</f>
        <v>6</v>
      </c>
      <c r="BQ22">
        <v>4</v>
      </c>
      <c r="BR22" s="107">
        <f>$H$31*H43</f>
        <v>1.3684844210431289E-3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0.99999989180232174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7.3068715591534925E-2</v>
      </c>
      <c r="BP23">
        <f>BL9+1</f>
        <v>6</v>
      </c>
      <c r="BQ23">
        <v>5</v>
      </c>
      <c r="BR23" s="107">
        <f>$H$31*H44</f>
        <v>7.4620169824639304E-4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5.4408857457381762E-2</v>
      </c>
      <c r="BP24">
        <f>BH49+1</f>
        <v>7</v>
      </c>
      <c r="BQ24">
        <v>0</v>
      </c>
      <c r="BR24" s="107">
        <f t="shared" ref="BR24:BR30" si="10">$H$32*H39</f>
        <v>5.0349013549767308E-5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0.11729554082099101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0.66460461994494335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2.9667843645159519E-2</v>
      </c>
      <c r="BP25">
        <f>BP19+1</f>
        <v>7</v>
      </c>
      <c r="BQ25">
        <v>1</v>
      </c>
      <c r="BR25" s="107">
        <f t="shared" si="10"/>
        <v>1.878964203728081E-4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0.27152796609913654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0.28042866569132896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1.2194958783298146E-2</v>
      </c>
      <c r="BP26">
        <f>BP20+1</f>
        <v>7</v>
      </c>
      <c r="BQ26">
        <v>2</v>
      </c>
      <c r="BR26" s="107">
        <f t="shared" si="10"/>
        <v>3.2662953470579358E-4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0.2917401663391731</v>
      </c>
      <c r="I27" s="93">
        <v>2</v>
      </c>
      <c r="J27" s="86">
        <f t="shared" si="11"/>
        <v>0.2847705100733125</v>
      </c>
      <c r="K27" s="93">
        <v>2</v>
      </c>
      <c r="L27" s="86">
        <f>U21</f>
        <v>4.9821627517118099E-2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3.8240106859765166E-3</v>
      </c>
      <c r="BP27">
        <f>BP21+1</f>
        <v>7</v>
      </c>
      <c r="BQ27">
        <v>3</v>
      </c>
      <c r="BR27" s="107">
        <f t="shared" si="10"/>
        <v>3.5134844626824184E-4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0.19309454238427987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5.1450868466095881E-3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9.1342792235680939E-4</v>
      </c>
      <c r="BP28">
        <f>BP22+1</f>
        <v>7</v>
      </c>
      <c r="BQ28">
        <v>4</v>
      </c>
      <c r="BR28" s="107">
        <f t="shared" si="10"/>
        <v>2.6162314988188988E-4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8.8066690842485224E-2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1.638299915433867E-4</v>
      </c>
      <c r="BP29">
        <f>BP23+1</f>
        <v>7</v>
      </c>
      <c r="BQ29">
        <v>5</v>
      </c>
      <c r="BR29" s="107">
        <f t="shared" si="10"/>
        <v>1.4265682220454318E-4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2.9304768260192272E-2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2.1402526258749665E-5</v>
      </c>
      <c r="BP30">
        <f>BL10+1</f>
        <v>7</v>
      </c>
      <c r="BQ30">
        <v>6</v>
      </c>
      <c r="BR30" s="107">
        <f t="shared" si="10"/>
        <v>5.8639046630695621E-5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7.3378102626105316E-3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3.6011679722463892E-2</v>
      </c>
      <c r="BP31">
        <f t="shared" ref="BP31:BP37" si="17">BP24+1</f>
        <v>8</v>
      </c>
      <c r="BQ31">
        <v>0</v>
      </c>
      <c r="BR31" s="107">
        <f t="shared" ref="BR31:BR38" si="18">$H$33*H39</f>
        <v>7.3604676168085289E-6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1.402822717321473E-3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1.9636304332295254E-2</v>
      </c>
      <c r="BP32">
        <f t="shared" si="17"/>
        <v>8</v>
      </c>
      <c r="BQ32">
        <v>1</v>
      </c>
      <c r="BR32" s="107">
        <f t="shared" si="18"/>
        <v>2.7468373657435598E-5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2.0507712971897473E-4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8.071497371117814E-3</v>
      </c>
      <c r="BP33">
        <f t="shared" si="17"/>
        <v>8</v>
      </c>
      <c r="BQ33">
        <v>2</v>
      </c>
      <c r="BR33" s="107">
        <f t="shared" si="18"/>
        <v>4.774961699138079E-5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2.266480783309812E-5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2.5310042245701029E-3</v>
      </c>
      <c r="BP34">
        <f t="shared" si="17"/>
        <v>8</v>
      </c>
      <c r="BQ34">
        <v>3</v>
      </c>
      <c r="BR34" s="107">
        <f t="shared" si="18"/>
        <v>5.1363247830410317E-5</v>
      </c>
    </row>
    <row r="35" spans="1:70" ht="15.75" thickBot="1" x14ac:dyDescent="0.3">
      <c r="G35" s="88">
        <v>10</v>
      </c>
      <c r="H35" s="129">
        <f>J35*L25+J34*L26+J33*L27+J32*L28</f>
        <v>1.8421385796623046E-6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6.0457203710323883E-4</v>
      </c>
      <c r="BP35">
        <f t="shared" si="17"/>
        <v>8</v>
      </c>
      <c r="BQ35">
        <v>4</v>
      </c>
      <c r="BR35" s="107">
        <f t="shared" si="18"/>
        <v>3.8246404184456838E-5</v>
      </c>
    </row>
    <row r="36" spans="1:70" x14ac:dyDescent="0.25">
      <c r="A36" s="1"/>
      <c r="B36" s="108">
        <f>SUM(B37:B39)</f>
        <v>0.99999107374820073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1.0843442520394211E-4</v>
      </c>
      <c r="BP36">
        <f t="shared" si="17"/>
        <v>8</v>
      </c>
      <c r="BQ36">
        <v>5</v>
      </c>
      <c r="BR36" s="107">
        <f t="shared" si="18"/>
        <v>2.085484592693087E-5</v>
      </c>
    </row>
    <row r="37" spans="1:70" ht="15.75" thickBot="1" x14ac:dyDescent="0.3">
      <c r="A37" s="109" t="s">
        <v>104</v>
      </c>
      <c r="B37" s="107">
        <f>SUM(BN4:BN14)</f>
        <v>0.17659899041025631</v>
      </c>
      <c r="G37" s="13"/>
      <c r="H37" s="59">
        <f>SUM(H39:H49)</f>
        <v>0.99999302393571066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1.4165725157625937E-5</v>
      </c>
      <c r="BP37">
        <f t="shared" si="17"/>
        <v>8</v>
      </c>
      <c r="BQ37">
        <v>6</v>
      </c>
      <c r="BR37" s="107">
        <f t="shared" si="18"/>
        <v>8.5723785507562359E-6</v>
      </c>
    </row>
    <row r="38" spans="1:70" ht="15.75" thickBot="1" x14ac:dyDescent="0.3">
      <c r="A38" s="110" t="s">
        <v>105</v>
      </c>
      <c r="B38" s="107">
        <f>SUM(BJ4:BJ59)</f>
        <v>0.59597225178515745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8.9557390984137137E-3</v>
      </c>
      <c r="BP38">
        <f>BL11+1</f>
        <v>8</v>
      </c>
      <c r="BQ38">
        <v>7</v>
      </c>
      <c r="BR38" s="107">
        <f t="shared" si="18"/>
        <v>2.6880670746688735E-6</v>
      </c>
    </row>
    <row r="39" spans="1:70" x14ac:dyDescent="0.25">
      <c r="A39" s="111" t="s">
        <v>0</v>
      </c>
      <c r="B39" s="107">
        <f>SUM(BR4:BR47)</f>
        <v>0.227419831552787</v>
      </c>
      <c r="G39" s="130">
        <v>0</v>
      </c>
      <c r="H39" s="131">
        <f>L39*J39</f>
        <v>3.5891216279918037E-2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0.45083175841455986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3.6812540367067081E-3</v>
      </c>
      <c r="BP39">
        <f t="shared" ref="BP39:BP46" si="34">BP31+1</f>
        <v>9</v>
      </c>
      <c r="BQ39">
        <v>0</v>
      </c>
      <c r="BR39" s="107">
        <f t="shared" ref="BR39:BR47" si="35">$H$34*H39</f>
        <v>8.1346751988050509E-7</v>
      </c>
    </row>
    <row r="40" spans="1:70" x14ac:dyDescent="0.25">
      <c r="G40" s="91">
        <v>1</v>
      </c>
      <c r="H40" s="132">
        <f>L39*J40+L40*J39</f>
        <v>0.13394167206785365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0.38473261229021288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1.1543421363129406E-3</v>
      </c>
      <c r="BP40">
        <f t="shared" si="34"/>
        <v>9</v>
      </c>
      <c r="BQ40">
        <v>1</v>
      </c>
      <c r="BR40" s="107">
        <f t="shared" si="35"/>
        <v>3.0357622582617492E-6</v>
      </c>
    </row>
    <row r="41" spans="1:70" x14ac:dyDescent="0.25">
      <c r="G41" s="91">
        <v>2</v>
      </c>
      <c r="H41" s="132">
        <f>L39*J41+J40*L40+J39*L41</f>
        <v>0.23283735761668781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0.13576577967955661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2.7573362781856131E-4</v>
      </c>
      <c r="BP41">
        <f t="shared" si="34"/>
        <v>9</v>
      </c>
      <c r="BQ41">
        <v>2</v>
      </c>
      <c r="BR41" s="107">
        <f t="shared" si="35"/>
        <v>5.2772139667485739E-6</v>
      </c>
    </row>
    <row r="42" spans="1:70" ht="15" customHeight="1" x14ac:dyDescent="0.25">
      <c r="G42" s="91">
        <v>3</v>
      </c>
      <c r="H42" s="132">
        <f>J42*L39+J41*L40+L42*J39+L41*J40</f>
        <v>0.25045819541552683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2.8669849615670706E-2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4.945484674607559E-5</v>
      </c>
      <c r="BP42">
        <f t="shared" si="34"/>
        <v>9</v>
      </c>
      <c r="BQ42">
        <v>3</v>
      </c>
      <c r="BR42" s="107">
        <f t="shared" si="35"/>
        <v>5.6765868693174524E-6</v>
      </c>
    </row>
    <row r="43" spans="1:70" ht="15" customHeight="1" x14ac:dyDescent="0.25">
      <c r="G43" s="91">
        <v>4</v>
      </c>
      <c r="H43" s="132">
        <f>J43*L39+J42*L40+J41*L41+J40*L42</f>
        <v>0.18649765693945197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6.4607136100902139E-6</v>
      </c>
      <c r="BP43">
        <f t="shared" si="34"/>
        <v>9</v>
      </c>
      <c r="BQ43">
        <v>4</v>
      </c>
      <c r="BR43" s="107">
        <f t="shared" si="35"/>
        <v>4.226933555855737E-6</v>
      </c>
    </row>
    <row r="44" spans="1:70" ht="15" customHeight="1" thickBot="1" x14ac:dyDescent="0.3">
      <c r="G44" s="91">
        <v>5</v>
      </c>
      <c r="H44" s="132">
        <f>J44*L39+J43*L40+J42*L41+J41*L42</f>
        <v>0.10169269462425716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1.2249613948312982E-3</v>
      </c>
      <c r="BP44">
        <f t="shared" si="34"/>
        <v>9</v>
      </c>
      <c r="BQ44">
        <v>5</v>
      </c>
      <c r="BR44" s="107">
        <f t="shared" si="35"/>
        <v>2.3048453816887188E-6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4.1800753514072017E-2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3.8411490739591634E-4</v>
      </c>
      <c r="BP45">
        <f t="shared" si="34"/>
        <v>9</v>
      </c>
      <c r="BQ45">
        <v>6</v>
      </c>
      <c r="BR45" s="107">
        <f t="shared" si="35"/>
        <v>9.4740604567514321E-7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1.3107590682356623E-2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9.1752170854442205E-5</v>
      </c>
      <c r="BP46">
        <f t="shared" si="34"/>
        <v>9</v>
      </c>
      <c r="BQ46">
        <v>7</v>
      </c>
      <c r="BR46" s="107">
        <f t="shared" si="35"/>
        <v>2.9708102397052031E-7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3.1309638772704018E-3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1.6456424209570892E-5</v>
      </c>
      <c r="BP47">
        <f>BL12+1</f>
        <v>9</v>
      </c>
      <c r="BQ47">
        <v>8</v>
      </c>
      <c r="BR47" s="107">
        <f t="shared" si="35"/>
        <v>7.0962694610705461E-8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5.6156131532783256E-4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2.1498447747718403E-6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7.336160298841875E-5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2.6336293515635676E-4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9.6181013427094607E-5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2.2974418870497614E-5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4.1206303826976387E-6</v>
      </c>
    </row>
    <row r="53" spans="1:62" x14ac:dyDescent="0.25">
      <c r="BH53">
        <f>BH48+1</f>
        <v>6</v>
      </c>
      <c r="BI53">
        <v>10</v>
      </c>
      <c r="BJ53" s="107">
        <f>$H$31*H49</f>
        <v>5.3831352328997858E-7</v>
      </c>
    </row>
    <row r="54" spans="1:62" x14ac:dyDescent="0.25">
      <c r="BH54">
        <f>BH51+1</f>
        <v>7</v>
      </c>
      <c r="BI54">
        <v>8</v>
      </c>
      <c r="BJ54" s="107">
        <f>$H$32*H47</f>
        <v>4.3921872541478401E-6</v>
      </c>
    </row>
    <row r="55" spans="1:62" x14ac:dyDescent="0.25">
      <c r="BH55">
        <f>BH52+1</f>
        <v>7</v>
      </c>
      <c r="BI55">
        <v>9</v>
      </c>
      <c r="BJ55" s="107">
        <f>$H$32*H48</f>
        <v>7.8777097031081063E-7</v>
      </c>
    </row>
    <row r="56" spans="1:62" x14ac:dyDescent="0.25">
      <c r="BH56">
        <f>BH53+1</f>
        <v>7</v>
      </c>
      <c r="BI56">
        <v>10</v>
      </c>
      <c r="BJ56" s="107">
        <f>$H$32*H49</f>
        <v>1.0291332325127269E-7</v>
      </c>
    </row>
    <row r="57" spans="1:62" x14ac:dyDescent="0.25">
      <c r="BH57">
        <f>BH55+1</f>
        <v>8</v>
      </c>
      <c r="BI57">
        <v>9</v>
      </c>
      <c r="BJ57" s="107">
        <f>$H$33*H48</f>
        <v>1.1516338270864398E-7</v>
      </c>
    </row>
    <row r="58" spans="1:62" x14ac:dyDescent="0.25">
      <c r="BH58">
        <f>BH56+1</f>
        <v>8</v>
      </c>
      <c r="BI58">
        <v>10</v>
      </c>
      <c r="BJ58" s="107">
        <f>$H$33*H49</f>
        <v>1.5044786972447876E-8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1.6627266340605477E-9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O16" sqref="O1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145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1" t="s">
        <v>135</v>
      </c>
      <c r="Q1" s="211"/>
      <c r="R1" s="152">
        <v>-0.12364059050405629</v>
      </c>
      <c r="S1" s="153">
        <f>1+R1</f>
        <v>0.87635940949594371</v>
      </c>
      <c r="U1" s="160" t="s">
        <v>144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145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147</v>
      </c>
      <c r="P2" s="165" t="s">
        <v>148</v>
      </c>
      <c r="R2" s="152">
        <v>7.3959748117051513E-2</v>
      </c>
      <c r="S2" s="153">
        <f>1+R2</f>
        <v>1.0739597481170515</v>
      </c>
      <c r="Y2" t="s">
        <v>147</v>
      </c>
      <c r="Z2" s="164" t="s">
        <v>148</v>
      </c>
    </row>
    <row r="3" spans="1:70" x14ac:dyDescent="0.25">
      <c r="A3" s="162" t="s">
        <v>108</v>
      </c>
      <c r="B3" s="213" t="s">
        <v>23</v>
      </c>
      <c r="C3" s="213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 t="s">
        <v>149</v>
      </c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0.02</v>
      </c>
      <c r="Z17" s="146" t="str">
        <f>Z3</f>
        <v>0,6</v>
      </c>
      <c r="AA17" s="19">
        <f t="shared" si="3"/>
        <v>1.2E-2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27" priority="14" operator="greaterThan">
      <formula>0.15</formula>
    </cfRule>
  </conditionalFormatting>
  <conditionalFormatting sqref="V35">
    <cfRule type="cellIs" dxfId="26" priority="13" operator="greaterThan">
      <formula>0.15</formula>
    </cfRule>
  </conditionalFormatting>
  <conditionalFormatting sqref="V49">
    <cfRule type="cellIs" dxfId="25" priority="12" operator="greaterThan">
      <formula>0.15</formula>
    </cfRule>
  </conditionalFormatting>
  <conditionalFormatting sqref="V25:V35 V39:V49">
    <cfRule type="cellIs" dxfId="24" priority="11" operator="greaterThan">
      <formula>0.15</formula>
    </cfRule>
  </conditionalFormatting>
  <conditionalFormatting sqref="V35">
    <cfRule type="cellIs" dxfId="23" priority="10" operator="greaterThan">
      <formula>0.15</formula>
    </cfRule>
  </conditionalFormatting>
  <conditionalFormatting sqref="V49">
    <cfRule type="cellIs" dxfId="22" priority="9" operator="greaterThan">
      <formula>0.15</formula>
    </cfRule>
  </conditionalFormatting>
  <conditionalFormatting sqref="H25:H35">
    <cfRule type="cellIs" dxfId="21" priority="8" operator="greaterThan">
      <formula>0.15</formula>
    </cfRule>
  </conditionalFormatting>
  <conditionalFormatting sqref="H35">
    <cfRule type="cellIs" dxfId="20" priority="7" operator="greaterThan">
      <formula>0.15</formula>
    </cfRule>
  </conditionalFormatting>
  <conditionalFormatting sqref="H25:H35">
    <cfRule type="cellIs" dxfId="19" priority="6" operator="greaterThan">
      <formula>0.15</formula>
    </cfRule>
  </conditionalFormatting>
  <conditionalFormatting sqref="H35">
    <cfRule type="cellIs" dxfId="18" priority="5" operator="greaterThan">
      <formula>0.15</formula>
    </cfRule>
  </conditionalFormatting>
  <conditionalFormatting sqref="H39:H49">
    <cfRule type="cellIs" dxfId="17" priority="4" operator="greaterThan">
      <formula>0.15</formula>
    </cfRule>
  </conditionalFormatting>
  <conditionalFormatting sqref="H49">
    <cfRule type="cellIs" dxfId="16" priority="3" operator="greaterThan">
      <formula>0.15</formula>
    </cfRule>
  </conditionalFormatting>
  <conditionalFormatting sqref="H39:H49">
    <cfRule type="cellIs" dxfId="15" priority="2" operator="greaterThan">
      <formula>0.15</formula>
    </cfRule>
  </conditionalFormatting>
  <conditionalFormatting sqref="H49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1" t="s">
        <v>135</v>
      </c>
      <c r="Q1" s="211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214" t="s">
        <v>130</v>
      </c>
      <c r="C3" s="214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13" priority="14" operator="greaterThan">
      <formula>0.15</formula>
    </cfRule>
  </conditionalFormatting>
  <conditionalFormatting sqref="V34">
    <cfRule type="cellIs" dxfId="12" priority="13" operator="greaterThan">
      <formula>0.15</formula>
    </cfRule>
  </conditionalFormatting>
  <conditionalFormatting sqref="V48">
    <cfRule type="cellIs" dxfId="11" priority="12" operator="greaterThan">
      <formula>0.15</formula>
    </cfRule>
  </conditionalFormatting>
  <conditionalFormatting sqref="V24:V34 V38:V48">
    <cfRule type="cellIs" dxfId="10" priority="11" operator="greaterThan">
      <formula>0.15</formula>
    </cfRule>
  </conditionalFormatting>
  <conditionalFormatting sqref="V34">
    <cfRule type="cellIs" dxfId="9" priority="10" operator="greaterThan">
      <formula>0.15</formula>
    </cfRule>
  </conditionalFormatting>
  <conditionalFormatting sqref="V48">
    <cfRule type="cellIs" dxfId="8" priority="9" operator="greaterThan">
      <formula>0.15</formula>
    </cfRule>
  </conditionalFormatting>
  <conditionalFormatting sqref="H24:H34">
    <cfRule type="cellIs" dxfId="7" priority="8" operator="greaterThan">
      <formula>0.15</formula>
    </cfRule>
  </conditionalFormatting>
  <conditionalFormatting sqref="H34">
    <cfRule type="cellIs" dxfId="6" priority="7" operator="greaterThan">
      <formula>0.15</formula>
    </cfRule>
  </conditionalFormatting>
  <conditionalFormatting sqref="H24:H34">
    <cfRule type="cellIs" dxfId="5" priority="6" operator="greaterThan">
      <formula>0.15</formula>
    </cfRule>
  </conditionalFormatting>
  <conditionalFormatting sqref="H34">
    <cfRule type="cellIs" dxfId="4" priority="5" operator="greaterThan">
      <formula>0.15</formula>
    </cfRule>
  </conditionalFormatting>
  <conditionalFormatting sqref="H38:H48">
    <cfRule type="cellIs" dxfId="3" priority="4" operator="greaterThan">
      <formula>0.15</formula>
    </cfRule>
  </conditionalFormatting>
  <conditionalFormatting sqref="H48">
    <cfRule type="cellIs" dxfId="2" priority="3" operator="greaterThan">
      <formula>0.15</formula>
    </cfRule>
  </conditionalFormatting>
  <conditionalFormatting sqref="H38:H48">
    <cfRule type="cellIs" dxfId="1" priority="2" operator="greaterThan">
      <formula>0.15</formula>
    </cfRule>
  </conditionalFormatting>
  <conditionalFormatting sqref="H48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goblins</vt:lpstr>
      <vt:lpstr>Goblins-OBIWAN</vt:lpstr>
      <vt:lpstr>Goblins-OBIWAN_352</vt:lpstr>
      <vt:lpstr>SIMULADOR&gt;22-12-17_v2</vt:lpstr>
      <vt:lpstr>SIMULADOR&gt;22-12-17</vt:lpstr>
      <vt:lpstr>SIMULADOR</vt:lpstr>
      <vt:lpstr>SIMULADOR_sinJC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2018-01-12T13:26:28Z</dcterms:modified>
</cp:coreProperties>
</file>