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5" activeTab="7"/>
  </bookViews>
  <sheets>
    <sheet name="RecienPromocionados" sheetId="95" r:id="rId1"/>
    <sheet name="Resistencia" sheetId="37" r:id="rId2"/>
    <sheet name="CA_Calculator" sheetId="83" r:id="rId3"/>
    <sheet name="TL_Tactica" sheetId="102" r:id="rId4"/>
    <sheet name="CAPITAN" sheetId="76" r:id="rId5"/>
    <sheet name="ENTRENADOR" sheetId="85" r:id="rId6"/>
    <sheet name="TablasEntreno" sheetId="99" r:id="rId7"/>
    <sheet name="PLANTILLA" sheetId="32" r:id="rId8"/>
    <sheet name="Evaluacion" sheetId="94" r:id="rId9"/>
    <sheet name="Eva_sinFORMA" sheetId="113" r:id="rId10"/>
    <sheet name="ENTRENAMIENTO_Rendimiento" sheetId="86" r:id="rId11"/>
    <sheet name="Resumen_Rend" sheetId="96" r:id="rId12"/>
    <sheet name="352" sheetId="105" r:id="rId13"/>
    <sheet name="541" sheetId="106" r:id="rId14"/>
    <sheet name="DEF" sheetId="108" r:id="rId15"/>
    <sheet name="JUG" sheetId="107" r:id="rId16"/>
    <sheet name="PAS" sheetId="110" r:id="rId17"/>
    <sheet name="LAT" sheetId="111" r:id="rId18"/>
    <sheet name="Hall_of_Fame" sheetId="49" r:id="rId19"/>
    <sheet name="Estadio" sheetId="3" r:id="rId20"/>
    <sheet name="V.59" sheetId="45" r:id="rId21"/>
    <sheet name="VI.192" sheetId="33" r:id="rId22"/>
    <sheet name="IV.13" sheetId="80" r:id="rId23"/>
    <sheet name="III.15" sheetId="87" r:id="rId24"/>
    <sheet name="EconomiaT40" sheetId="9" r:id="rId25"/>
    <sheet name="A-P_T40" sheetId="10" r:id="rId26"/>
    <sheet name="EconomiaT41" sheetId="39" r:id="rId27"/>
    <sheet name="A-P_T41" sheetId="40" r:id="rId28"/>
    <sheet name="EconomiaT42" sheetId="42" r:id="rId29"/>
    <sheet name="A-P_T42" sheetId="43" r:id="rId30"/>
    <sheet name="EconomiaT43" sheetId="46" r:id="rId31"/>
    <sheet name="A-P_T43" sheetId="47" r:id="rId32"/>
    <sheet name="EconomiaT44" sheetId="69" r:id="rId33"/>
    <sheet name="A-P_T44" sheetId="70" r:id="rId34"/>
    <sheet name="EconomiaT45" sheetId="78" r:id="rId35"/>
    <sheet name="A-P_T45" sheetId="79" r:id="rId36"/>
    <sheet name="EconomiaT46" sheetId="81" r:id="rId37"/>
    <sheet name="A-P_T46" sheetId="82" r:id="rId38"/>
    <sheet name="EconomiaT47" sheetId="88" r:id="rId39"/>
    <sheet name="A-P_T47" sheetId="89" r:id="rId40"/>
    <sheet name="EconomiaT48" sheetId="91" r:id="rId41"/>
    <sheet name="A-P_T48" sheetId="92" r:id="rId42"/>
    <sheet name="EconomiaT49" sheetId="100" r:id="rId43"/>
    <sheet name="A-P_T49" sheetId="101" r:id="rId44"/>
    <sheet name="EconomiaT50" sheetId="103" r:id="rId45"/>
    <sheet name="A-P_T50" sheetId="104" r:id="rId46"/>
    <sheet name="TSI-Sueldos" sheetId="38" r:id="rId47"/>
    <sheet name="Entrenamientos" sheetId="12" r:id="rId48"/>
    <sheet name="NUEVOENTRENADOR" sheetId="41" r:id="rId49"/>
    <sheet name="RiscLesió" sheetId="48" r:id="rId50"/>
    <sheet name="EMPLEADOS" sheetId="93" r:id="rId51"/>
  </sheets>
  <externalReferences>
    <externalReference r:id="rId52"/>
  </externalReferences>
  <definedNames>
    <definedName name="_xlnm._FilterDatabase" localSheetId="25" hidden="1">'A-P_T40'!$I$3:$T$49</definedName>
    <definedName name="_xlnm._FilterDatabase" localSheetId="27" hidden="1">'A-P_T41'!$I$3:$T$49</definedName>
    <definedName name="_xlnm._FilterDatabase" localSheetId="29" hidden="1">'A-P_T42'!$I$3:$T$48</definedName>
    <definedName name="_xlnm._FilterDatabase" localSheetId="31" hidden="1">'A-P_T43'!$I$3:$T$4</definedName>
    <definedName name="_xlnm._FilterDatabase" localSheetId="33" hidden="1">'A-P_T44'!$I$3:$T$4</definedName>
    <definedName name="_xlnm._FilterDatabase" localSheetId="35" hidden="1">'A-P_T45'!$I$3:$T$4</definedName>
    <definedName name="_xlnm._FilterDatabase" localSheetId="37" hidden="1">'A-P_T46'!$I$3:$T$3</definedName>
    <definedName name="_xlnm._FilterDatabase" localSheetId="39" hidden="1">'A-P_T47'!$I$3:$T$3</definedName>
    <definedName name="_xlnm._FilterDatabase" localSheetId="10" hidden="1">ENTRENAMIENTO_Rendimiento!$S$3:$Z$24</definedName>
    <definedName name="_xlnm._FilterDatabase" localSheetId="7" hidden="1">PLANTILLA!$A$4:$AL$26</definedName>
    <definedName name="_xlnm._FilterDatabase" localSheetId="0" hidden="1">RecienPromocionados!$A$4:$D$22</definedName>
  </definedNames>
  <calcPr calcId="152511"/>
</workbook>
</file>

<file path=xl/calcChain.xml><?xml version="1.0" encoding="utf-8"?>
<calcChain xmlns="http://schemas.openxmlformats.org/spreadsheetml/2006/main">
  <c r="AO21" i="32" l="1"/>
  <c r="AD21" i="32"/>
  <c r="AE21" i="32"/>
  <c r="AF21" i="32"/>
  <c r="AG21" i="32"/>
  <c r="AH21" i="32"/>
  <c r="AI21" i="32"/>
  <c r="AJ21" i="32"/>
  <c r="AK21" i="32"/>
  <c r="AL21" i="32"/>
  <c r="U21" i="32"/>
  <c r="T21" i="32"/>
  <c r="S21" i="32"/>
  <c r="AR21" i="32"/>
  <c r="P21" i="32"/>
  <c r="Q21" i="32"/>
  <c r="N21" i="32"/>
  <c r="J21" i="32"/>
  <c r="K21" i="32"/>
  <c r="L21" i="32"/>
  <c r="AQ21" i="32"/>
  <c r="L12" i="111"/>
  <c r="L12" i="110"/>
  <c r="L15" i="107"/>
  <c r="L18" i="108"/>
  <c r="L14" i="111"/>
  <c r="L14" i="110"/>
  <c r="L17" i="107"/>
  <c r="L9" i="108"/>
  <c r="L16" i="111"/>
  <c r="L5" i="110"/>
  <c r="L4" i="107"/>
  <c r="L17" i="108"/>
  <c r="L18" i="111"/>
  <c r="L17" i="110"/>
  <c r="L16" i="107"/>
  <c r="L4" i="108"/>
  <c r="W17" i="32"/>
  <c r="L9" i="111"/>
  <c r="L9" i="110"/>
  <c r="L8" i="107"/>
  <c r="L12" i="108"/>
  <c r="L6" i="111"/>
  <c r="L10" i="110"/>
  <c r="L10" i="107"/>
  <c r="L13" i="108"/>
  <c r="L15" i="111"/>
  <c r="L4" i="110"/>
  <c r="L7" i="107"/>
  <c r="L16" i="108"/>
  <c r="L4" i="111"/>
  <c r="L15" i="110"/>
  <c r="L12" i="107"/>
  <c r="L6" i="108"/>
  <c r="L8" i="111"/>
  <c r="L11" i="110"/>
  <c r="L11" i="107"/>
  <c r="L5" i="108"/>
  <c r="L7" i="108"/>
  <c r="L8" i="108"/>
  <c r="L11" i="111"/>
  <c r="L7" i="110"/>
  <c r="L5" i="107"/>
  <c r="L14" i="108"/>
  <c r="W15" i="32"/>
  <c r="Y13" i="111"/>
  <c r="L13" i="111"/>
  <c r="L6" i="110"/>
  <c r="L6" i="107"/>
  <c r="Z11" i="108"/>
  <c r="L11" i="108"/>
  <c r="L10" i="111"/>
  <c r="L8" i="110"/>
  <c r="L9" i="107"/>
  <c r="L15" i="108"/>
  <c r="L5" i="111"/>
  <c r="Y10" i="32"/>
  <c r="Z18" i="110"/>
  <c r="L18" i="110"/>
  <c r="L13" i="107"/>
  <c r="L7" i="111"/>
  <c r="Z16" i="110"/>
  <c r="Y16" i="110"/>
  <c r="L16" i="110"/>
  <c r="L14" i="107"/>
  <c r="L10" i="108"/>
  <c r="W5" i="32"/>
  <c r="L17" i="111"/>
  <c r="Y17" i="111" s="1"/>
  <c r="Z13" i="110"/>
  <c r="Y13" i="110"/>
  <c r="Z18" i="107"/>
  <c r="Y18" i="107"/>
  <c r="M22" i="111"/>
  <c r="N22" i="111"/>
  <c r="R22" i="111"/>
  <c r="S22" i="111"/>
  <c r="U22" i="111"/>
  <c r="V22" i="111"/>
  <c r="W22" i="111"/>
  <c r="X22" i="111"/>
  <c r="A19" i="111"/>
  <c r="B19" i="111"/>
  <c r="C19" i="111"/>
  <c r="A14" i="111"/>
  <c r="B14" i="111"/>
  <c r="C14" i="111"/>
  <c r="A4" i="111"/>
  <c r="B4" i="111"/>
  <c r="C4" i="111"/>
  <c r="A7" i="111"/>
  <c r="B7" i="111"/>
  <c r="C7" i="111"/>
  <c r="A5" i="111"/>
  <c r="B5" i="111"/>
  <c r="C5" i="111"/>
  <c r="A20" i="111"/>
  <c r="B20" i="111"/>
  <c r="C20" i="111"/>
  <c r="A8" i="111"/>
  <c r="B8" i="111"/>
  <c r="C8" i="111"/>
  <c r="A9" i="111"/>
  <c r="B9" i="111"/>
  <c r="C9" i="111"/>
  <c r="A6" i="111"/>
  <c r="B6" i="111"/>
  <c r="C6" i="111"/>
  <c r="A11" i="111"/>
  <c r="B11" i="111"/>
  <c r="C11" i="111"/>
  <c r="A10" i="111"/>
  <c r="B10" i="111"/>
  <c r="C10" i="111"/>
  <c r="A18" i="111"/>
  <c r="B18" i="111"/>
  <c r="C18" i="111"/>
  <c r="A13" i="111"/>
  <c r="B13" i="111"/>
  <c r="C13" i="111"/>
  <c r="A21" i="111"/>
  <c r="B21" i="111"/>
  <c r="C21" i="111"/>
  <c r="A22" i="111"/>
  <c r="B22" i="111"/>
  <c r="C22" i="111"/>
  <c r="A15" i="111"/>
  <c r="B15" i="111"/>
  <c r="C15" i="111"/>
  <c r="A12" i="111"/>
  <c r="B12" i="111"/>
  <c r="C12" i="111"/>
  <c r="A16" i="111"/>
  <c r="B16" i="111"/>
  <c r="C16" i="111"/>
  <c r="E19" i="111"/>
  <c r="F19" i="111"/>
  <c r="G19" i="111"/>
  <c r="H19" i="111"/>
  <c r="I19" i="111"/>
  <c r="J19" i="111"/>
  <c r="K19" i="111"/>
  <c r="E14" i="111"/>
  <c r="F14" i="111"/>
  <c r="G14" i="111"/>
  <c r="H14" i="111"/>
  <c r="I14" i="111"/>
  <c r="J14" i="111"/>
  <c r="K14" i="111"/>
  <c r="E4" i="111"/>
  <c r="F4" i="111"/>
  <c r="G4" i="111"/>
  <c r="H4" i="111"/>
  <c r="I4" i="111"/>
  <c r="J4" i="111"/>
  <c r="K4" i="111"/>
  <c r="E7" i="111"/>
  <c r="F7" i="111"/>
  <c r="G7" i="111"/>
  <c r="H7" i="111"/>
  <c r="I7" i="111"/>
  <c r="J7" i="111"/>
  <c r="K7" i="111"/>
  <c r="E5" i="111"/>
  <c r="F5" i="111"/>
  <c r="G5" i="111"/>
  <c r="H5" i="111"/>
  <c r="I5" i="111"/>
  <c r="J5" i="111"/>
  <c r="K5" i="111"/>
  <c r="E20" i="111"/>
  <c r="F20" i="111"/>
  <c r="G20" i="111"/>
  <c r="H20" i="111"/>
  <c r="I20" i="111"/>
  <c r="J20" i="111"/>
  <c r="K20" i="111"/>
  <c r="E8" i="111"/>
  <c r="F8" i="111"/>
  <c r="G8" i="111"/>
  <c r="H8" i="111"/>
  <c r="I8" i="111"/>
  <c r="J8" i="111"/>
  <c r="K8" i="111"/>
  <c r="E9" i="111"/>
  <c r="F9" i="111"/>
  <c r="G9" i="111"/>
  <c r="H9" i="111"/>
  <c r="I9" i="111"/>
  <c r="J9" i="111"/>
  <c r="K9" i="111"/>
  <c r="E6" i="111"/>
  <c r="F6" i="111"/>
  <c r="G6" i="111"/>
  <c r="H6" i="111"/>
  <c r="I6" i="111"/>
  <c r="J6" i="111"/>
  <c r="K6" i="111"/>
  <c r="E11" i="111"/>
  <c r="F11" i="111"/>
  <c r="G11" i="111"/>
  <c r="H11" i="111"/>
  <c r="I11" i="111"/>
  <c r="J11" i="111"/>
  <c r="K11" i="111"/>
  <c r="E10" i="111"/>
  <c r="F10" i="111"/>
  <c r="G10" i="111"/>
  <c r="H10" i="111"/>
  <c r="I10" i="111"/>
  <c r="J10" i="111"/>
  <c r="K10" i="111"/>
  <c r="E18" i="111"/>
  <c r="F18" i="111"/>
  <c r="G18" i="111"/>
  <c r="H18" i="111"/>
  <c r="I18" i="111"/>
  <c r="J18" i="111"/>
  <c r="K18" i="111"/>
  <c r="E13" i="111"/>
  <c r="F13" i="111"/>
  <c r="G13" i="111"/>
  <c r="H13" i="111"/>
  <c r="I13" i="111"/>
  <c r="J13" i="111"/>
  <c r="K13" i="111"/>
  <c r="E21" i="111"/>
  <c r="F21" i="111"/>
  <c r="G21" i="111"/>
  <c r="H21" i="111"/>
  <c r="I21" i="111"/>
  <c r="J21" i="111"/>
  <c r="K21" i="111"/>
  <c r="E22" i="111"/>
  <c r="F22" i="111"/>
  <c r="G22" i="111"/>
  <c r="H22" i="111"/>
  <c r="I22" i="111"/>
  <c r="J22" i="111"/>
  <c r="K22" i="111"/>
  <c r="E15" i="111"/>
  <c r="F15" i="111"/>
  <c r="G15" i="111"/>
  <c r="H15" i="111"/>
  <c r="I15" i="111"/>
  <c r="J15" i="111"/>
  <c r="K15" i="111"/>
  <c r="E12" i="111"/>
  <c r="F12" i="111"/>
  <c r="G12" i="111"/>
  <c r="H12" i="111"/>
  <c r="I12" i="111"/>
  <c r="J12" i="111"/>
  <c r="K12" i="111"/>
  <c r="E16" i="111"/>
  <c r="F16" i="111"/>
  <c r="G16" i="111"/>
  <c r="H16" i="111"/>
  <c r="I16" i="111"/>
  <c r="J16" i="111"/>
  <c r="K16" i="111"/>
  <c r="F17" i="111"/>
  <c r="G17" i="111"/>
  <c r="H17" i="111"/>
  <c r="I17" i="111"/>
  <c r="J17" i="111"/>
  <c r="K17" i="111"/>
  <c r="E17" i="111"/>
  <c r="C17" i="111"/>
  <c r="B17" i="111"/>
  <c r="A17" i="111"/>
  <c r="E3" i="111"/>
  <c r="D3" i="111"/>
  <c r="C3" i="111"/>
  <c r="B3" i="111"/>
  <c r="A19" i="110"/>
  <c r="B19" i="110"/>
  <c r="C19" i="110"/>
  <c r="E19" i="110"/>
  <c r="F19" i="110"/>
  <c r="G19" i="110"/>
  <c r="H19" i="110"/>
  <c r="I19" i="110"/>
  <c r="J19" i="110"/>
  <c r="K19" i="110"/>
  <c r="A14" i="110"/>
  <c r="B14" i="110"/>
  <c r="C14" i="110"/>
  <c r="E14" i="110"/>
  <c r="F14" i="110"/>
  <c r="G14" i="110"/>
  <c r="H14" i="110"/>
  <c r="I14" i="110"/>
  <c r="J14" i="110"/>
  <c r="K14" i="110"/>
  <c r="A15" i="110"/>
  <c r="B15" i="110"/>
  <c r="C15" i="110"/>
  <c r="E15" i="110"/>
  <c r="F15" i="110"/>
  <c r="G15" i="110"/>
  <c r="H15" i="110"/>
  <c r="I15" i="110"/>
  <c r="J15" i="110"/>
  <c r="K15" i="110"/>
  <c r="A16" i="110"/>
  <c r="B16" i="110"/>
  <c r="C16" i="110"/>
  <c r="E16" i="110"/>
  <c r="F16" i="110"/>
  <c r="G16" i="110"/>
  <c r="H16" i="110"/>
  <c r="I16" i="110"/>
  <c r="J16" i="110"/>
  <c r="K16" i="110"/>
  <c r="A18" i="110"/>
  <c r="B18" i="110"/>
  <c r="C18" i="110"/>
  <c r="E18" i="110"/>
  <c r="F18" i="110"/>
  <c r="G18" i="110"/>
  <c r="H18" i="110"/>
  <c r="I18" i="110"/>
  <c r="J18" i="110"/>
  <c r="K18" i="110"/>
  <c r="A20" i="110"/>
  <c r="B20" i="110"/>
  <c r="C20" i="110"/>
  <c r="E20" i="110"/>
  <c r="F20" i="110"/>
  <c r="G20" i="110"/>
  <c r="H20" i="110"/>
  <c r="I20" i="110"/>
  <c r="J20" i="110"/>
  <c r="K20" i="110"/>
  <c r="A11" i="110"/>
  <c r="B11" i="110"/>
  <c r="C11" i="110"/>
  <c r="E11" i="110"/>
  <c r="F11" i="110"/>
  <c r="G11" i="110"/>
  <c r="H11" i="110"/>
  <c r="I11" i="110"/>
  <c r="J11" i="110"/>
  <c r="K11" i="110"/>
  <c r="A9" i="110"/>
  <c r="B9" i="110"/>
  <c r="C9" i="110"/>
  <c r="E9" i="110"/>
  <c r="F9" i="110"/>
  <c r="G9" i="110"/>
  <c r="H9" i="110"/>
  <c r="I9" i="110"/>
  <c r="J9" i="110"/>
  <c r="K9" i="110"/>
  <c r="A10" i="110"/>
  <c r="B10" i="110"/>
  <c r="C10" i="110"/>
  <c r="E10" i="110"/>
  <c r="F10" i="110"/>
  <c r="G10" i="110"/>
  <c r="H10" i="110"/>
  <c r="I10" i="110"/>
  <c r="J10" i="110"/>
  <c r="K10" i="110"/>
  <c r="A7" i="110"/>
  <c r="B7" i="110"/>
  <c r="C7" i="110"/>
  <c r="E7" i="110"/>
  <c r="F7" i="110"/>
  <c r="G7" i="110"/>
  <c r="H7" i="110"/>
  <c r="I7" i="110"/>
  <c r="J7" i="110"/>
  <c r="K7" i="110"/>
  <c r="A8" i="110"/>
  <c r="B8" i="110"/>
  <c r="C8" i="110"/>
  <c r="E8" i="110"/>
  <c r="F8" i="110"/>
  <c r="G8" i="110"/>
  <c r="H8" i="110"/>
  <c r="I8" i="110"/>
  <c r="J8" i="110"/>
  <c r="K8" i="110"/>
  <c r="A17" i="110"/>
  <c r="B17" i="110"/>
  <c r="C17" i="110"/>
  <c r="E17" i="110"/>
  <c r="F17" i="110"/>
  <c r="G17" i="110"/>
  <c r="H17" i="110"/>
  <c r="I17" i="110"/>
  <c r="J17" i="110"/>
  <c r="K17" i="110"/>
  <c r="A6" i="110"/>
  <c r="B6" i="110"/>
  <c r="C6" i="110"/>
  <c r="E6" i="110"/>
  <c r="F6" i="110"/>
  <c r="G6" i="110"/>
  <c r="H6" i="110"/>
  <c r="I6" i="110"/>
  <c r="J6" i="110"/>
  <c r="K6" i="110"/>
  <c r="A21" i="110"/>
  <c r="B21" i="110"/>
  <c r="C21" i="110"/>
  <c r="E21" i="110"/>
  <c r="F21" i="110"/>
  <c r="G21" i="110"/>
  <c r="H21" i="110"/>
  <c r="I21" i="110"/>
  <c r="J21" i="110"/>
  <c r="K21" i="110"/>
  <c r="A22" i="110"/>
  <c r="B22" i="110"/>
  <c r="C22" i="110"/>
  <c r="E22" i="110"/>
  <c r="F22" i="110"/>
  <c r="G22" i="110"/>
  <c r="H22" i="110"/>
  <c r="I22" i="110"/>
  <c r="J22" i="110"/>
  <c r="K22" i="110"/>
  <c r="A4" i="110"/>
  <c r="B4" i="110"/>
  <c r="C4" i="110"/>
  <c r="E4" i="110"/>
  <c r="F4" i="110"/>
  <c r="G4" i="110"/>
  <c r="H4" i="110"/>
  <c r="I4" i="110"/>
  <c r="J4" i="110"/>
  <c r="K4" i="110"/>
  <c r="A12" i="110"/>
  <c r="B12" i="110"/>
  <c r="C12" i="110"/>
  <c r="E12" i="110"/>
  <c r="F12" i="110"/>
  <c r="G12" i="110"/>
  <c r="H12" i="110"/>
  <c r="I12" i="110"/>
  <c r="J12" i="110"/>
  <c r="K12" i="110"/>
  <c r="A5" i="110"/>
  <c r="B5" i="110"/>
  <c r="C5" i="110"/>
  <c r="E5" i="110"/>
  <c r="F5" i="110"/>
  <c r="G5" i="110"/>
  <c r="H5" i="110"/>
  <c r="I5" i="110"/>
  <c r="J5" i="110"/>
  <c r="K5" i="110"/>
  <c r="F13" i="110"/>
  <c r="G13" i="110"/>
  <c r="H13" i="110"/>
  <c r="I13" i="110"/>
  <c r="J13" i="110"/>
  <c r="K13" i="110"/>
  <c r="E13" i="110"/>
  <c r="C13" i="110"/>
  <c r="B13" i="110"/>
  <c r="A13" i="110"/>
  <c r="E3" i="110"/>
  <c r="D3" i="110"/>
  <c r="C3" i="110"/>
  <c r="B3" i="110"/>
  <c r="E19" i="107"/>
  <c r="F19" i="107"/>
  <c r="G19" i="107"/>
  <c r="H19" i="107"/>
  <c r="I19" i="107"/>
  <c r="J19" i="107"/>
  <c r="K19" i="107"/>
  <c r="E17" i="107"/>
  <c r="F17" i="107"/>
  <c r="G17" i="107"/>
  <c r="H17" i="107"/>
  <c r="I17" i="107"/>
  <c r="J17" i="107"/>
  <c r="K17" i="107"/>
  <c r="E12" i="107"/>
  <c r="F12" i="107"/>
  <c r="G12" i="107"/>
  <c r="H12" i="107"/>
  <c r="I12" i="107"/>
  <c r="J12" i="107"/>
  <c r="K12" i="107"/>
  <c r="E14" i="107"/>
  <c r="F14" i="107"/>
  <c r="G14" i="107"/>
  <c r="H14" i="107"/>
  <c r="I14" i="107"/>
  <c r="J14" i="107"/>
  <c r="K14" i="107"/>
  <c r="E13" i="107"/>
  <c r="F13" i="107"/>
  <c r="G13" i="107"/>
  <c r="H13" i="107"/>
  <c r="I13" i="107"/>
  <c r="J13" i="107"/>
  <c r="K13" i="107"/>
  <c r="E20" i="107"/>
  <c r="F20" i="107"/>
  <c r="G20" i="107"/>
  <c r="H20" i="107"/>
  <c r="I20" i="107"/>
  <c r="J20" i="107"/>
  <c r="K20" i="107"/>
  <c r="E11" i="107"/>
  <c r="F11" i="107"/>
  <c r="G11" i="107"/>
  <c r="H11" i="107"/>
  <c r="I11" i="107"/>
  <c r="J11" i="107"/>
  <c r="K11" i="107"/>
  <c r="E8" i="107"/>
  <c r="F8" i="107"/>
  <c r="G8" i="107"/>
  <c r="H8" i="107"/>
  <c r="I8" i="107"/>
  <c r="J8" i="107"/>
  <c r="K8" i="107"/>
  <c r="E10" i="107"/>
  <c r="F10" i="107"/>
  <c r="G10" i="107"/>
  <c r="H10" i="107"/>
  <c r="I10" i="107"/>
  <c r="J10" i="107"/>
  <c r="K10" i="107"/>
  <c r="E5" i="107"/>
  <c r="F5" i="107"/>
  <c r="G5" i="107"/>
  <c r="H5" i="107"/>
  <c r="I5" i="107"/>
  <c r="J5" i="107"/>
  <c r="K5" i="107"/>
  <c r="E9" i="107"/>
  <c r="F9" i="107"/>
  <c r="G9" i="107"/>
  <c r="H9" i="107"/>
  <c r="I9" i="107"/>
  <c r="J9" i="107"/>
  <c r="K9" i="107"/>
  <c r="E16" i="107"/>
  <c r="F16" i="107"/>
  <c r="G16" i="107"/>
  <c r="H16" i="107"/>
  <c r="I16" i="107"/>
  <c r="J16" i="107"/>
  <c r="K16" i="107"/>
  <c r="E6" i="107"/>
  <c r="F6" i="107"/>
  <c r="G6" i="107"/>
  <c r="H6" i="107"/>
  <c r="I6" i="107"/>
  <c r="J6" i="107"/>
  <c r="K6" i="107"/>
  <c r="E21" i="107"/>
  <c r="F21" i="107"/>
  <c r="G21" i="107"/>
  <c r="H21" i="107"/>
  <c r="I21" i="107"/>
  <c r="J21" i="107"/>
  <c r="K21" i="107"/>
  <c r="E22" i="107"/>
  <c r="F22" i="107"/>
  <c r="G22" i="107"/>
  <c r="H22" i="107"/>
  <c r="I22" i="107"/>
  <c r="J22" i="107"/>
  <c r="K22" i="107"/>
  <c r="E7" i="107"/>
  <c r="F7" i="107"/>
  <c r="G7" i="107"/>
  <c r="H7" i="107"/>
  <c r="I7" i="107"/>
  <c r="J7" i="107"/>
  <c r="K7" i="107"/>
  <c r="E15" i="107"/>
  <c r="F15" i="107"/>
  <c r="G15" i="107"/>
  <c r="H15" i="107"/>
  <c r="I15" i="107"/>
  <c r="J15" i="107"/>
  <c r="K15" i="107"/>
  <c r="E4" i="107"/>
  <c r="F4" i="107"/>
  <c r="G4" i="107"/>
  <c r="H4" i="107"/>
  <c r="I4" i="107"/>
  <c r="J4" i="107"/>
  <c r="K4" i="107"/>
  <c r="F18" i="107"/>
  <c r="G18" i="107"/>
  <c r="H18" i="107"/>
  <c r="I18" i="107"/>
  <c r="J18" i="107"/>
  <c r="K18" i="107"/>
  <c r="E18" i="107"/>
  <c r="A15" i="107"/>
  <c r="A4" i="107"/>
  <c r="B4" i="107"/>
  <c r="C4" i="107"/>
  <c r="B19" i="107"/>
  <c r="C19" i="107"/>
  <c r="B17" i="107"/>
  <c r="C17" i="107"/>
  <c r="B12" i="107"/>
  <c r="C12" i="107"/>
  <c r="B14" i="107"/>
  <c r="C14" i="107"/>
  <c r="B13" i="107"/>
  <c r="C13" i="107"/>
  <c r="B20" i="107"/>
  <c r="C20" i="107"/>
  <c r="B11" i="107"/>
  <c r="C11" i="107"/>
  <c r="B8" i="107"/>
  <c r="C8" i="107"/>
  <c r="B10" i="107"/>
  <c r="C10" i="107"/>
  <c r="B5" i="107"/>
  <c r="C5" i="107"/>
  <c r="B9" i="107"/>
  <c r="C9" i="107"/>
  <c r="B16" i="107"/>
  <c r="C16" i="107"/>
  <c r="B6" i="107"/>
  <c r="C6" i="107"/>
  <c r="B21" i="107"/>
  <c r="C21" i="107"/>
  <c r="B22" i="107"/>
  <c r="C22" i="107"/>
  <c r="B7" i="107"/>
  <c r="C7" i="107"/>
  <c r="B15" i="107"/>
  <c r="C15" i="107"/>
  <c r="C18" i="107"/>
  <c r="B18" i="107"/>
  <c r="A19" i="107"/>
  <c r="A17" i="107"/>
  <c r="A12" i="107"/>
  <c r="A14" i="107"/>
  <c r="A13" i="107"/>
  <c r="A20" i="107"/>
  <c r="A11" i="107"/>
  <c r="A8" i="107"/>
  <c r="A10" i="107"/>
  <c r="A5" i="107"/>
  <c r="A9" i="107"/>
  <c r="A16" i="107"/>
  <c r="A6" i="107"/>
  <c r="A21" i="107"/>
  <c r="A22" i="107"/>
  <c r="A7" i="107"/>
  <c r="A18" i="107"/>
  <c r="N7" i="108"/>
  <c r="N5" i="108"/>
  <c r="N15" i="108"/>
  <c r="N11" i="108"/>
  <c r="N14" i="108"/>
  <c r="N8" i="108"/>
  <c r="N6" i="108"/>
  <c r="N16" i="108"/>
  <c r="N13" i="108"/>
  <c r="N12" i="108"/>
  <c r="N4" i="108"/>
  <c r="N19" i="108"/>
  <c r="N20" i="108"/>
  <c r="N17" i="108"/>
  <c r="N21" i="108"/>
  <c r="N9" i="108"/>
  <c r="N18" i="108"/>
  <c r="N22" i="108"/>
  <c r="A18" i="108"/>
  <c r="A22" i="108"/>
  <c r="A21" i="108"/>
  <c r="A17" i="108"/>
  <c r="A16" i="108"/>
  <c r="A20" i="108"/>
  <c r="A19" i="108"/>
  <c r="A15" i="108"/>
  <c r="A14" i="108"/>
  <c r="A12" i="108"/>
  <c r="A13" i="108"/>
  <c r="A10" i="108"/>
  <c r="A11" i="108"/>
  <c r="A9" i="108"/>
  <c r="A8" i="108"/>
  <c r="A5" i="108"/>
  <c r="A6" i="108"/>
  <c r="A7" i="108"/>
  <c r="A4" i="108"/>
  <c r="Z17" i="111" l="1"/>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8" i="113"/>
  <c r="AN38" i="113" s="1"/>
  <c r="R38" i="113"/>
  <c r="S38" i="113"/>
  <c r="T38" i="113"/>
  <c r="U38" i="113"/>
  <c r="V38" i="113"/>
  <c r="X38" i="113" s="1"/>
  <c r="W38" i="113"/>
  <c r="Y38" i="113"/>
  <c r="AA38" i="113" s="1"/>
  <c r="Z38" i="113"/>
  <c r="AB38" i="113"/>
  <c r="AC38" i="113"/>
  <c r="AE38" i="113" s="1"/>
  <c r="AD38" i="113"/>
  <c r="AF38" i="113"/>
  <c r="AG38" i="113"/>
  <c r="AH38" i="113"/>
  <c r="AI38" i="113"/>
  <c r="AJ38" i="113"/>
  <c r="AK38" i="113"/>
  <c r="AL38" i="113"/>
  <c r="AM38" i="113"/>
  <c r="AO38" i="113"/>
  <c r="AP38" i="113"/>
  <c r="AQ38" i="113"/>
  <c r="AR38" i="113"/>
  <c r="AS38" i="113"/>
  <c r="AT38" i="113"/>
  <c r="AU38" i="113"/>
  <c r="AV38" i="113"/>
  <c r="AX38" i="113" s="1"/>
  <c r="AW38" i="113"/>
  <c r="AY38" i="113"/>
  <c r="AZ38" i="113"/>
  <c r="BB38" i="113" s="1"/>
  <c r="BA38" i="113"/>
  <c r="BC38" i="113"/>
  <c r="BD38" i="113"/>
  <c r="BE38" i="113"/>
  <c r="BF38" i="113"/>
  <c r="BG38" i="113"/>
  <c r="BH38" i="113"/>
  <c r="BI38" i="113"/>
  <c r="BJ38" i="113"/>
  <c r="BK38" i="113"/>
  <c r="BL38" i="113"/>
  <c r="BM38" i="113"/>
  <c r="BN38" i="113"/>
  <c r="BO38" i="113"/>
  <c r="BP38" i="113"/>
  <c r="BQ38" i="113"/>
  <c r="BR38" i="113"/>
  <c r="BS38" i="113"/>
  <c r="BT38" i="113"/>
  <c r="BU38" i="113"/>
  <c r="BV38" i="113"/>
  <c r="CB38" i="113"/>
  <c r="CC38" i="113"/>
  <c r="CE38" i="113" s="1"/>
  <c r="CD38" i="113"/>
  <c r="CF38" i="113"/>
  <c r="CH38" i="113" s="1"/>
  <c r="CG38" i="113"/>
  <c r="CI38" i="113"/>
  <c r="Q23" i="113"/>
  <c r="R23" i="113"/>
  <c r="S23" i="113"/>
  <c r="T23" i="113"/>
  <c r="U23" i="113"/>
  <c r="V23" i="113"/>
  <c r="X23" i="113" s="1"/>
  <c r="W23" i="113"/>
  <c r="Y23" i="113"/>
  <c r="AA23" i="113" s="1"/>
  <c r="Z23" i="113"/>
  <c r="AB23" i="113"/>
  <c r="AC23" i="113"/>
  <c r="AE23" i="113" s="1"/>
  <c r="AD23" i="113"/>
  <c r="AF23" i="113"/>
  <c r="AG23" i="113"/>
  <c r="AH23" i="113"/>
  <c r="AI23" i="113"/>
  <c r="AJ23" i="113"/>
  <c r="AK23" i="113"/>
  <c r="AL23" i="113"/>
  <c r="AM23" i="113"/>
  <c r="AN23" i="113"/>
  <c r="AO23" i="113"/>
  <c r="AQ23" i="113" s="1"/>
  <c r="AP23" i="113"/>
  <c r="AR23" i="113"/>
  <c r="AS23" i="113"/>
  <c r="AU23" i="113" s="1"/>
  <c r="AT23" i="113"/>
  <c r="AV23" i="113"/>
  <c r="AX23" i="113" s="1"/>
  <c r="AW23" i="113"/>
  <c r="AY23" i="113"/>
  <c r="AZ23" i="113"/>
  <c r="BB23" i="113" s="1"/>
  <c r="BA23" i="113"/>
  <c r="BC23" i="113"/>
  <c r="BD23" i="113"/>
  <c r="BE23" i="113"/>
  <c r="BF23" i="113"/>
  <c r="BG23" i="113"/>
  <c r="BH23" i="113"/>
  <c r="BI23" i="113"/>
  <c r="BJ23" i="113"/>
  <c r="BK23" i="113"/>
  <c r="BL23" i="113"/>
  <c r="BM23" i="113"/>
  <c r="BN23" i="113"/>
  <c r="BO23" i="113"/>
  <c r="BP23" i="113"/>
  <c r="BQ23" i="113"/>
  <c r="BR23" i="113"/>
  <c r="BS23" i="113"/>
  <c r="BT23" i="113"/>
  <c r="BU23" i="113"/>
  <c r="BV23" i="113"/>
  <c r="CB23" i="113"/>
  <c r="CC23" i="113"/>
  <c r="CE23" i="113" s="1"/>
  <c r="CD23" i="113"/>
  <c r="CF23" i="113"/>
  <c r="CH23" i="113" s="1"/>
  <c r="CG23" i="113"/>
  <c r="CI23"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6" i="113"/>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N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N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32" i="113"/>
  <c r="AN32" i="113" s="1"/>
  <c r="R32" i="113"/>
  <c r="S32" i="113"/>
  <c r="T32" i="113"/>
  <c r="U32" i="113"/>
  <c r="V32" i="113"/>
  <c r="X32" i="113" s="1"/>
  <c r="W32" i="113"/>
  <c r="Y32" i="113"/>
  <c r="Z32" i="113"/>
  <c r="AA32" i="113"/>
  <c r="AB32" i="113"/>
  <c r="AC32" i="113"/>
  <c r="AD32" i="113"/>
  <c r="AE32" i="113"/>
  <c r="AF32" i="113"/>
  <c r="AG32" i="113"/>
  <c r="AH32" i="113"/>
  <c r="AI32" i="113"/>
  <c r="AJ32" i="113"/>
  <c r="AK32" i="113"/>
  <c r="AL32" i="113"/>
  <c r="AM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6" i="113"/>
  <c r="R36" i="113"/>
  <c r="S36" i="113"/>
  <c r="T36" i="113"/>
  <c r="U36" i="113"/>
  <c r="V36" i="113"/>
  <c r="X36" i="113" s="1"/>
  <c r="W36" i="113"/>
  <c r="Y36" i="113"/>
  <c r="AA36" i="113" s="1"/>
  <c r="Z36" i="113"/>
  <c r="AB36" i="113"/>
  <c r="AC36" i="113"/>
  <c r="AE36" i="113" s="1"/>
  <c r="AD36" i="113"/>
  <c r="AF36" i="113"/>
  <c r="AG36" i="113"/>
  <c r="AH36" i="113"/>
  <c r="AI36" i="113"/>
  <c r="AJ36" i="113"/>
  <c r="AK36" i="113"/>
  <c r="AL36" i="113"/>
  <c r="AM36" i="113"/>
  <c r="AN36" i="113"/>
  <c r="AO36" i="113"/>
  <c r="AQ36" i="113" s="1"/>
  <c r="AP36" i="113"/>
  <c r="AR36" i="113"/>
  <c r="AS36" i="113"/>
  <c r="AU36" i="113" s="1"/>
  <c r="AT36" i="113"/>
  <c r="AV36" i="113"/>
  <c r="AX36" i="113" s="1"/>
  <c r="AW36" i="113"/>
  <c r="AY36" i="113"/>
  <c r="AZ36" i="113"/>
  <c r="BB36" i="113" s="1"/>
  <c r="BA36" i="113"/>
  <c r="BC36" i="113"/>
  <c r="BD36" i="113"/>
  <c r="BE36" i="113"/>
  <c r="BF36" i="113"/>
  <c r="BG36" i="113"/>
  <c r="BH36" i="113"/>
  <c r="BI36" i="113"/>
  <c r="BJ36" i="113"/>
  <c r="BK36" i="113"/>
  <c r="BL36" i="113"/>
  <c r="BM36" i="113"/>
  <c r="BN36" i="113"/>
  <c r="BO36" i="113"/>
  <c r="BP36" i="113"/>
  <c r="BQ36" i="113"/>
  <c r="BR36" i="113"/>
  <c r="BS36" i="113"/>
  <c r="BT36" i="113"/>
  <c r="BU36" i="113"/>
  <c r="BV36" i="113"/>
  <c r="CB36" i="113"/>
  <c r="CC36" i="113"/>
  <c r="CE36" i="113" s="1"/>
  <c r="CD36" i="113"/>
  <c r="CF36" i="113"/>
  <c r="CH36" i="113" s="1"/>
  <c r="CG36" i="113"/>
  <c r="CI36" i="113"/>
  <c r="Q37" i="113"/>
  <c r="AN37" i="113" s="1"/>
  <c r="R37" i="113"/>
  <c r="S37" i="113"/>
  <c r="T37" i="113"/>
  <c r="U37" i="113"/>
  <c r="V37" i="113"/>
  <c r="X37" i="113" s="1"/>
  <c r="W37" i="113"/>
  <c r="Y37" i="113"/>
  <c r="AA37" i="113" s="1"/>
  <c r="Z37" i="113"/>
  <c r="AB37" i="113"/>
  <c r="AC37" i="113"/>
  <c r="AE37" i="113" s="1"/>
  <c r="AD37" i="113"/>
  <c r="AF37" i="113"/>
  <c r="AG37" i="113"/>
  <c r="AH37" i="113"/>
  <c r="AI37" i="113"/>
  <c r="AJ37" i="113"/>
  <c r="AK37" i="113"/>
  <c r="AL37" i="113"/>
  <c r="AM37" i="113"/>
  <c r="AO37" i="113"/>
  <c r="AQ37" i="113" s="1"/>
  <c r="AP37" i="113"/>
  <c r="AR37" i="113"/>
  <c r="AS37" i="113"/>
  <c r="AU37" i="113" s="1"/>
  <c r="AT37" i="113"/>
  <c r="AV37" i="113"/>
  <c r="AX37" i="113" s="1"/>
  <c r="AW37" i="113"/>
  <c r="AY37" i="113"/>
  <c r="AZ37" i="113"/>
  <c r="BB37" i="113" s="1"/>
  <c r="BA37" i="113"/>
  <c r="BC37" i="113"/>
  <c r="BD37" i="113"/>
  <c r="BE37" i="113"/>
  <c r="BF37" i="113"/>
  <c r="BG37" i="113"/>
  <c r="BH37" i="113"/>
  <c r="BI37" i="113"/>
  <c r="BJ37" i="113"/>
  <c r="BK37" i="113"/>
  <c r="BL37" i="113"/>
  <c r="BM37" i="113"/>
  <c r="BN37" i="113"/>
  <c r="BO37" i="113"/>
  <c r="BP37" i="113"/>
  <c r="BQ37" i="113"/>
  <c r="BR37" i="113"/>
  <c r="BS37" i="113"/>
  <c r="BT37" i="113"/>
  <c r="BU37" i="113"/>
  <c r="BV37" i="113"/>
  <c r="CB37" i="113"/>
  <c r="CC37" i="113"/>
  <c r="CE37" i="113" s="1"/>
  <c r="CD37" i="113"/>
  <c r="CF37" i="113"/>
  <c r="CH37" i="113" s="1"/>
  <c r="CG37" i="113"/>
  <c r="CI37"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Q39" i="113"/>
  <c r="R39" i="113"/>
  <c r="S39" i="113"/>
  <c r="T39" i="113"/>
  <c r="U39" i="113"/>
  <c r="V39" i="113"/>
  <c r="X39" i="113" s="1"/>
  <c r="W39" i="113"/>
  <c r="Y39" i="113"/>
  <c r="AA39" i="113" s="1"/>
  <c r="Z39" i="113"/>
  <c r="AB39" i="113"/>
  <c r="AC39" i="113"/>
  <c r="AE39" i="113" s="1"/>
  <c r="AD39" i="113"/>
  <c r="AF39" i="113"/>
  <c r="AG39" i="113"/>
  <c r="AH39" i="113"/>
  <c r="AI39" i="113"/>
  <c r="AJ39" i="113"/>
  <c r="AK39" i="113"/>
  <c r="AL39" i="113"/>
  <c r="AM39" i="113"/>
  <c r="AN39" i="113"/>
  <c r="AO39" i="113"/>
  <c r="AQ39" i="113" s="1"/>
  <c r="AP39" i="113"/>
  <c r="AR39" i="113"/>
  <c r="AS39" i="113"/>
  <c r="AU39" i="113" s="1"/>
  <c r="AT39" i="113"/>
  <c r="AV39" i="113"/>
  <c r="AX39" i="113" s="1"/>
  <c r="AW39" i="113"/>
  <c r="AY39" i="113"/>
  <c r="AZ39" i="113"/>
  <c r="BB39" i="113" s="1"/>
  <c r="BA39" i="113"/>
  <c r="BC39" i="113"/>
  <c r="BD39" i="113"/>
  <c r="BE39" i="113"/>
  <c r="BF39" i="113"/>
  <c r="BG39" i="113"/>
  <c r="BH39" i="113"/>
  <c r="BI39" i="113"/>
  <c r="BJ39" i="113"/>
  <c r="BK39" i="113"/>
  <c r="BL39" i="113"/>
  <c r="BM39" i="113"/>
  <c r="BN39" i="113"/>
  <c r="BO39" i="113"/>
  <c r="BP39" i="113"/>
  <c r="BQ39" i="113"/>
  <c r="BR39" i="113"/>
  <c r="BS39" i="113"/>
  <c r="BT39" i="113"/>
  <c r="BU39" i="113"/>
  <c r="BV39" i="113"/>
  <c r="CB39" i="113"/>
  <c r="CC39" i="113"/>
  <c r="CE39" i="113" s="1"/>
  <c r="CD39" i="113"/>
  <c r="CF39" i="113"/>
  <c r="CH39" i="113" s="1"/>
  <c r="CG39" i="113"/>
  <c r="CI39" i="113"/>
  <c r="Q40" i="113"/>
  <c r="R40" i="113"/>
  <c r="S40" i="113"/>
  <c r="T40" i="113"/>
  <c r="U40" i="113"/>
  <c r="V40" i="113"/>
  <c r="X40" i="113" s="1"/>
  <c r="W40" i="113"/>
  <c r="Y40" i="113"/>
  <c r="AA40" i="113" s="1"/>
  <c r="Z40" i="113"/>
  <c r="AB40" i="113"/>
  <c r="AC40" i="113"/>
  <c r="AE40" i="113" s="1"/>
  <c r="AD40" i="113"/>
  <c r="AF40" i="113"/>
  <c r="AG40" i="113"/>
  <c r="AH40" i="113"/>
  <c r="AI40" i="113"/>
  <c r="AJ40" i="113"/>
  <c r="AK40" i="113"/>
  <c r="AL40" i="113"/>
  <c r="AM40" i="113"/>
  <c r="AN40" i="113"/>
  <c r="AO40" i="113"/>
  <c r="AQ40" i="113" s="1"/>
  <c r="AP40" i="113"/>
  <c r="AR40" i="113"/>
  <c r="AS40" i="113"/>
  <c r="AU40" i="113" s="1"/>
  <c r="AT40" i="113"/>
  <c r="AV40" i="113"/>
  <c r="AX40" i="113" s="1"/>
  <c r="AW40" i="113"/>
  <c r="AY40" i="113"/>
  <c r="AZ40" i="113"/>
  <c r="BB40" i="113" s="1"/>
  <c r="BA40" i="113"/>
  <c r="BC40" i="113"/>
  <c r="BD40" i="113"/>
  <c r="BE40" i="113"/>
  <c r="BF40" i="113"/>
  <c r="BG40" i="113"/>
  <c r="BH40" i="113"/>
  <c r="BI40" i="113"/>
  <c r="BJ40" i="113"/>
  <c r="BK40" i="113"/>
  <c r="BL40" i="113"/>
  <c r="BM40" i="113"/>
  <c r="BN40" i="113"/>
  <c r="BO40" i="113"/>
  <c r="BP40" i="113"/>
  <c r="BQ40" i="113"/>
  <c r="BR40" i="113"/>
  <c r="BS40" i="113"/>
  <c r="BT40" i="113"/>
  <c r="BU40" i="113"/>
  <c r="BV40" i="113"/>
  <c r="CB40" i="113"/>
  <c r="CC40" i="113"/>
  <c r="CE40" i="113" s="1"/>
  <c r="CD40" i="113"/>
  <c r="CF40" i="113"/>
  <c r="CH40" i="113" s="1"/>
  <c r="CG40" i="113"/>
  <c r="CI40" i="113"/>
  <c r="Q41" i="113"/>
  <c r="R41" i="113"/>
  <c r="S41" i="113"/>
  <c r="T41" i="113"/>
  <c r="U41" i="113"/>
  <c r="V41" i="113"/>
  <c r="X41" i="113" s="1"/>
  <c r="W41" i="113"/>
  <c r="Y41" i="113"/>
  <c r="AA41" i="113" s="1"/>
  <c r="Z41" i="113"/>
  <c r="AB41" i="113"/>
  <c r="AC41" i="113"/>
  <c r="AE41" i="113" s="1"/>
  <c r="AD41" i="113"/>
  <c r="AF41" i="113"/>
  <c r="AG41" i="113"/>
  <c r="AH41" i="113"/>
  <c r="AI41" i="113"/>
  <c r="AJ41" i="113"/>
  <c r="AK41" i="113"/>
  <c r="AL41" i="113"/>
  <c r="AM41" i="113"/>
  <c r="AN41" i="113"/>
  <c r="AO41" i="113"/>
  <c r="AQ41" i="113" s="1"/>
  <c r="AP41" i="113"/>
  <c r="AR41" i="113"/>
  <c r="AS41" i="113"/>
  <c r="AU41" i="113" s="1"/>
  <c r="AT41" i="113"/>
  <c r="AV41" i="113"/>
  <c r="AW41" i="113"/>
  <c r="AX41" i="113"/>
  <c r="AY41" i="113"/>
  <c r="AZ41" i="113"/>
  <c r="BA41" i="113"/>
  <c r="BB41" i="113"/>
  <c r="BC41" i="113"/>
  <c r="BD41" i="113"/>
  <c r="BE41" i="113"/>
  <c r="BF41" i="113"/>
  <c r="BG41" i="113"/>
  <c r="BH41" i="113"/>
  <c r="BI41" i="113"/>
  <c r="BJ41" i="113"/>
  <c r="BK41" i="113"/>
  <c r="BL41" i="113"/>
  <c r="BM41" i="113"/>
  <c r="BN41" i="113"/>
  <c r="BO41" i="113"/>
  <c r="BP41" i="113"/>
  <c r="BQ41" i="113"/>
  <c r="BR41" i="113"/>
  <c r="BS41" i="113"/>
  <c r="BT41" i="113"/>
  <c r="BU41" i="113"/>
  <c r="BV41" i="113"/>
  <c r="CB41" i="113"/>
  <c r="CC41" i="113"/>
  <c r="CE41" i="113" s="1"/>
  <c r="CD41" i="113"/>
  <c r="CF41" i="113"/>
  <c r="CH41" i="113" s="1"/>
  <c r="CG41" i="113"/>
  <c r="CI41" i="113"/>
  <c r="Q42" i="113"/>
  <c r="AN42" i="113" s="1"/>
  <c r="R42" i="113"/>
  <c r="S42" i="113"/>
  <c r="T42" i="113"/>
  <c r="U42" i="113"/>
  <c r="V42" i="113"/>
  <c r="X42" i="113" s="1"/>
  <c r="W42" i="113"/>
  <c r="Y42" i="113"/>
  <c r="AA42" i="113" s="1"/>
  <c r="Z42" i="113"/>
  <c r="AB42" i="113"/>
  <c r="AC42" i="113"/>
  <c r="AE42" i="113" s="1"/>
  <c r="AD42" i="113"/>
  <c r="AF42" i="113"/>
  <c r="AG42" i="113"/>
  <c r="AH42" i="113"/>
  <c r="AI42" i="113"/>
  <c r="AJ42" i="113"/>
  <c r="AK42" i="113"/>
  <c r="AL42" i="113"/>
  <c r="AM42" i="113"/>
  <c r="AO42" i="113"/>
  <c r="AQ42" i="113" s="1"/>
  <c r="AP42" i="113"/>
  <c r="AR42" i="113"/>
  <c r="AS42" i="113"/>
  <c r="AU42" i="113" s="1"/>
  <c r="AT42" i="113"/>
  <c r="AV42" i="113"/>
  <c r="AX42" i="113" s="1"/>
  <c r="AW42" i="113"/>
  <c r="AY42" i="113"/>
  <c r="AZ42" i="113"/>
  <c r="BB42" i="113" s="1"/>
  <c r="BA42" i="113"/>
  <c r="BC42" i="113"/>
  <c r="BD42" i="113"/>
  <c r="BE42" i="113"/>
  <c r="BF42" i="113"/>
  <c r="BG42" i="113"/>
  <c r="BH42" i="113"/>
  <c r="BI42" i="113"/>
  <c r="BJ42" i="113"/>
  <c r="BK42" i="113"/>
  <c r="BL42" i="113"/>
  <c r="BM42" i="113"/>
  <c r="BN42" i="113"/>
  <c r="BO42" i="113"/>
  <c r="BP42" i="113"/>
  <c r="BQ42" i="113"/>
  <c r="BR42" i="113"/>
  <c r="BS42" i="113"/>
  <c r="BT42" i="113"/>
  <c r="BU42" i="113"/>
  <c r="BV42" i="113"/>
  <c r="CB42" i="113"/>
  <c r="CC42" i="113"/>
  <c r="CE42" i="113" s="1"/>
  <c r="CD42" i="113"/>
  <c r="CF42" i="113"/>
  <c r="CH42" i="113" s="1"/>
  <c r="CG42" i="113"/>
  <c r="CI42" i="113"/>
  <c r="Q43" i="113"/>
  <c r="AN43" i="113" s="1"/>
  <c r="R43" i="113"/>
  <c r="S43" i="113"/>
  <c r="T43" i="113"/>
  <c r="U43" i="113"/>
  <c r="V43" i="113"/>
  <c r="X43" i="113" s="1"/>
  <c r="W43" i="113"/>
  <c r="Y43" i="113"/>
  <c r="AA43" i="113" s="1"/>
  <c r="Z43" i="113"/>
  <c r="AB43" i="113"/>
  <c r="AC43" i="113"/>
  <c r="AE43" i="113" s="1"/>
  <c r="AD43" i="113"/>
  <c r="AF43" i="113"/>
  <c r="AG43" i="113"/>
  <c r="AH43" i="113"/>
  <c r="AI43" i="113"/>
  <c r="AJ43" i="113"/>
  <c r="AK43" i="113"/>
  <c r="AL43" i="113"/>
  <c r="AM43" i="113"/>
  <c r="AO43" i="113"/>
  <c r="AQ43" i="113" s="1"/>
  <c r="AP43" i="113"/>
  <c r="AR43" i="113"/>
  <c r="AS43" i="113"/>
  <c r="AU43" i="113" s="1"/>
  <c r="AT43" i="113"/>
  <c r="AV43" i="113"/>
  <c r="AX43" i="113" s="1"/>
  <c r="AW43" i="113"/>
  <c r="AY43" i="113"/>
  <c r="AZ43" i="113"/>
  <c r="BB43" i="113" s="1"/>
  <c r="BA43" i="113"/>
  <c r="BC43" i="113"/>
  <c r="BD43" i="113"/>
  <c r="BE43" i="113"/>
  <c r="BF43" i="113"/>
  <c r="BG43" i="113"/>
  <c r="BH43" i="113"/>
  <c r="BI43" i="113"/>
  <c r="BJ43" i="113"/>
  <c r="BK43" i="113"/>
  <c r="BL43" i="113"/>
  <c r="BM43" i="113"/>
  <c r="BN43" i="113"/>
  <c r="BO43" i="113"/>
  <c r="BP43" i="113"/>
  <c r="BQ43" i="113"/>
  <c r="BR43" i="113"/>
  <c r="BS43" i="113"/>
  <c r="BT43" i="113"/>
  <c r="BU43" i="113"/>
  <c r="BV43" i="113"/>
  <c r="CB43" i="113"/>
  <c r="CC43" i="113"/>
  <c r="CE43" i="113" s="1"/>
  <c r="CD43" i="113"/>
  <c r="CF43" i="113"/>
  <c r="CH43" i="113" s="1"/>
  <c r="CG43" i="113"/>
  <c r="CI43" i="113"/>
  <c r="Q44" i="113"/>
  <c r="AN44" i="113" s="1"/>
  <c r="R44" i="113"/>
  <c r="S44" i="113"/>
  <c r="T44" i="113"/>
  <c r="U44" i="113"/>
  <c r="V44" i="113"/>
  <c r="X44" i="113" s="1"/>
  <c r="W44" i="113"/>
  <c r="Y44" i="113"/>
  <c r="AA44" i="113" s="1"/>
  <c r="Z44" i="113"/>
  <c r="AB44" i="113"/>
  <c r="AC44" i="113"/>
  <c r="AE44" i="113" s="1"/>
  <c r="AD44" i="113"/>
  <c r="AF44" i="113"/>
  <c r="AG44" i="113"/>
  <c r="AH44" i="113"/>
  <c r="AI44" i="113"/>
  <c r="AJ44" i="113"/>
  <c r="AK44" i="113"/>
  <c r="AL44" i="113"/>
  <c r="AM44" i="113"/>
  <c r="AO44" i="113"/>
  <c r="AQ44" i="113" s="1"/>
  <c r="AP44" i="113"/>
  <c r="AR44" i="113"/>
  <c r="AS44" i="113"/>
  <c r="AU44" i="113" s="1"/>
  <c r="AT44" i="113"/>
  <c r="AV44" i="113"/>
  <c r="AX44" i="113" s="1"/>
  <c r="AW44" i="113"/>
  <c r="AY44" i="113"/>
  <c r="AZ44" i="113"/>
  <c r="BB44" i="113" s="1"/>
  <c r="BA44" i="113"/>
  <c r="BC44" i="113"/>
  <c r="BD44" i="113"/>
  <c r="BE44" i="113"/>
  <c r="BF44" i="113"/>
  <c r="BG44" i="113"/>
  <c r="BH44" i="113"/>
  <c r="BI44" i="113"/>
  <c r="BJ44" i="113"/>
  <c r="BK44" i="113"/>
  <c r="BL44" i="113"/>
  <c r="BM44" i="113"/>
  <c r="BN44" i="113"/>
  <c r="BO44" i="113"/>
  <c r="BP44" i="113"/>
  <c r="BQ44" i="113"/>
  <c r="BR44" i="113"/>
  <c r="BS44" i="113"/>
  <c r="BT44" i="113"/>
  <c r="BU44" i="113"/>
  <c r="BV44" i="113"/>
  <c r="CB44" i="113"/>
  <c r="CC44" i="113"/>
  <c r="CE44" i="113" s="1"/>
  <c r="CD44" i="113"/>
  <c r="CF44" i="113"/>
  <c r="CH44" i="113" s="1"/>
  <c r="CG44" i="113"/>
  <c r="CI44" i="113"/>
  <c r="Q45" i="113"/>
  <c r="AN45" i="113" s="1"/>
  <c r="R45" i="113"/>
  <c r="S45" i="113"/>
  <c r="T45" i="113"/>
  <c r="U45" i="113"/>
  <c r="V45" i="113"/>
  <c r="X45" i="113" s="1"/>
  <c r="W45" i="113"/>
  <c r="Y45" i="113"/>
  <c r="Z45" i="113"/>
  <c r="AA45" i="113"/>
  <c r="AB45" i="113"/>
  <c r="AC45" i="113"/>
  <c r="AD45" i="113"/>
  <c r="AE45" i="113"/>
  <c r="AF45" i="113"/>
  <c r="AG45" i="113"/>
  <c r="AH45" i="113"/>
  <c r="AI45" i="113"/>
  <c r="AJ45" i="113"/>
  <c r="AK45" i="113"/>
  <c r="AL45" i="113"/>
  <c r="AM45" i="113"/>
  <c r="AO45" i="113"/>
  <c r="AQ45" i="113" s="1"/>
  <c r="AP45" i="113"/>
  <c r="AR45" i="113"/>
  <c r="AS45" i="113"/>
  <c r="AU45" i="113" s="1"/>
  <c r="AT45" i="113"/>
  <c r="AV45" i="113"/>
  <c r="AX45" i="113" s="1"/>
  <c r="AW45" i="113"/>
  <c r="AY45" i="113"/>
  <c r="AZ45" i="113"/>
  <c r="BB45" i="113" s="1"/>
  <c r="BA45" i="113"/>
  <c r="BC45" i="113"/>
  <c r="BD45" i="113"/>
  <c r="BE45" i="113"/>
  <c r="BF45" i="113"/>
  <c r="BG45" i="113"/>
  <c r="BH45" i="113"/>
  <c r="BI45" i="113"/>
  <c r="BJ45" i="113"/>
  <c r="BK45" i="113"/>
  <c r="BL45" i="113"/>
  <c r="BM45" i="113"/>
  <c r="BN45" i="113"/>
  <c r="BO45" i="113"/>
  <c r="BP45" i="113"/>
  <c r="BQ45" i="113"/>
  <c r="BR45" i="113"/>
  <c r="BS45" i="113"/>
  <c r="BT45" i="113"/>
  <c r="BU45" i="113"/>
  <c r="BV45" i="113"/>
  <c r="CB45" i="113"/>
  <c r="CC45" i="113"/>
  <c r="CE45" i="113" s="1"/>
  <c r="CD45" i="113"/>
  <c r="CF45" i="113"/>
  <c r="CH45" i="113" s="1"/>
  <c r="CG45" i="113"/>
  <c r="CI45" i="113"/>
  <c r="Q46" i="113"/>
  <c r="R46" i="113"/>
  <c r="S46" i="113"/>
  <c r="T46" i="113"/>
  <c r="U46" i="113"/>
  <c r="V46" i="113"/>
  <c r="X46" i="113" s="1"/>
  <c r="W46" i="113"/>
  <c r="Y46" i="113"/>
  <c r="AA46" i="113" s="1"/>
  <c r="Z46" i="113"/>
  <c r="AB46" i="113"/>
  <c r="AC46" i="113"/>
  <c r="AE46" i="113" s="1"/>
  <c r="AD46" i="113"/>
  <c r="AF46" i="113"/>
  <c r="AG46" i="113"/>
  <c r="AH46" i="113"/>
  <c r="AI46" i="113"/>
  <c r="AJ46" i="113"/>
  <c r="AK46" i="113"/>
  <c r="AL46" i="113"/>
  <c r="AM46" i="113"/>
  <c r="AN46" i="113"/>
  <c r="AO46" i="113"/>
  <c r="AQ46" i="113" s="1"/>
  <c r="AP46" i="113"/>
  <c r="AR46" i="113"/>
  <c r="AS46" i="113"/>
  <c r="AU46" i="113" s="1"/>
  <c r="AT46" i="113"/>
  <c r="AV46" i="113"/>
  <c r="AX46" i="113" s="1"/>
  <c r="AW46" i="113"/>
  <c r="AY46" i="113"/>
  <c r="AZ46" i="113"/>
  <c r="BB46" i="113" s="1"/>
  <c r="BA46" i="113"/>
  <c r="BC46" i="113"/>
  <c r="BD46" i="113"/>
  <c r="BE46" i="113"/>
  <c r="BF46" i="113"/>
  <c r="BG46" i="113"/>
  <c r="BH46" i="113"/>
  <c r="BI46" i="113"/>
  <c r="BJ46" i="113"/>
  <c r="BK46" i="113"/>
  <c r="BL46" i="113"/>
  <c r="BM46" i="113"/>
  <c r="BN46" i="113"/>
  <c r="BO46" i="113"/>
  <c r="BP46" i="113"/>
  <c r="BQ46" i="113"/>
  <c r="BR46" i="113"/>
  <c r="BS46" i="113"/>
  <c r="BT46" i="113"/>
  <c r="BU46" i="113"/>
  <c r="BV46" i="113"/>
  <c r="CB46" i="113"/>
  <c r="CC46" i="113"/>
  <c r="CE46" i="113" s="1"/>
  <c r="CD46" i="113"/>
  <c r="CF46" i="113"/>
  <c r="CH46" i="113" s="1"/>
  <c r="CG46" i="113"/>
  <c r="CI46" i="113"/>
  <c r="Q47" i="113"/>
  <c r="R47" i="113"/>
  <c r="S47" i="113"/>
  <c r="T47" i="113"/>
  <c r="U47" i="113"/>
  <c r="V47" i="113"/>
  <c r="X47" i="113" s="1"/>
  <c r="W47" i="113"/>
  <c r="Y47" i="113"/>
  <c r="AA47" i="113" s="1"/>
  <c r="Z47" i="113"/>
  <c r="AB47" i="113"/>
  <c r="AC47" i="113"/>
  <c r="AE47" i="113" s="1"/>
  <c r="AD47" i="113"/>
  <c r="AF47" i="113"/>
  <c r="AG47" i="113"/>
  <c r="AH47" i="113"/>
  <c r="AI47" i="113"/>
  <c r="AJ47" i="113"/>
  <c r="AK47" i="113"/>
  <c r="AL47" i="113"/>
  <c r="AM47" i="113"/>
  <c r="AN47" i="113"/>
  <c r="AO47" i="113"/>
  <c r="AQ47" i="113" s="1"/>
  <c r="AP47" i="113"/>
  <c r="AR47" i="113"/>
  <c r="AS47" i="113"/>
  <c r="AU47" i="113" s="1"/>
  <c r="AT47" i="113"/>
  <c r="AV47" i="113"/>
  <c r="AX47" i="113" s="1"/>
  <c r="AW47" i="113"/>
  <c r="AY47" i="113"/>
  <c r="AZ47" i="113"/>
  <c r="BB47" i="113" s="1"/>
  <c r="BA47" i="113"/>
  <c r="BC47" i="113"/>
  <c r="BD47" i="113"/>
  <c r="BE47" i="113"/>
  <c r="BF47" i="113"/>
  <c r="BG47" i="113"/>
  <c r="BH47" i="113"/>
  <c r="BI47" i="113"/>
  <c r="BJ47" i="113"/>
  <c r="BK47" i="113"/>
  <c r="BL47" i="113"/>
  <c r="BM47" i="113"/>
  <c r="BN47" i="113"/>
  <c r="BO47" i="113"/>
  <c r="BP47" i="113"/>
  <c r="BQ47" i="113"/>
  <c r="BR47" i="113"/>
  <c r="BS47" i="113"/>
  <c r="BT47" i="113"/>
  <c r="BU47" i="113"/>
  <c r="BV47" i="113"/>
  <c r="CB47" i="113"/>
  <c r="CC47" i="113"/>
  <c r="CE47" i="113" s="1"/>
  <c r="CD47" i="113"/>
  <c r="CF47" i="113"/>
  <c r="CH47" i="113" s="1"/>
  <c r="CG47" i="113"/>
  <c r="CI47" i="113"/>
  <c r="Q48" i="113"/>
  <c r="R48" i="113"/>
  <c r="S48" i="113"/>
  <c r="T48" i="113"/>
  <c r="U48" i="113"/>
  <c r="V48" i="113"/>
  <c r="X48" i="113" s="1"/>
  <c r="W48" i="113"/>
  <c r="Y48" i="113"/>
  <c r="AA48" i="113" s="1"/>
  <c r="Z48" i="113"/>
  <c r="AB48" i="113"/>
  <c r="AC48" i="113"/>
  <c r="AE48" i="113" s="1"/>
  <c r="AD48" i="113"/>
  <c r="AF48" i="113"/>
  <c r="AG48" i="113"/>
  <c r="AH48" i="113"/>
  <c r="AI48" i="113"/>
  <c r="AJ48" i="113"/>
  <c r="AK48" i="113"/>
  <c r="AL48" i="113"/>
  <c r="AM48" i="113"/>
  <c r="AN48" i="113"/>
  <c r="AO48" i="113"/>
  <c r="AQ48" i="113" s="1"/>
  <c r="AP48" i="113"/>
  <c r="AR48" i="113"/>
  <c r="AS48" i="113"/>
  <c r="AU48" i="113" s="1"/>
  <c r="AT48" i="113"/>
  <c r="AV48" i="113"/>
  <c r="AX48" i="113" s="1"/>
  <c r="AW48" i="113"/>
  <c r="AY48" i="113"/>
  <c r="AZ48" i="113"/>
  <c r="BB48" i="113" s="1"/>
  <c r="BA48" i="113"/>
  <c r="BC48" i="113"/>
  <c r="BD48" i="113"/>
  <c r="BE48" i="113"/>
  <c r="BF48" i="113"/>
  <c r="BG48" i="113"/>
  <c r="BH48" i="113"/>
  <c r="BI48" i="113"/>
  <c r="BJ48" i="113"/>
  <c r="BK48" i="113"/>
  <c r="BL48" i="113"/>
  <c r="BM48" i="113"/>
  <c r="BN48" i="113"/>
  <c r="BO48" i="113"/>
  <c r="BP48" i="113"/>
  <c r="BQ48" i="113"/>
  <c r="BR48" i="113"/>
  <c r="BS48" i="113"/>
  <c r="BT48" i="113"/>
  <c r="BU48" i="113"/>
  <c r="BV48" i="113"/>
  <c r="CB48" i="113"/>
  <c r="CC48" i="113"/>
  <c r="CE48" i="113" s="1"/>
  <c r="CD48" i="113"/>
  <c r="CF48" i="113"/>
  <c r="CH48" i="113" s="1"/>
  <c r="CG48" i="113"/>
  <c r="CI48" i="113"/>
  <c r="Q49" i="113"/>
  <c r="R49" i="113"/>
  <c r="S49" i="113"/>
  <c r="T49" i="113"/>
  <c r="U49" i="113"/>
  <c r="V49" i="113"/>
  <c r="X49" i="113" s="1"/>
  <c r="W49" i="113"/>
  <c r="Y49" i="113"/>
  <c r="AA49" i="113" s="1"/>
  <c r="Z49" i="113"/>
  <c r="AB49" i="113"/>
  <c r="AC49" i="113"/>
  <c r="AE49" i="113" s="1"/>
  <c r="AD49" i="113"/>
  <c r="AF49" i="113"/>
  <c r="AG49" i="113"/>
  <c r="AH49" i="113"/>
  <c r="AI49" i="113"/>
  <c r="AJ49" i="113"/>
  <c r="AK49" i="113"/>
  <c r="AL49" i="113"/>
  <c r="AM49" i="113"/>
  <c r="AN49" i="113"/>
  <c r="AO49" i="113"/>
  <c r="AQ49" i="113" s="1"/>
  <c r="AP49" i="113"/>
  <c r="AR49" i="113"/>
  <c r="AS49" i="113"/>
  <c r="AU49" i="113" s="1"/>
  <c r="AT49" i="113"/>
  <c r="AV49" i="113"/>
  <c r="AX49" i="113" s="1"/>
  <c r="AW49" i="113"/>
  <c r="AY49" i="113"/>
  <c r="AZ49" i="113"/>
  <c r="BB49" i="113" s="1"/>
  <c r="BA49" i="113"/>
  <c r="BC49" i="113"/>
  <c r="BD49" i="113"/>
  <c r="BE49" i="113"/>
  <c r="BF49" i="113"/>
  <c r="BG49" i="113"/>
  <c r="BH49" i="113"/>
  <c r="BI49" i="113"/>
  <c r="BJ49" i="113"/>
  <c r="BK49" i="113"/>
  <c r="BL49" i="113"/>
  <c r="BM49" i="113"/>
  <c r="BN49" i="113"/>
  <c r="BO49" i="113"/>
  <c r="BP49" i="113"/>
  <c r="BQ49" i="113"/>
  <c r="BR49" i="113"/>
  <c r="BS49" i="113"/>
  <c r="BT49" i="113"/>
  <c r="BU49" i="113"/>
  <c r="BV49" i="113"/>
  <c r="CB49" i="113"/>
  <c r="CC49" i="113"/>
  <c r="CE49" i="113" s="1"/>
  <c r="CD49" i="113"/>
  <c r="CF49" i="113"/>
  <c r="CH49" i="113" s="1"/>
  <c r="CG49" i="113"/>
  <c r="CI49" i="113"/>
  <c r="Q50" i="113"/>
  <c r="AN50" i="113" s="1"/>
  <c r="R50" i="113"/>
  <c r="S50" i="113"/>
  <c r="T50" i="113"/>
  <c r="U50" i="113"/>
  <c r="V50" i="113"/>
  <c r="X50" i="113" s="1"/>
  <c r="W50" i="113"/>
  <c r="Y50" i="113"/>
  <c r="AA50" i="113" s="1"/>
  <c r="Z50" i="113"/>
  <c r="AB50" i="113"/>
  <c r="AC50" i="113"/>
  <c r="AE50" i="113" s="1"/>
  <c r="AD50" i="113"/>
  <c r="AF50" i="113"/>
  <c r="AG50" i="113"/>
  <c r="AH50" i="113"/>
  <c r="AI50" i="113"/>
  <c r="AJ50" i="113"/>
  <c r="AK50" i="113"/>
  <c r="AL50" i="113"/>
  <c r="AM50" i="113"/>
  <c r="AO50" i="113"/>
  <c r="AQ50" i="113" s="1"/>
  <c r="AP50" i="113"/>
  <c r="AR50" i="113"/>
  <c r="AS50" i="113"/>
  <c r="AU50" i="113" s="1"/>
  <c r="AT50" i="113"/>
  <c r="AV50" i="113"/>
  <c r="AX50" i="113" s="1"/>
  <c r="AW50" i="113"/>
  <c r="AY50" i="113"/>
  <c r="AZ50" i="113"/>
  <c r="BB50" i="113" s="1"/>
  <c r="BA50" i="113"/>
  <c r="BC50" i="113"/>
  <c r="BD50" i="113"/>
  <c r="BE50" i="113"/>
  <c r="BF50" i="113"/>
  <c r="BG50" i="113"/>
  <c r="BH50" i="113"/>
  <c r="BI50" i="113"/>
  <c r="BJ50" i="113"/>
  <c r="BK50" i="113"/>
  <c r="BL50" i="113"/>
  <c r="BM50" i="113"/>
  <c r="BN50" i="113"/>
  <c r="BO50" i="113"/>
  <c r="BP50" i="113"/>
  <c r="BQ50" i="113"/>
  <c r="BR50" i="113"/>
  <c r="BS50" i="113"/>
  <c r="BT50" i="113"/>
  <c r="BU50" i="113"/>
  <c r="BV50" i="113"/>
  <c r="CB50" i="113"/>
  <c r="CC50" i="113"/>
  <c r="CE50" i="113" s="1"/>
  <c r="CD50" i="113"/>
  <c r="CF50" i="113"/>
  <c r="CH50" i="113" s="1"/>
  <c r="CG50" i="113"/>
  <c r="CI50" i="113"/>
  <c r="Q51" i="113"/>
  <c r="AN51" i="113" s="1"/>
  <c r="R51" i="113"/>
  <c r="S51" i="113"/>
  <c r="T51" i="113"/>
  <c r="U51" i="113"/>
  <c r="V51" i="113"/>
  <c r="X51" i="113" s="1"/>
  <c r="W51" i="113"/>
  <c r="Y51" i="113"/>
  <c r="AA51" i="113" s="1"/>
  <c r="Z51" i="113"/>
  <c r="AB51" i="113"/>
  <c r="AC51" i="113"/>
  <c r="AE51" i="113" s="1"/>
  <c r="AD51" i="113"/>
  <c r="AF51" i="113"/>
  <c r="AG51" i="113"/>
  <c r="AH51" i="113"/>
  <c r="AI51" i="113"/>
  <c r="AJ51" i="113"/>
  <c r="AK51" i="113"/>
  <c r="AL51" i="113"/>
  <c r="AM51" i="113"/>
  <c r="AO51" i="113"/>
  <c r="AQ51" i="113" s="1"/>
  <c r="AP51" i="113"/>
  <c r="AR51" i="113"/>
  <c r="AS51" i="113"/>
  <c r="AU51" i="113" s="1"/>
  <c r="AT51" i="113"/>
  <c r="AV51" i="113"/>
  <c r="AX51" i="113" s="1"/>
  <c r="AW51" i="113"/>
  <c r="AY51" i="113"/>
  <c r="AZ51" i="113"/>
  <c r="BB51" i="113" s="1"/>
  <c r="BA51" i="113"/>
  <c r="BC51" i="113"/>
  <c r="BD51" i="113"/>
  <c r="BE51" i="113"/>
  <c r="BF51" i="113"/>
  <c r="BG51" i="113"/>
  <c r="BH51" i="113"/>
  <c r="BI51" i="113"/>
  <c r="BJ51" i="113"/>
  <c r="BK51" i="113"/>
  <c r="BL51" i="113"/>
  <c r="BM51" i="113"/>
  <c r="BN51" i="113"/>
  <c r="BO51" i="113"/>
  <c r="BP51" i="113"/>
  <c r="BQ51" i="113"/>
  <c r="BR51" i="113"/>
  <c r="BS51" i="113"/>
  <c r="BT51" i="113"/>
  <c r="BU51" i="113"/>
  <c r="BV51" i="113"/>
  <c r="CB51" i="113"/>
  <c r="CC51" i="113"/>
  <c r="CE51" i="113" s="1"/>
  <c r="CD51" i="113"/>
  <c r="CF51" i="113"/>
  <c r="CH51" i="113" s="1"/>
  <c r="CG51" i="113"/>
  <c r="CI51" i="113"/>
  <c r="Q52" i="113"/>
  <c r="AN52" i="113" s="1"/>
  <c r="R52" i="113"/>
  <c r="S52" i="113"/>
  <c r="T52" i="113"/>
  <c r="U52" i="113"/>
  <c r="V52" i="113"/>
  <c r="X52" i="113" s="1"/>
  <c r="W52" i="113"/>
  <c r="Y52" i="113"/>
  <c r="AA52" i="113" s="1"/>
  <c r="Z52" i="113"/>
  <c r="AB52" i="113"/>
  <c r="AC52" i="113"/>
  <c r="AE52" i="113" s="1"/>
  <c r="AD52" i="113"/>
  <c r="AF52" i="113"/>
  <c r="AG52" i="113"/>
  <c r="AH52" i="113"/>
  <c r="AI52" i="113"/>
  <c r="AJ52" i="113"/>
  <c r="AK52" i="113"/>
  <c r="AL52" i="113"/>
  <c r="AM52" i="113"/>
  <c r="AO52" i="113"/>
  <c r="AQ52" i="113" s="1"/>
  <c r="AP52" i="113"/>
  <c r="AR52" i="113"/>
  <c r="AS52" i="113"/>
  <c r="AU52" i="113" s="1"/>
  <c r="AT52" i="113"/>
  <c r="AV52" i="113"/>
  <c r="AX52" i="113" s="1"/>
  <c r="AW52" i="113"/>
  <c r="AY52" i="113"/>
  <c r="AZ52" i="113"/>
  <c r="BB52" i="113" s="1"/>
  <c r="BA52" i="113"/>
  <c r="BC52" i="113"/>
  <c r="BD52" i="113"/>
  <c r="BE52" i="113"/>
  <c r="BF52" i="113"/>
  <c r="BG52" i="113"/>
  <c r="BH52" i="113"/>
  <c r="BI52" i="113"/>
  <c r="BJ52" i="113"/>
  <c r="BK52" i="113"/>
  <c r="BL52" i="113"/>
  <c r="BM52" i="113"/>
  <c r="BN52" i="113"/>
  <c r="BO52" i="113"/>
  <c r="BP52" i="113"/>
  <c r="BQ52" i="113"/>
  <c r="BR52" i="113"/>
  <c r="BS52" i="113"/>
  <c r="BT52" i="113"/>
  <c r="BU52" i="113"/>
  <c r="BV52" i="113"/>
  <c r="CB52" i="113"/>
  <c r="CC52" i="113"/>
  <c r="CE52" i="113" s="1"/>
  <c r="CD52" i="113"/>
  <c r="CF52" i="113"/>
  <c r="CH52" i="113" s="1"/>
  <c r="CG52" i="113"/>
  <c r="CI52" i="113"/>
  <c r="Q53" i="113"/>
  <c r="AN53" i="113" s="1"/>
  <c r="R53" i="113"/>
  <c r="S53" i="113"/>
  <c r="T53" i="113"/>
  <c r="U53" i="113"/>
  <c r="V53" i="113"/>
  <c r="X53" i="113" s="1"/>
  <c r="W53" i="113"/>
  <c r="Y53" i="113"/>
  <c r="AA53" i="113" s="1"/>
  <c r="Z53" i="113"/>
  <c r="AB53" i="113"/>
  <c r="AC53" i="113"/>
  <c r="AE53" i="113" s="1"/>
  <c r="AD53" i="113"/>
  <c r="AF53" i="113"/>
  <c r="AG53" i="113"/>
  <c r="AH53" i="113"/>
  <c r="AI53" i="113"/>
  <c r="AJ53" i="113"/>
  <c r="AK53" i="113"/>
  <c r="AL53" i="113"/>
  <c r="AM53" i="113"/>
  <c r="AO53" i="113"/>
  <c r="AQ53" i="113" s="1"/>
  <c r="AP53" i="113"/>
  <c r="AR53" i="113"/>
  <c r="AS53" i="113"/>
  <c r="AU53" i="113" s="1"/>
  <c r="AT53" i="113"/>
  <c r="AV53" i="113"/>
  <c r="AX53" i="113" s="1"/>
  <c r="AW53" i="113"/>
  <c r="AY53" i="113"/>
  <c r="AZ53" i="113"/>
  <c r="BB53" i="113" s="1"/>
  <c r="BA53" i="113"/>
  <c r="BC53" i="113"/>
  <c r="BD53" i="113"/>
  <c r="BE53" i="113"/>
  <c r="BF53" i="113"/>
  <c r="BG53" i="113"/>
  <c r="BH53" i="113"/>
  <c r="BI53" i="113"/>
  <c r="BJ53" i="113"/>
  <c r="BK53" i="113"/>
  <c r="BL53" i="113"/>
  <c r="BM53" i="113"/>
  <c r="BN53" i="113"/>
  <c r="BO53" i="113"/>
  <c r="BP53" i="113"/>
  <c r="BQ53" i="113"/>
  <c r="BR53" i="113"/>
  <c r="BS53" i="113"/>
  <c r="BT53" i="113"/>
  <c r="BU53" i="113"/>
  <c r="BV53" i="113"/>
  <c r="CB53" i="113"/>
  <c r="CC53" i="113"/>
  <c r="CE53" i="113" s="1"/>
  <c r="CD53" i="113"/>
  <c r="CF53" i="113"/>
  <c r="CH53" i="113" s="1"/>
  <c r="CG53" i="113"/>
  <c r="CI53" i="113"/>
  <c r="Q54" i="113"/>
  <c r="R54" i="113"/>
  <c r="S54" i="113"/>
  <c r="T54" i="113"/>
  <c r="U54" i="113"/>
  <c r="V54" i="113"/>
  <c r="X54" i="113" s="1"/>
  <c r="W54" i="113"/>
  <c r="Y54" i="113"/>
  <c r="AA54" i="113" s="1"/>
  <c r="Z54" i="113"/>
  <c r="AB54" i="113"/>
  <c r="AC54" i="113"/>
  <c r="AE54" i="113" s="1"/>
  <c r="AD54" i="113"/>
  <c r="AF54" i="113"/>
  <c r="AG54" i="113"/>
  <c r="AH54" i="113"/>
  <c r="AI54" i="113"/>
  <c r="AJ54" i="113"/>
  <c r="AK54" i="113"/>
  <c r="AL54" i="113"/>
  <c r="AM54" i="113"/>
  <c r="AN54" i="113"/>
  <c r="AO54" i="113"/>
  <c r="AQ54" i="113" s="1"/>
  <c r="AP54" i="113"/>
  <c r="AR54" i="113"/>
  <c r="AS54" i="113"/>
  <c r="AU54" i="113" s="1"/>
  <c r="AT54" i="113"/>
  <c r="AV54" i="113"/>
  <c r="AX54" i="113" s="1"/>
  <c r="AW54" i="113"/>
  <c r="AY54" i="113"/>
  <c r="AZ54" i="113"/>
  <c r="BB54" i="113" s="1"/>
  <c r="BA54" i="113"/>
  <c r="BC54" i="113"/>
  <c r="BD54" i="113"/>
  <c r="BE54" i="113"/>
  <c r="BF54" i="113"/>
  <c r="BG54" i="113"/>
  <c r="BH54" i="113"/>
  <c r="BI54" i="113"/>
  <c r="BJ54" i="113"/>
  <c r="BK54" i="113"/>
  <c r="BL54" i="113"/>
  <c r="BM54" i="113"/>
  <c r="BN54" i="113"/>
  <c r="BO54" i="113"/>
  <c r="BP54" i="113"/>
  <c r="BQ54" i="113"/>
  <c r="BR54" i="113"/>
  <c r="BS54" i="113"/>
  <c r="BT54" i="113"/>
  <c r="BU54" i="113"/>
  <c r="BV54" i="113"/>
  <c r="CB54" i="113"/>
  <c r="CC54" i="113"/>
  <c r="CE54" i="113" s="1"/>
  <c r="CD54" i="113"/>
  <c r="CF54" i="113"/>
  <c r="CH54" i="113" s="1"/>
  <c r="CG54" i="113"/>
  <c r="CI54" i="113"/>
  <c r="Q55" i="113"/>
  <c r="AN55" i="113" s="1"/>
  <c r="R55" i="113"/>
  <c r="S55" i="113"/>
  <c r="T55" i="113"/>
  <c r="U55" i="113"/>
  <c r="V55" i="113"/>
  <c r="X55" i="113" s="1"/>
  <c r="W55" i="113"/>
  <c r="Y55" i="113"/>
  <c r="AA55" i="113" s="1"/>
  <c r="Z55" i="113"/>
  <c r="AB55" i="113"/>
  <c r="AC55" i="113"/>
  <c r="AE55" i="113" s="1"/>
  <c r="AD55" i="113"/>
  <c r="AF55" i="113"/>
  <c r="AG55" i="113"/>
  <c r="AH55" i="113"/>
  <c r="AI55" i="113"/>
  <c r="AJ55" i="113"/>
  <c r="AK55" i="113"/>
  <c r="AL55" i="113"/>
  <c r="AM55" i="113"/>
  <c r="AO55" i="113"/>
  <c r="AQ55" i="113" s="1"/>
  <c r="AP55" i="113"/>
  <c r="AR55" i="113"/>
  <c r="AS55" i="113"/>
  <c r="AU55" i="113" s="1"/>
  <c r="AT55" i="113"/>
  <c r="AV55" i="113"/>
  <c r="AX55" i="113" s="1"/>
  <c r="AW55" i="113"/>
  <c r="AY55" i="113"/>
  <c r="AZ55" i="113"/>
  <c r="BB55" i="113" s="1"/>
  <c r="BA55" i="113"/>
  <c r="BC55" i="113"/>
  <c r="BD55" i="113"/>
  <c r="BE55" i="113"/>
  <c r="BF55" i="113"/>
  <c r="BG55" i="113"/>
  <c r="BH55" i="113"/>
  <c r="BI55" i="113"/>
  <c r="BJ55" i="113"/>
  <c r="BK55" i="113"/>
  <c r="BL55" i="113"/>
  <c r="BM55" i="113"/>
  <c r="BN55" i="113"/>
  <c r="BO55" i="113"/>
  <c r="BP55" i="113"/>
  <c r="BQ55" i="113"/>
  <c r="BR55" i="113"/>
  <c r="BS55" i="113"/>
  <c r="BT55" i="113"/>
  <c r="BU55" i="113"/>
  <c r="BV55" i="113"/>
  <c r="CB55" i="113"/>
  <c r="CC55" i="113"/>
  <c r="CE55" i="113" s="1"/>
  <c r="CD55" i="113"/>
  <c r="CF55" i="113"/>
  <c r="CH55" i="113" s="1"/>
  <c r="CG55" i="113"/>
  <c r="CI55" i="113"/>
  <c r="Q56" i="113"/>
  <c r="R56" i="113"/>
  <c r="S56" i="113"/>
  <c r="T56" i="113"/>
  <c r="U56" i="113"/>
  <c r="V56" i="113"/>
  <c r="X56" i="113" s="1"/>
  <c r="W56" i="113"/>
  <c r="Y56" i="113"/>
  <c r="AA56" i="113" s="1"/>
  <c r="Z56" i="113"/>
  <c r="AB56" i="113"/>
  <c r="AC56" i="113"/>
  <c r="AE56" i="113" s="1"/>
  <c r="AD56" i="113"/>
  <c r="AF56" i="113"/>
  <c r="AG56" i="113"/>
  <c r="AH56" i="113"/>
  <c r="AI56" i="113"/>
  <c r="AJ56" i="113"/>
  <c r="AK56" i="113"/>
  <c r="AL56" i="113"/>
  <c r="AM56" i="113"/>
  <c r="AN56" i="113"/>
  <c r="AO56" i="113"/>
  <c r="AQ56" i="113" s="1"/>
  <c r="AP56" i="113"/>
  <c r="AR56" i="113"/>
  <c r="AS56" i="113"/>
  <c r="AU56" i="113" s="1"/>
  <c r="AT56" i="113"/>
  <c r="AV56" i="113"/>
  <c r="AX56" i="113" s="1"/>
  <c r="AW56" i="113"/>
  <c r="AY56" i="113"/>
  <c r="AZ56" i="113"/>
  <c r="BB56" i="113" s="1"/>
  <c r="BA56" i="113"/>
  <c r="BC56" i="113"/>
  <c r="BD56" i="113"/>
  <c r="BE56" i="113"/>
  <c r="BF56" i="113"/>
  <c r="BG56" i="113"/>
  <c r="BH56" i="113"/>
  <c r="BI56" i="113"/>
  <c r="BJ56" i="113"/>
  <c r="BK56" i="113"/>
  <c r="BL56" i="113"/>
  <c r="BM56" i="113"/>
  <c r="BN56" i="113"/>
  <c r="BO56" i="113"/>
  <c r="BP56" i="113"/>
  <c r="BQ56" i="113"/>
  <c r="BR56" i="113"/>
  <c r="BS56" i="113"/>
  <c r="BT56" i="113"/>
  <c r="BU56" i="113"/>
  <c r="BV56" i="113"/>
  <c r="CB56" i="113"/>
  <c r="CC56" i="113"/>
  <c r="CE56" i="113" s="1"/>
  <c r="CD56" i="113"/>
  <c r="CF56" i="113"/>
  <c r="CH56" i="113" s="1"/>
  <c r="CG56" i="113"/>
  <c r="CI56" i="113"/>
  <c r="Q57" i="113"/>
  <c r="R57" i="113"/>
  <c r="S57" i="113"/>
  <c r="T57" i="113"/>
  <c r="U57" i="113"/>
  <c r="V57" i="113"/>
  <c r="X57" i="113" s="1"/>
  <c r="W57" i="113"/>
  <c r="Y57" i="113"/>
  <c r="AA57" i="113" s="1"/>
  <c r="Z57" i="113"/>
  <c r="AB57" i="113"/>
  <c r="AC57" i="113"/>
  <c r="AE57" i="113" s="1"/>
  <c r="AD57" i="113"/>
  <c r="AF57" i="113"/>
  <c r="AG57" i="113"/>
  <c r="AH57" i="113"/>
  <c r="AI57" i="113"/>
  <c r="AJ57" i="113"/>
  <c r="AK57" i="113"/>
  <c r="AL57" i="113"/>
  <c r="AM57" i="113"/>
  <c r="AN57" i="113"/>
  <c r="AO57" i="113"/>
  <c r="AQ57" i="113" s="1"/>
  <c r="AP57" i="113"/>
  <c r="AR57" i="113"/>
  <c r="AS57" i="113"/>
  <c r="AU57" i="113" s="1"/>
  <c r="AT57" i="113"/>
  <c r="AV57" i="113"/>
  <c r="AX57" i="113" s="1"/>
  <c r="AW57" i="113"/>
  <c r="AY57" i="113"/>
  <c r="AZ57" i="113"/>
  <c r="BB57" i="113" s="1"/>
  <c r="BA57" i="113"/>
  <c r="BC57" i="113"/>
  <c r="BD57" i="113"/>
  <c r="BE57" i="113"/>
  <c r="BF57" i="113"/>
  <c r="BG57" i="113"/>
  <c r="BH57" i="113"/>
  <c r="BI57" i="113"/>
  <c r="BJ57" i="113"/>
  <c r="BK57" i="113"/>
  <c r="BL57" i="113"/>
  <c r="BM57" i="113"/>
  <c r="BN57" i="113"/>
  <c r="BO57" i="113"/>
  <c r="BP57" i="113"/>
  <c r="BQ57" i="113"/>
  <c r="BR57" i="113"/>
  <c r="BS57" i="113"/>
  <c r="BT57" i="113"/>
  <c r="BU57" i="113"/>
  <c r="BV57" i="113"/>
  <c r="CB57" i="113"/>
  <c r="CC57" i="113"/>
  <c r="CE57" i="113" s="1"/>
  <c r="CD57" i="113"/>
  <c r="CF57" i="113"/>
  <c r="CH57" i="113" s="1"/>
  <c r="CG57" i="113"/>
  <c r="CI57" i="113"/>
  <c r="Q58" i="113"/>
  <c r="R58" i="113"/>
  <c r="S58" i="113"/>
  <c r="T58" i="113"/>
  <c r="U58" i="113"/>
  <c r="V58" i="113"/>
  <c r="X58" i="113" s="1"/>
  <c r="W58" i="113"/>
  <c r="Y58" i="113"/>
  <c r="AA58" i="113" s="1"/>
  <c r="Z58" i="113"/>
  <c r="AB58" i="113"/>
  <c r="AC58" i="113"/>
  <c r="AE58" i="113" s="1"/>
  <c r="AD58" i="113"/>
  <c r="AF58" i="113"/>
  <c r="AG58" i="113"/>
  <c r="AH58" i="113"/>
  <c r="AI58" i="113"/>
  <c r="AJ58" i="113"/>
  <c r="AK58" i="113"/>
  <c r="AL58" i="113"/>
  <c r="AM58" i="113"/>
  <c r="AN58" i="113"/>
  <c r="AO58" i="113"/>
  <c r="AQ58" i="113" s="1"/>
  <c r="AP58" i="113"/>
  <c r="AR58" i="113"/>
  <c r="AS58" i="113"/>
  <c r="AU58" i="113" s="1"/>
  <c r="AT58" i="113"/>
  <c r="AV58" i="113"/>
  <c r="AX58" i="113" s="1"/>
  <c r="AW58" i="113"/>
  <c r="AY58" i="113"/>
  <c r="AZ58" i="113"/>
  <c r="BB58" i="113" s="1"/>
  <c r="BA58" i="113"/>
  <c r="BC58" i="113"/>
  <c r="BD58" i="113"/>
  <c r="BE58" i="113"/>
  <c r="BF58" i="113"/>
  <c r="BG58" i="113"/>
  <c r="BH58" i="113"/>
  <c r="BI58" i="113"/>
  <c r="BJ58" i="113"/>
  <c r="BK58" i="113"/>
  <c r="BL58" i="113"/>
  <c r="BM58" i="113"/>
  <c r="BN58" i="113"/>
  <c r="BO58" i="113"/>
  <c r="BP58" i="113"/>
  <c r="BQ58" i="113"/>
  <c r="BR58" i="113"/>
  <c r="BS58" i="113"/>
  <c r="BT58" i="113"/>
  <c r="BU58" i="113"/>
  <c r="BV58" i="113"/>
  <c r="CB58" i="113"/>
  <c r="CC58" i="113"/>
  <c r="CE58" i="113" s="1"/>
  <c r="CD58" i="113"/>
  <c r="CF58" i="113"/>
  <c r="CH58" i="113" s="1"/>
  <c r="CG58" i="113"/>
  <c r="CI58" i="113"/>
  <c r="Q59" i="113"/>
  <c r="AN59" i="113" s="1"/>
  <c r="R59" i="113"/>
  <c r="S59" i="113"/>
  <c r="T59" i="113"/>
  <c r="U59" i="113"/>
  <c r="V59" i="113"/>
  <c r="X59" i="113" s="1"/>
  <c r="W59" i="113"/>
  <c r="Y59" i="113"/>
  <c r="AA59" i="113" s="1"/>
  <c r="Z59" i="113"/>
  <c r="AB59" i="113"/>
  <c r="AC59" i="113"/>
  <c r="AE59" i="113" s="1"/>
  <c r="AD59" i="113"/>
  <c r="AF59" i="113"/>
  <c r="AG59" i="113"/>
  <c r="AH59" i="113"/>
  <c r="AI59" i="113"/>
  <c r="AJ59" i="113"/>
  <c r="AK59" i="113"/>
  <c r="AL59" i="113"/>
  <c r="AM59" i="113"/>
  <c r="AO59" i="113"/>
  <c r="AQ59" i="113" s="1"/>
  <c r="AP59" i="113"/>
  <c r="AR59" i="113"/>
  <c r="AS59" i="113"/>
  <c r="AU59" i="113" s="1"/>
  <c r="AT59" i="113"/>
  <c r="AV59" i="113"/>
  <c r="AW59" i="113"/>
  <c r="AX59" i="113"/>
  <c r="AY59" i="113"/>
  <c r="AZ59" i="113"/>
  <c r="BA59" i="113"/>
  <c r="BB59" i="113"/>
  <c r="BC59" i="113"/>
  <c r="BD59" i="113"/>
  <c r="BE59" i="113"/>
  <c r="BF59" i="113"/>
  <c r="BG59" i="113"/>
  <c r="BH59" i="113"/>
  <c r="BI59" i="113"/>
  <c r="BJ59" i="113"/>
  <c r="BK59" i="113"/>
  <c r="BL59" i="113"/>
  <c r="BM59" i="113"/>
  <c r="BN59" i="113"/>
  <c r="BO59" i="113"/>
  <c r="BP59" i="113"/>
  <c r="BQ59" i="113"/>
  <c r="BR59" i="113"/>
  <c r="BS59" i="113"/>
  <c r="BT59" i="113"/>
  <c r="BU59" i="113"/>
  <c r="BV59" i="113"/>
  <c r="CB59" i="113"/>
  <c r="CC59" i="113"/>
  <c r="CD59" i="113"/>
  <c r="CE59" i="113"/>
  <c r="CF59" i="113"/>
  <c r="CH59" i="113" s="1"/>
  <c r="CG59" i="113"/>
  <c r="CI59" i="113"/>
  <c r="Q60" i="113"/>
  <c r="AN60" i="113" s="1"/>
  <c r="R60" i="113"/>
  <c r="S60" i="113"/>
  <c r="T60" i="113"/>
  <c r="U60" i="113"/>
  <c r="V60" i="113"/>
  <c r="X60" i="113" s="1"/>
  <c r="W60" i="113"/>
  <c r="Y60" i="113"/>
  <c r="AA60" i="113" s="1"/>
  <c r="Z60" i="113"/>
  <c r="AB60" i="113"/>
  <c r="AC60" i="113"/>
  <c r="AE60" i="113" s="1"/>
  <c r="AD60" i="113"/>
  <c r="AF60" i="113"/>
  <c r="AG60" i="113"/>
  <c r="AH60" i="113"/>
  <c r="AI60" i="113"/>
  <c r="AJ60" i="113"/>
  <c r="AK60" i="113"/>
  <c r="AL60" i="113"/>
  <c r="AM60" i="113"/>
  <c r="AO60" i="113"/>
  <c r="AQ60" i="113" s="1"/>
  <c r="AP60" i="113"/>
  <c r="AR60" i="113"/>
  <c r="AS60" i="113"/>
  <c r="AU60" i="113" s="1"/>
  <c r="AT60" i="113"/>
  <c r="AV60" i="113"/>
  <c r="AX60" i="113" s="1"/>
  <c r="AW60" i="113"/>
  <c r="AY60" i="113"/>
  <c r="AZ60" i="113"/>
  <c r="BB60" i="113" s="1"/>
  <c r="BA60" i="113"/>
  <c r="BC60" i="113"/>
  <c r="BD60" i="113"/>
  <c r="BE60" i="113"/>
  <c r="BF60" i="113"/>
  <c r="BG60" i="113"/>
  <c r="BH60" i="113"/>
  <c r="BI60" i="113"/>
  <c r="BJ60" i="113"/>
  <c r="BK60" i="113"/>
  <c r="BL60" i="113"/>
  <c r="BM60" i="113"/>
  <c r="BN60" i="113"/>
  <c r="BO60" i="113"/>
  <c r="BP60" i="113"/>
  <c r="BQ60" i="113"/>
  <c r="BR60" i="113"/>
  <c r="BS60" i="113"/>
  <c r="BT60" i="113"/>
  <c r="BU60" i="113"/>
  <c r="BV60" i="113"/>
  <c r="CB60" i="113"/>
  <c r="CC60" i="113"/>
  <c r="CE60" i="113" s="1"/>
  <c r="CD60" i="113"/>
  <c r="CF60" i="113"/>
  <c r="CH60" i="113" s="1"/>
  <c r="CG60" i="113"/>
  <c r="CI60" i="113"/>
  <c r="Q61" i="113"/>
  <c r="AN61" i="113" s="1"/>
  <c r="R61" i="113"/>
  <c r="S61" i="113"/>
  <c r="T61" i="113"/>
  <c r="U61" i="113"/>
  <c r="V61" i="113"/>
  <c r="X61" i="113" s="1"/>
  <c r="W61" i="113"/>
  <c r="Y61" i="113"/>
  <c r="AA61" i="113" s="1"/>
  <c r="Z61" i="113"/>
  <c r="AB61" i="113"/>
  <c r="AC61" i="113"/>
  <c r="AE61" i="113" s="1"/>
  <c r="AD61" i="113"/>
  <c r="AF61" i="113"/>
  <c r="AG61" i="113"/>
  <c r="AH61" i="113"/>
  <c r="AI61" i="113"/>
  <c r="AJ61" i="113"/>
  <c r="AK61" i="113"/>
  <c r="AL61" i="113"/>
  <c r="AM61" i="113"/>
  <c r="AO61" i="113"/>
  <c r="AQ61" i="113" s="1"/>
  <c r="AP61" i="113"/>
  <c r="AR61" i="113"/>
  <c r="AS61" i="113"/>
  <c r="AU61" i="113" s="1"/>
  <c r="AT61" i="113"/>
  <c r="AV61" i="113"/>
  <c r="AX61" i="113" s="1"/>
  <c r="AW61" i="113"/>
  <c r="AY61" i="113"/>
  <c r="AZ61" i="113"/>
  <c r="BB61" i="113" s="1"/>
  <c r="BA61" i="113"/>
  <c r="BC61" i="113"/>
  <c r="BD61" i="113"/>
  <c r="BE61" i="113"/>
  <c r="BF61" i="113"/>
  <c r="BG61" i="113"/>
  <c r="BH61" i="113"/>
  <c r="BI61" i="113"/>
  <c r="BJ61" i="113"/>
  <c r="BK61" i="113"/>
  <c r="BL61" i="113"/>
  <c r="BM61" i="113"/>
  <c r="BN61" i="113"/>
  <c r="BO61" i="113"/>
  <c r="BP61" i="113"/>
  <c r="BQ61" i="113"/>
  <c r="BR61" i="113"/>
  <c r="BS61" i="113"/>
  <c r="BT61" i="113"/>
  <c r="BU61" i="113"/>
  <c r="BV61" i="113"/>
  <c r="CB61" i="113"/>
  <c r="CC61" i="113"/>
  <c r="CE61" i="113" s="1"/>
  <c r="CD61" i="113"/>
  <c r="CF61" i="113"/>
  <c r="CH61" i="113" s="1"/>
  <c r="CG61" i="113"/>
  <c r="CI61" i="113"/>
  <c r="Q62" i="113"/>
  <c r="AN62" i="113" s="1"/>
  <c r="R62" i="113"/>
  <c r="S62" i="113"/>
  <c r="T62" i="113"/>
  <c r="U62" i="113"/>
  <c r="V62" i="113"/>
  <c r="X62" i="113" s="1"/>
  <c r="W62" i="113"/>
  <c r="Y62" i="113"/>
  <c r="AA62" i="113" s="1"/>
  <c r="Z62" i="113"/>
  <c r="AB62" i="113"/>
  <c r="AC62" i="113"/>
  <c r="AE62" i="113" s="1"/>
  <c r="AD62" i="113"/>
  <c r="AF62" i="113"/>
  <c r="AG62" i="113"/>
  <c r="AH62" i="113"/>
  <c r="AI62" i="113"/>
  <c r="AJ62" i="113"/>
  <c r="AK62" i="113"/>
  <c r="AL62" i="113"/>
  <c r="AM62" i="113"/>
  <c r="AO62" i="113"/>
  <c r="AQ62" i="113" s="1"/>
  <c r="AP62" i="113"/>
  <c r="AR62" i="113"/>
  <c r="AS62" i="113"/>
  <c r="AU62" i="113" s="1"/>
  <c r="AT62" i="113"/>
  <c r="AV62" i="113"/>
  <c r="AX62" i="113" s="1"/>
  <c r="AW62" i="113"/>
  <c r="AY62" i="113"/>
  <c r="AZ62" i="113"/>
  <c r="BB62" i="113" s="1"/>
  <c r="BA62" i="113"/>
  <c r="BC62" i="113"/>
  <c r="BD62" i="113"/>
  <c r="BE62" i="113"/>
  <c r="BF62" i="113"/>
  <c r="BG62" i="113"/>
  <c r="BH62" i="113"/>
  <c r="BI62" i="113"/>
  <c r="BJ62" i="113"/>
  <c r="BK62" i="113"/>
  <c r="BL62" i="113"/>
  <c r="BM62" i="113"/>
  <c r="BN62" i="113"/>
  <c r="BO62" i="113"/>
  <c r="BP62" i="113"/>
  <c r="BQ62" i="113"/>
  <c r="BR62" i="113"/>
  <c r="BS62" i="113"/>
  <c r="BT62" i="113"/>
  <c r="BU62" i="113"/>
  <c r="BV62" i="113"/>
  <c r="CB62" i="113"/>
  <c r="CC62" i="113"/>
  <c r="CE62" i="113" s="1"/>
  <c r="CD62" i="113"/>
  <c r="CF62" i="113"/>
  <c r="CH62" i="113" s="1"/>
  <c r="CG62" i="113"/>
  <c r="CI62" i="113"/>
  <c r="Q63" i="113"/>
  <c r="AN63" i="113" s="1"/>
  <c r="R63" i="113"/>
  <c r="S63" i="113"/>
  <c r="T63" i="113"/>
  <c r="U63" i="113"/>
  <c r="V63" i="113"/>
  <c r="X63" i="113" s="1"/>
  <c r="W63" i="113"/>
  <c r="Y63" i="113"/>
  <c r="AA63" i="113" s="1"/>
  <c r="Z63" i="113"/>
  <c r="AB63" i="113"/>
  <c r="AC63" i="113"/>
  <c r="AE63" i="113" s="1"/>
  <c r="AD63" i="113"/>
  <c r="AF63" i="113"/>
  <c r="AG63" i="113"/>
  <c r="AH63" i="113"/>
  <c r="AI63" i="113"/>
  <c r="AJ63" i="113"/>
  <c r="AK63" i="113"/>
  <c r="AL63" i="113"/>
  <c r="AM63" i="113"/>
  <c r="AO63" i="113"/>
  <c r="AQ63" i="113" s="1"/>
  <c r="AP63" i="113"/>
  <c r="AR63" i="113"/>
  <c r="AS63" i="113"/>
  <c r="AU63" i="113" s="1"/>
  <c r="AT63" i="113"/>
  <c r="AV63" i="113"/>
  <c r="AX63" i="113" s="1"/>
  <c r="AW63" i="113"/>
  <c r="AY63" i="113"/>
  <c r="AZ63" i="113"/>
  <c r="BB63" i="113" s="1"/>
  <c r="BA63" i="113"/>
  <c r="BC63" i="113"/>
  <c r="BD63" i="113"/>
  <c r="BE63" i="113"/>
  <c r="BF63" i="113"/>
  <c r="BG63" i="113"/>
  <c r="BH63" i="113"/>
  <c r="BI63" i="113"/>
  <c r="BJ63" i="113"/>
  <c r="BK63" i="113"/>
  <c r="BL63" i="113"/>
  <c r="BM63" i="113"/>
  <c r="BN63" i="113"/>
  <c r="BO63" i="113"/>
  <c r="BP63" i="113"/>
  <c r="BQ63" i="113"/>
  <c r="BR63" i="113"/>
  <c r="BS63" i="113"/>
  <c r="BT63" i="113"/>
  <c r="BU63" i="113"/>
  <c r="BV63" i="113"/>
  <c r="CB63" i="113"/>
  <c r="CC63" i="113"/>
  <c r="CE63" i="113" s="1"/>
  <c r="CD63" i="113"/>
  <c r="CF63" i="113"/>
  <c r="CH63" i="113" s="1"/>
  <c r="CG63" i="113"/>
  <c r="CI63" i="113"/>
  <c r="Q64" i="113"/>
  <c r="AN64" i="113" s="1"/>
  <c r="R64" i="113"/>
  <c r="S64" i="113"/>
  <c r="T64" i="113"/>
  <c r="U64" i="113"/>
  <c r="V64" i="113"/>
  <c r="X64" i="113" s="1"/>
  <c r="W64" i="113"/>
  <c r="Y64" i="113"/>
  <c r="AA64" i="113" s="1"/>
  <c r="Z64" i="113"/>
  <c r="AB64" i="113"/>
  <c r="AC64" i="113"/>
  <c r="AE64" i="113" s="1"/>
  <c r="AD64" i="113"/>
  <c r="AF64" i="113"/>
  <c r="AG64" i="113"/>
  <c r="AH64" i="113"/>
  <c r="AI64" i="113"/>
  <c r="AJ64" i="113"/>
  <c r="AK64" i="113"/>
  <c r="AL64" i="113"/>
  <c r="AM64" i="113"/>
  <c r="AO64" i="113"/>
  <c r="AQ64" i="113" s="1"/>
  <c r="AP64" i="113"/>
  <c r="AR64" i="113"/>
  <c r="AS64" i="113"/>
  <c r="AU64" i="113" s="1"/>
  <c r="AT64" i="113"/>
  <c r="AV64" i="113"/>
  <c r="AX64" i="113" s="1"/>
  <c r="AW64" i="113"/>
  <c r="AY64" i="113"/>
  <c r="AZ64" i="113"/>
  <c r="BB64" i="113" s="1"/>
  <c r="BA64" i="113"/>
  <c r="BC64" i="113"/>
  <c r="BD64" i="113"/>
  <c r="BE64" i="113"/>
  <c r="BF64" i="113"/>
  <c r="BG64" i="113"/>
  <c r="BH64" i="113"/>
  <c r="BI64" i="113"/>
  <c r="BJ64" i="113"/>
  <c r="BK64" i="113"/>
  <c r="BL64" i="113"/>
  <c r="BM64" i="113"/>
  <c r="BN64" i="113"/>
  <c r="BO64" i="113"/>
  <c r="BP64" i="113"/>
  <c r="BQ64" i="113"/>
  <c r="BR64" i="113"/>
  <c r="BS64" i="113"/>
  <c r="BT64" i="113"/>
  <c r="BU64" i="113"/>
  <c r="BV64" i="113"/>
  <c r="CB64" i="113"/>
  <c r="CC64" i="113"/>
  <c r="CE64" i="113" s="1"/>
  <c r="CD64" i="113"/>
  <c r="CF64" i="113"/>
  <c r="CH64" i="113" s="1"/>
  <c r="CG64" i="113"/>
  <c r="CI64" i="113"/>
  <c r="Q65" i="113"/>
  <c r="AN65" i="113" s="1"/>
  <c r="R65" i="113"/>
  <c r="S65" i="113"/>
  <c r="T65" i="113"/>
  <c r="U65" i="113"/>
  <c r="V65" i="113"/>
  <c r="X65" i="113" s="1"/>
  <c r="W65" i="113"/>
  <c r="Y65" i="113"/>
  <c r="AA65" i="113" s="1"/>
  <c r="Z65" i="113"/>
  <c r="AB65" i="113"/>
  <c r="AC65" i="113"/>
  <c r="AE65" i="113" s="1"/>
  <c r="AD65" i="113"/>
  <c r="AF65" i="113"/>
  <c r="AG65" i="113"/>
  <c r="AH65" i="113"/>
  <c r="AI65" i="113"/>
  <c r="AJ65" i="113"/>
  <c r="AK65" i="113"/>
  <c r="AL65" i="113"/>
  <c r="AM65" i="113"/>
  <c r="AO65" i="113"/>
  <c r="AQ65" i="113" s="1"/>
  <c r="AP65" i="113"/>
  <c r="AR65" i="113"/>
  <c r="AS65" i="113"/>
  <c r="AU65" i="113" s="1"/>
  <c r="AT65" i="113"/>
  <c r="AV65" i="113"/>
  <c r="AX65" i="113" s="1"/>
  <c r="AW65" i="113"/>
  <c r="AY65" i="113"/>
  <c r="AZ65" i="113"/>
  <c r="BB65" i="113" s="1"/>
  <c r="BA65" i="113"/>
  <c r="BC65" i="113"/>
  <c r="BD65" i="113"/>
  <c r="BE65" i="113"/>
  <c r="BF65" i="113"/>
  <c r="BG65" i="113"/>
  <c r="BH65" i="113"/>
  <c r="BI65" i="113"/>
  <c r="BJ65" i="113"/>
  <c r="BK65" i="113"/>
  <c r="BL65" i="113"/>
  <c r="BM65" i="113"/>
  <c r="BN65" i="113"/>
  <c r="BO65" i="113"/>
  <c r="BP65" i="113"/>
  <c r="BQ65" i="113"/>
  <c r="BR65" i="113"/>
  <c r="BS65" i="113"/>
  <c r="BT65" i="113"/>
  <c r="BU65" i="113"/>
  <c r="BV65" i="113"/>
  <c r="CB65" i="113"/>
  <c r="CC65" i="113"/>
  <c r="CE65" i="113" s="1"/>
  <c r="CD65" i="113"/>
  <c r="CF65" i="113"/>
  <c r="CH65" i="113" s="1"/>
  <c r="CG65" i="113"/>
  <c r="CI65" i="113"/>
  <c r="Q66" i="113"/>
  <c r="AN66" i="113" s="1"/>
  <c r="R66" i="113"/>
  <c r="S66" i="113"/>
  <c r="T66" i="113"/>
  <c r="U66" i="113"/>
  <c r="V66" i="113"/>
  <c r="X66" i="113" s="1"/>
  <c r="W66" i="113"/>
  <c r="Y66" i="113"/>
  <c r="AA66" i="113" s="1"/>
  <c r="Z66" i="113"/>
  <c r="AB66" i="113"/>
  <c r="AC66" i="113"/>
  <c r="AE66" i="113" s="1"/>
  <c r="AD66" i="113"/>
  <c r="AF66" i="113"/>
  <c r="AG66" i="113"/>
  <c r="AH66" i="113"/>
  <c r="AI66" i="113"/>
  <c r="AJ66" i="113"/>
  <c r="AK66" i="113"/>
  <c r="AL66" i="113"/>
  <c r="AM66" i="113"/>
  <c r="AO66" i="113"/>
  <c r="AP66" i="113"/>
  <c r="AQ66" i="113"/>
  <c r="AR66" i="113"/>
  <c r="AS66" i="113"/>
  <c r="AT66" i="113"/>
  <c r="AU66" i="113"/>
  <c r="AV66" i="113"/>
  <c r="AX66" i="113" s="1"/>
  <c r="AW66" i="113"/>
  <c r="AY66" i="113"/>
  <c r="AZ66" i="113"/>
  <c r="BB66" i="113" s="1"/>
  <c r="BA66" i="113"/>
  <c r="BC66" i="113"/>
  <c r="BD66" i="113"/>
  <c r="BE66" i="113"/>
  <c r="BF66" i="113"/>
  <c r="BG66" i="113"/>
  <c r="BH66" i="113"/>
  <c r="BI66" i="113"/>
  <c r="BJ66" i="113"/>
  <c r="BK66" i="113"/>
  <c r="BL66" i="113"/>
  <c r="BM66" i="113"/>
  <c r="BN66" i="113"/>
  <c r="BO66" i="113"/>
  <c r="BP66" i="113"/>
  <c r="BQ66" i="113"/>
  <c r="BR66" i="113"/>
  <c r="BS66" i="113"/>
  <c r="BT66" i="113"/>
  <c r="BU66" i="113"/>
  <c r="BV66" i="113"/>
  <c r="CB66" i="113"/>
  <c r="CC66" i="113"/>
  <c r="CE66" i="113" s="1"/>
  <c r="CD66" i="113"/>
  <c r="CF66" i="113"/>
  <c r="CH66" i="113" s="1"/>
  <c r="CG66" i="113"/>
  <c r="CI66" i="113"/>
  <c r="Q67" i="113"/>
  <c r="AN67" i="113" s="1"/>
  <c r="R67" i="113"/>
  <c r="S67" i="113"/>
  <c r="T67" i="113"/>
  <c r="U67" i="113"/>
  <c r="V67" i="113"/>
  <c r="X67" i="113" s="1"/>
  <c r="W67" i="113"/>
  <c r="Y67" i="113"/>
  <c r="AA67" i="113" s="1"/>
  <c r="Z67" i="113"/>
  <c r="AB67" i="113"/>
  <c r="AC67" i="113"/>
  <c r="AE67" i="113" s="1"/>
  <c r="AD67" i="113"/>
  <c r="AF67" i="113"/>
  <c r="AG67" i="113"/>
  <c r="AH67" i="113"/>
  <c r="AI67" i="113"/>
  <c r="AJ67" i="113"/>
  <c r="AK67" i="113"/>
  <c r="AL67" i="113"/>
  <c r="AM67" i="113"/>
  <c r="AO67" i="113"/>
  <c r="AQ67" i="113" s="1"/>
  <c r="AP67" i="113"/>
  <c r="AR67" i="113"/>
  <c r="AS67" i="113"/>
  <c r="AU67" i="113" s="1"/>
  <c r="AT67" i="113"/>
  <c r="AV67" i="113"/>
  <c r="AX67" i="113" s="1"/>
  <c r="AW67" i="113"/>
  <c r="AY67" i="113"/>
  <c r="AZ67" i="113"/>
  <c r="BB67" i="113" s="1"/>
  <c r="BA67" i="113"/>
  <c r="BC67" i="113"/>
  <c r="BD67" i="113"/>
  <c r="BE67" i="113"/>
  <c r="BF67" i="113"/>
  <c r="BG67" i="113"/>
  <c r="BH67" i="113"/>
  <c r="BI67" i="113"/>
  <c r="BJ67" i="113"/>
  <c r="BK67" i="113"/>
  <c r="BL67" i="113"/>
  <c r="BM67" i="113"/>
  <c r="BN67" i="113"/>
  <c r="BO67" i="113"/>
  <c r="BP67" i="113"/>
  <c r="BQ67" i="113"/>
  <c r="BR67" i="113"/>
  <c r="BS67" i="113"/>
  <c r="BT67" i="113"/>
  <c r="BU67" i="113"/>
  <c r="BV67" i="113"/>
  <c r="CB67" i="113"/>
  <c r="CC67" i="113"/>
  <c r="CE67" i="113" s="1"/>
  <c r="CD67" i="113"/>
  <c r="CF67" i="113"/>
  <c r="CH67" i="113" s="1"/>
  <c r="CG67" i="113"/>
  <c r="CI67" i="113"/>
  <c r="Q68" i="113"/>
  <c r="AN68" i="113" s="1"/>
  <c r="R68" i="113"/>
  <c r="S68" i="113"/>
  <c r="T68" i="113"/>
  <c r="U68" i="113"/>
  <c r="V68" i="113"/>
  <c r="X68" i="113" s="1"/>
  <c r="W68" i="113"/>
  <c r="Y68" i="113"/>
  <c r="AA68" i="113" s="1"/>
  <c r="Z68" i="113"/>
  <c r="AB68" i="113"/>
  <c r="AC68" i="113"/>
  <c r="AE68" i="113" s="1"/>
  <c r="AD68" i="113"/>
  <c r="AF68" i="113"/>
  <c r="AG68" i="113"/>
  <c r="AH68" i="113"/>
  <c r="AI68" i="113"/>
  <c r="AJ68" i="113"/>
  <c r="AK68" i="113"/>
  <c r="AL68" i="113"/>
  <c r="AM68" i="113"/>
  <c r="AO68" i="113"/>
  <c r="AQ68" i="113" s="1"/>
  <c r="AP68" i="113"/>
  <c r="AR68" i="113"/>
  <c r="AS68" i="113"/>
  <c r="AU68" i="113" s="1"/>
  <c r="AT68" i="113"/>
  <c r="AV68" i="113"/>
  <c r="AX68" i="113" s="1"/>
  <c r="AW68" i="113"/>
  <c r="AY68" i="113"/>
  <c r="AZ68" i="113"/>
  <c r="BB68" i="113" s="1"/>
  <c r="BA68" i="113"/>
  <c r="BC68" i="113"/>
  <c r="BD68" i="113"/>
  <c r="BE68" i="113"/>
  <c r="BF68" i="113"/>
  <c r="BG68" i="113"/>
  <c r="BH68" i="113"/>
  <c r="BI68" i="113"/>
  <c r="BJ68" i="113"/>
  <c r="BK68" i="113"/>
  <c r="BL68" i="113"/>
  <c r="BM68" i="113"/>
  <c r="BN68" i="113"/>
  <c r="BO68" i="113"/>
  <c r="BP68" i="113"/>
  <c r="BQ68" i="113"/>
  <c r="BR68" i="113"/>
  <c r="BS68" i="113"/>
  <c r="BT68" i="113"/>
  <c r="BU68" i="113"/>
  <c r="BV68" i="113"/>
  <c r="CB68" i="113"/>
  <c r="CC68" i="113"/>
  <c r="CE68" i="113" s="1"/>
  <c r="CD68" i="113"/>
  <c r="CF68" i="113"/>
  <c r="CH68" i="113" s="1"/>
  <c r="CG68" i="113"/>
  <c r="CI68" i="113"/>
  <c r="Q69" i="113"/>
  <c r="AN69" i="113" s="1"/>
  <c r="R69" i="113"/>
  <c r="S69" i="113"/>
  <c r="T69" i="113"/>
  <c r="U69" i="113"/>
  <c r="V69" i="113"/>
  <c r="X69" i="113" s="1"/>
  <c r="W69" i="113"/>
  <c r="Y69" i="113"/>
  <c r="AA69" i="113" s="1"/>
  <c r="Z69" i="113"/>
  <c r="AB69" i="113"/>
  <c r="AC69" i="113"/>
  <c r="AE69" i="113" s="1"/>
  <c r="AD69" i="113"/>
  <c r="AF69" i="113"/>
  <c r="AG69" i="113"/>
  <c r="AH69" i="113"/>
  <c r="AI69" i="113"/>
  <c r="AJ69" i="113"/>
  <c r="AK69" i="113"/>
  <c r="AL69" i="113"/>
  <c r="AM69" i="113"/>
  <c r="AO69" i="113"/>
  <c r="AQ69" i="113" s="1"/>
  <c r="AP69" i="113"/>
  <c r="AR69" i="113"/>
  <c r="AS69" i="113"/>
  <c r="AU69" i="113" s="1"/>
  <c r="AT69" i="113"/>
  <c r="AV69" i="113"/>
  <c r="AX69" i="113" s="1"/>
  <c r="AW69" i="113"/>
  <c r="AY69" i="113"/>
  <c r="AZ69" i="113"/>
  <c r="BB69" i="113" s="1"/>
  <c r="BA69" i="113"/>
  <c r="BC69" i="113"/>
  <c r="BD69" i="113"/>
  <c r="BE69" i="113"/>
  <c r="BF69" i="113"/>
  <c r="BG69" i="113"/>
  <c r="BH69" i="113"/>
  <c r="BI69" i="113"/>
  <c r="BJ69" i="113"/>
  <c r="BK69" i="113"/>
  <c r="BL69" i="113"/>
  <c r="BM69" i="113"/>
  <c r="BN69" i="113"/>
  <c r="BO69" i="113"/>
  <c r="BP69" i="113"/>
  <c r="BQ69" i="113"/>
  <c r="BR69" i="113"/>
  <c r="BS69" i="113"/>
  <c r="BT69" i="113"/>
  <c r="BU69" i="113"/>
  <c r="BV69" i="113"/>
  <c r="CB69" i="113"/>
  <c r="CC69" i="113"/>
  <c r="CE69" i="113" s="1"/>
  <c r="CD69" i="113"/>
  <c r="CF69" i="113"/>
  <c r="CH69" i="113" s="1"/>
  <c r="CG69" i="113"/>
  <c r="CI69" i="113"/>
  <c r="Q70" i="113"/>
  <c r="AN70" i="113" s="1"/>
  <c r="R70" i="113"/>
  <c r="S70" i="113"/>
  <c r="T70" i="113"/>
  <c r="U70" i="113"/>
  <c r="V70" i="113"/>
  <c r="X70" i="113" s="1"/>
  <c r="W70" i="113"/>
  <c r="Y70" i="113"/>
  <c r="AA70" i="113" s="1"/>
  <c r="Z70" i="113"/>
  <c r="AB70" i="113"/>
  <c r="AC70" i="113"/>
  <c r="AE70" i="113" s="1"/>
  <c r="AD70" i="113"/>
  <c r="AF70" i="113"/>
  <c r="AG70" i="113"/>
  <c r="AH70" i="113"/>
  <c r="AI70" i="113"/>
  <c r="AJ70" i="113"/>
  <c r="AK70" i="113"/>
  <c r="AL70" i="113"/>
  <c r="AM70" i="113"/>
  <c r="AO70" i="113"/>
  <c r="AQ70" i="113" s="1"/>
  <c r="AP70" i="113"/>
  <c r="AR70" i="113"/>
  <c r="AS70" i="113"/>
  <c r="AU70" i="113" s="1"/>
  <c r="AT70" i="113"/>
  <c r="AV70" i="113"/>
  <c r="AX70" i="113" s="1"/>
  <c r="AW70" i="113"/>
  <c r="AY70" i="113"/>
  <c r="AZ70" i="113"/>
  <c r="BB70" i="113" s="1"/>
  <c r="BA70" i="113"/>
  <c r="BC70" i="113"/>
  <c r="BD70" i="113"/>
  <c r="BE70" i="113"/>
  <c r="BF70" i="113"/>
  <c r="BG70" i="113"/>
  <c r="BH70" i="113"/>
  <c r="BI70" i="113"/>
  <c r="BJ70" i="113"/>
  <c r="BK70" i="113"/>
  <c r="BL70" i="113"/>
  <c r="BM70" i="113"/>
  <c r="BN70" i="113"/>
  <c r="BO70" i="113"/>
  <c r="BP70" i="113"/>
  <c r="BQ70" i="113"/>
  <c r="BR70" i="113"/>
  <c r="BS70" i="113"/>
  <c r="BT70" i="113"/>
  <c r="BU70" i="113"/>
  <c r="BV70" i="113"/>
  <c r="CB70" i="113"/>
  <c r="CC70" i="113"/>
  <c r="CE70" i="113" s="1"/>
  <c r="CD70" i="113"/>
  <c r="CF70" i="113"/>
  <c r="CH70" i="113" s="1"/>
  <c r="CG70" i="113"/>
  <c r="CI70" i="113"/>
  <c r="Q71" i="113"/>
  <c r="AN71" i="113" s="1"/>
  <c r="R71" i="113"/>
  <c r="S71" i="113"/>
  <c r="T71" i="113"/>
  <c r="U71" i="113"/>
  <c r="V71" i="113"/>
  <c r="X71" i="113" s="1"/>
  <c r="W71" i="113"/>
  <c r="Y71" i="113"/>
  <c r="AA71" i="113" s="1"/>
  <c r="Z71" i="113"/>
  <c r="AB71" i="113"/>
  <c r="AC71" i="113"/>
  <c r="AE71" i="113" s="1"/>
  <c r="AD71" i="113"/>
  <c r="AF71" i="113"/>
  <c r="AG71" i="113"/>
  <c r="AH71" i="113"/>
  <c r="AI71" i="113"/>
  <c r="AJ71" i="113"/>
  <c r="AK71" i="113"/>
  <c r="AL71" i="113"/>
  <c r="AM71" i="113"/>
  <c r="AO71" i="113"/>
  <c r="AQ71" i="113" s="1"/>
  <c r="AP71" i="113"/>
  <c r="AR71" i="113"/>
  <c r="AS71" i="113"/>
  <c r="AU71" i="113" s="1"/>
  <c r="AT71" i="113"/>
  <c r="AV71" i="113"/>
  <c r="AX71" i="113" s="1"/>
  <c r="AW71" i="113"/>
  <c r="AY71" i="113"/>
  <c r="AZ71" i="113"/>
  <c r="BB71" i="113" s="1"/>
  <c r="BA71" i="113"/>
  <c r="BC71" i="113"/>
  <c r="BD71" i="113"/>
  <c r="BE71" i="113"/>
  <c r="BF71" i="113"/>
  <c r="BG71" i="113"/>
  <c r="BH71" i="113"/>
  <c r="BI71" i="113"/>
  <c r="BJ71" i="113"/>
  <c r="BK71" i="113"/>
  <c r="BL71" i="113"/>
  <c r="BM71" i="113"/>
  <c r="BN71" i="113"/>
  <c r="BO71" i="113"/>
  <c r="BP71" i="113"/>
  <c r="BQ71" i="113"/>
  <c r="BR71" i="113"/>
  <c r="BS71" i="113"/>
  <c r="BT71" i="113"/>
  <c r="BU71" i="113"/>
  <c r="BV71" i="113"/>
  <c r="CB71" i="113"/>
  <c r="CC71" i="113"/>
  <c r="CE71" i="113" s="1"/>
  <c r="CD71" i="113"/>
  <c r="CF71" i="113"/>
  <c r="CH71" i="113" s="1"/>
  <c r="CG71" i="113"/>
  <c r="CI71" i="113"/>
  <c r="Q72" i="113"/>
  <c r="AN72" i="113" s="1"/>
  <c r="R72" i="113"/>
  <c r="S72" i="113"/>
  <c r="T72" i="113"/>
  <c r="U72" i="113"/>
  <c r="V72" i="113"/>
  <c r="X72" i="113" s="1"/>
  <c r="W72" i="113"/>
  <c r="Y72" i="113"/>
  <c r="AA72" i="113" s="1"/>
  <c r="Z72" i="113"/>
  <c r="AB72" i="113"/>
  <c r="AC72" i="113"/>
  <c r="AE72" i="113" s="1"/>
  <c r="AD72" i="113"/>
  <c r="AF72" i="113"/>
  <c r="AG72" i="113"/>
  <c r="AH72" i="113"/>
  <c r="AI72" i="113"/>
  <c r="AJ72" i="113"/>
  <c r="AK72" i="113"/>
  <c r="AL72" i="113"/>
  <c r="AM72" i="113"/>
  <c r="AO72" i="113"/>
  <c r="AQ72" i="113" s="1"/>
  <c r="AP72" i="113"/>
  <c r="AR72" i="113"/>
  <c r="AS72" i="113"/>
  <c r="AU72" i="113" s="1"/>
  <c r="AT72" i="113"/>
  <c r="AV72" i="113"/>
  <c r="AX72" i="113" s="1"/>
  <c r="AW72" i="113"/>
  <c r="AY72" i="113"/>
  <c r="AZ72" i="113"/>
  <c r="BB72" i="113" s="1"/>
  <c r="BA72" i="113"/>
  <c r="BC72" i="113"/>
  <c r="BD72" i="113"/>
  <c r="BE72" i="113"/>
  <c r="BF72" i="113"/>
  <c r="BG72" i="113"/>
  <c r="BH72" i="113"/>
  <c r="BI72" i="113"/>
  <c r="BJ72" i="113"/>
  <c r="BK72" i="113"/>
  <c r="BL72" i="113"/>
  <c r="BM72" i="113"/>
  <c r="BN72" i="113"/>
  <c r="BO72" i="113"/>
  <c r="BP72" i="113"/>
  <c r="BQ72" i="113"/>
  <c r="BR72" i="113"/>
  <c r="BS72" i="113"/>
  <c r="BT72" i="113"/>
  <c r="BU72" i="113"/>
  <c r="BV72" i="113"/>
  <c r="CB72" i="113"/>
  <c r="CC72" i="113"/>
  <c r="CE72" i="113" s="1"/>
  <c r="CD72" i="113"/>
  <c r="CF72" i="113"/>
  <c r="CH72" i="113" s="1"/>
  <c r="CG72" i="113"/>
  <c r="CI72" i="113"/>
  <c r="Q73" i="113"/>
  <c r="AN73" i="113" s="1"/>
  <c r="R73" i="113"/>
  <c r="S73" i="113"/>
  <c r="T73" i="113"/>
  <c r="U73" i="113"/>
  <c r="V73" i="113"/>
  <c r="X73" i="113" s="1"/>
  <c r="W73" i="113"/>
  <c r="Y73" i="113"/>
  <c r="AA73" i="113" s="1"/>
  <c r="Z73" i="113"/>
  <c r="AB73" i="113"/>
  <c r="AC73" i="113"/>
  <c r="AE73" i="113" s="1"/>
  <c r="AD73" i="113"/>
  <c r="AF73" i="113"/>
  <c r="AG73" i="113"/>
  <c r="AH73" i="113"/>
  <c r="AI73" i="113"/>
  <c r="AJ73" i="113"/>
  <c r="AK73" i="113"/>
  <c r="AL73" i="113"/>
  <c r="AM73" i="113"/>
  <c r="AO73" i="113"/>
  <c r="AQ73" i="113" s="1"/>
  <c r="AP73" i="113"/>
  <c r="AR73" i="113"/>
  <c r="AS73" i="113"/>
  <c r="AU73" i="113" s="1"/>
  <c r="AT73" i="113"/>
  <c r="AV73" i="113"/>
  <c r="AX73" i="113" s="1"/>
  <c r="AW73" i="113"/>
  <c r="AY73" i="113"/>
  <c r="AZ73" i="113"/>
  <c r="BB73" i="113" s="1"/>
  <c r="BA73" i="113"/>
  <c r="BC73" i="113"/>
  <c r="BD73" i="113"/>
  <c r="BE73" i="113"/>
  <c r="BF73" i="113"/>
  <c r="BG73" i="113"/>
  <c r="BH73" i="113"/>
  <c r="BI73" i="113"/>
  <c r="BJ73" i="113"/>
  <c r="BK73" i="113"/>
  <c r="BL73" i="113"/>
  <c r="BM73" i="113"/>
  <c r="BN73" i="113"/>
  <c r="BO73" i="113"/>
  <c r="BP73" i="113"/>
  <c r="BQ73" i="113"/>
  <c r="BR73" i="113"/>
  <c r="BS73" i="113"/>
  <c r="BT73" i="113"/>
  <c r="BU73" i="113"/>
  <c r="BV73" i="113"/>
  <c r="CB73" i="113"/>
  <c r="CC73" i="113"/>
  <c r="CE73" i="113" s="1"/>
  <c r="CD73" i="113"/>
  <c r="CF73" i="113"/>
  <c r="CH73" i="113" s="1"/>
  <c r="CG73" i="113"/>
  <c r="CI73" i="113"/>
  <c r="Q74" i="113"/>
  <c r="AN74" i="113" s="1"/>
  <c r="R74" i="113"/>
  <c r="S74" i="113"/>
  <c r="T74" i="113"/>
  <c r="U74" i="113"/>
  <c r="V74" i="113"/>
  <c r="X74" i="113" s="1"/>
  <c r="W74" i="113"/>
  <c r="Y74" i="113"/>
  <c r="AA74" i="113" s="1"/>
  <c r="Z74" i="113"/>
  <c r="AB74" i="113"/>
  <c r="AC74" i="113"/>
  <c r="AE74" i="113" s="1"/>
  <c r="AD74" i="113"/>
  <c r="AF74" i="113"/>
  <c r="AG74" i="113"/>
  <c r="AH74" i="113"/>
  <c r="AI74" i="113"/>
  <c r="AJ74" i="113"/>
  <c r="AK74" i="113"/>
  <c r="AL74" i="113"/>
  <c r="AM74" i="113"/>
  <c r="AO74" i="113"/>
  <c r="AQ74" i="113" s="1"/>
  <c r="AP74" i="113"/>
  <c r="AR74" i="113"/>
  <c r="AS74" i="113"/>
  <c r="AU74" i="113" s="1"/>
  <c r="AT74" i="113"/>
  <c r="AV74" i="113"/>
  <c r="AX74" i="113" s="1"/>
  <c r="AW74" i="113"/>
  <c r="AY74" i="113"/>
  <c r="AZ74" i="113"/>
  <c r="BB74" i="113" s="1"/>
  <c r="BA74" i="113"/>
  <c r="BC74" i="113"/>
  <c r="BD74" i="113"/>
  <c r="BE74" i="113"/>
  <c r="BF74" i="113"/>
  <c r="BG74" i="113"/>
  <c r="BH74" i="113"/>
  <c r="BI74" i="113"/>
  <c r="BJ74" i="113"/>
  <c r="BK74" i="113"/>
  <c r="BL74" i="113"/>
  <c r="BM74" i="113"/>
  <c r="BN74" i="113"/>
  <c r="BO74" i="113"/>
  <c r="BP74" i="113"/>
  <c r="BQ74" i="113"/>
  <c r="BR74" i="113"/>
  <c r="BS74" i="113"/>
  <c r="BT74" i="113"/>
  <c r="BU74" i="113"/>
  <c r="BV74" i="113"/>
  <c r="CB74" i="113"/>
  <c r="CC74" i="113"/>
  <c r="CE74" i="113" s="1"/>
  <c r="CD74" i="113"/>
  <c r="CF74" i="113"/>
  <c r="CH74" i="113" s="1"/>
  <c r="CG74" i="113"/>
  <c r="CI74" i="113"/>
  <c r="Q75" i="113"/>
  <c r="AN75" i="113" s="1"/>
  <c r="R75" i="113"/>
  <c r="S75" i="113"/>
  <c r="T75" i="113"/>
  <c r="U75" i="113"/>
  <c r="V75" i="113"/>
  <c r="X75" i="113" s="1"/>
  <c r="W75" i="113"/>
  <c r="Y75" i="113"/>
  <c r="AA75" i="113" s="1"/>
  <c r="Z75" i="113"/>
  <c r="AB75" i="113"/>
  <c r="AC75" i="113"/>
  <c r="AE75" i="113" s="1"/>
  <c r="AD75" i="113"/>
  <c r="AF75" i="113"/>
  <c r="AG75" i="113"/>
  <c r="AH75" i="113"/>
  <c r="AI75" i="113"/>
  <c r="AJ75" i="113"/>
  <c r="AK75" i="113"/>
  <c r="AL75" i="113"/>
  <c r="AM75" i="113"/>
  <c r="AO75" i="113"/>
  <c r="AQ75" i="113" s="1"/>
  <c r="AP75" i="113"/>
  <c r="AR75" i="113"/>
  <c r="AS75" i="113"/>
  <c r="AU75" i="113" s="1"/>
  <c r="AT75" i="113"/>
  <c r="AV75" i="113"/>
  <c r="AX75" i="113" s="1"/>
  <c r="AW75" i="113"/>
  <c r="AY75" i="113"/>
  <c r="AZ75" i="113"/>
  <c r="BB75" i="113" s="1"/>
  <c r="BA75" i="113"/>
  <c r="BC75" i="113"/>
  <c r="BD75" i="113"/>
  <c r="BE75" i="113"/>
  <c r="BF75" i="113"/>
  <c r="BG75" i="113"/>
  <c r="BH75" i="113"/>
  <c r="BI75" i="113"/>
  <c r="BJ75" i="113"/>
  <c r="BK75" i="113"/>
  <c r="BL75" i="113"/>
  <c r="BM75" i="113"/>
  <c r="BN75" i="113"/>
  <c r="BO75" i="113"/>
  <c r="BP75" i="113"/>
  <c r="BQ75" i="113"/>
  <c r="BR75" i="113"/>
  <c r="BS75" i="113"/>
  <c r="BT75" i="113"/>
  <c r="BU75" i="113"/>
  <c r="BV75" i="113"/>
  <c r="CB75" i="113"/>
  <c r="CC75" i="113"/>
  <c r="CE75" i="113" s="1"/>
  <c r="CD75" i="113"/>
  <c r="CF75" i="113"/>
  <c r="CH75" i="113" s="1"/>
  <c r="CG75" i="113"/>
  <c r="CI75" i="113"/>
  <c r="Q76" i="113"/>
  <c r="AN76" i="113" s="1"/>
  <c r="R76" i="113"/>
  <c r="S76" i="113"/>
  <c r="T76" i="113"/>
  <c r="U76" i="113"/>
  <c r="V76" i="113"/>
  <c r="X76" i="113" s="1"/>
  <c r="W76" i="113"/>
  <c r="Y76" i="113"/>
  <c r="AA76" i="113" s="1"/>
  <c r="Z76" i="113"/>
  <c r="AB76" i="113"/>
  <c r="AC76" i="113"/>
  <c r="AE76" i="113" s="1"/>
  <c r="AD76" i="113"/>
  <c r="AF76" i="113"/>
  <c r="AG76" i="113"/>
  <c r="AH76" i="113"/>
  <c r="AI76" i="113"/>
  <c r="AJ76" i="113"/>
  <c r="AK76" i="113"/>
  <c r="AL76" i="113"/>
  <c r="AM76" i="113"/>
  <c r="AO76" i="113"/>
  <c r="AQ76" i="113" s="1"/>
  <c r="AP76" i="113"/>
  <c r="AR76" i="113"/>
  <c r="AS76" i="113"/>
  <c r="AU76" i="113" s="1"/>
  <c r="AT76" i="113"/>
  <c r="AV76" i="113"/>
  <c r="AX76" i="113" s="1"/>
  <c r="AW76" i="113"/>
  <c r="AY76" i="113"/>
  <c r="AZ76" i="113"/>
  <c r="BB76" i="113" s="1"/>
  <c r="BA76" i="113"/>
  <c r="BC76" i="113"/>
  <c r="BD76" i="113"/>
  <c r="BE76" i="113"/>
  <c r="BF76" i="113"/>
  <c r="BG76" i="113"/>
  <c r="BH76" i="113"/>
  <c r="BI76" i="113"/>
  <c r="BJ76" i="113"/>
  <c r="BK76" i="113"/>
  <c r="BL76" i="113"/>
  <c r="BM76" i="113"/>
  <c r="BN76" i="113"/>
  <c r="BO76" i="113"/>
  <c r="BP76" i="113"/>
  <c r="BQ76" i="113"/>
  <c r="BR76" i="113"/>
  <c r="BS76" i="113"/>
  <c r="BT76" i="113"/>
  <c r="BU76" i="113"/>
  <c r="BV76" i="113"/>
  <c r="CB76" i="113"/>
  <c r="CC76" i="113"/>
  <c r="CE76" i="113" s="1"/>
  <c r="CD76" i="113"/>
  <c r="CF76" i="113"/>
  <c r="CH76" i="113" s="1"/>
  <c r="CG76" i="113"/>
  <c r="CI76" i="113"/>
  <c r="Q77" i="113"/>
  <c r="AN77" i="113" s="1"/>
  <c r="R77" i="113"/>
  <c r="S77" i="113"/>
  <c r="T77" i="113"/>
  <c r="U77" i="113"/>
  <c r="V77" i="113"/>
  <c r="X77" i="113" s="1"/>
  <c r="W77" i="113"/>
  <c r="Y77" i="113"/>
  <c r="AA77" i="113" s="1"/>
  <c r="Z77" i="113"/>
  <c r="AB77" i="113"/>
  <c r="AC77" i="113"/>
  <c r="AE77" i="113" s="1"/>
  <c r="AD77" i="113"/>
  <c r="AF77" i="113"/>
  <c r="AG77" i="113"/>
  <c r="AH77" i="113"/>
  <c r="AI77" i="113"/>
  <c r="AJ77" i="113"/>
  <c r="AK77" i="113"/>
  <c r="AL77" i="113"/>
  <c r="AM77" i="113"/>
  <c r="AO77" i="113"/>
  <c r="AQ77" i="113" s="1"/>
  <c r="AP77" i="113"/>
  <c r="AR77" i="113"/>
  <c r="AS77" i="113"/>
  <c r="AU77" i="113" s="1"/>
  <c r="AT77" i="113"/>
  <c r="AV77" i="113"/>
  <c r="AX77" i="113" s="1"/>
  <c r="AW77" i="113"/>
  <c r="AY77" i="113"/>
  <c r="AZ77" i="113"/>
  <c r="BB77" i="113" s="1"/>
  <c r="BA77" i="113"/>
  <c r="BC77" i="113"/>
  <c r="BD77" i="113"/>
  <c r="BE77" i="113"/>
  <c r="BF77" i="113"/>
  <c r="BG77" i="113"/>
  <c r="BH77" i="113"/>
  <c r="BI77" i="113"/>
  <c r="BJ77" i="113"/>
  <c r="BK77" i="113"/>
  <c r="BL77" i="113"/>
  <c r="BM77" i="113"/>
  <c r="BN77" i="113"/>
  <c r="BO77" i="113"/>
  <c r="BP77" i="113"/>
  <c r="BQ77" i="113"/>
  <c r="BR77" i="113"/>
  <c r="BS77" i="113"/>
  <c r="BT77" i="113"/>
  <c r="BU77" i="113"/>
  <c r="BV77" i="113"/>
  <c r="CB77" i="113"/>
  <c r="CC77" i="113"/>
  <c r="CE77" i="113" s="1"/>
  <c r="CD77" i="113"/>
  <c r="CF77" i="113"/>
  <c r="CH77" i="113" s="1"/>
  <c r="CG77" i="113"/>
  <c r="CI77" i="113"/>
  <c r="Q78" i="113"/>
  <c r="AN78" i="113" s="1"/>
  <c r="R78" i="113"/>
  <c r="S78" i="113"/>
  <c r="T78" i="113"/>
  <c r="U78" i="113"/>
  <c r="V78" i="113"/>
  <c r="X78" i="113" s="1"/>
  <c r="W78" i="113"/>
  <c r="Y78" i="113"/>
  <c r="AA78" i="113" s="1"/>
  <c r="Z78" i="113"/>
  <c r="AB78" i="113"/>
  <c r="AC78" i="113"/>
  <c r="AE78" i="113" s="1"/>
  <c r="AD78" i="113"/>
  <c r="AF78" i="113"/>
  <c r="AG78" i="113"/>
  <c r="AH78" i="113"/>
  <c r="AI78" i="113"/>
  <c r="AJ78" i="113"/>
  <c r="AK78" i="113"/>
  <c r="AL78" i="113"/>
  <c r="AM78" i="113"/>
  <c r="AO78" i="113"/>
  <c r="AQ78" i="113" s="1"/>
  <c r="AP78" i="113"/>
  <c r="AR78" i="113"/>
  <c r="AS78" i="113"/>
  <c r="AU78" i="113" s="1"/>
  <c r="AT78" i="113"/>
  <c r="AV78" i="113"/>
  <c r="AX78" i="113" s="1"/>
  <c r="AW78" i="113"/>
  <c r="AY78" i="113"/>
  <c r="AZ78" i="113"/>
  <c r="BB78" i="113" s="1"/>
  <c r="BA78" i="113"/>
  <c r="BC78" i="113"/>
  <c r="BD78" i="113"/>
  <c r="BE78" i="113"/>
  <c r="BF78" i="113"/>
  <c r="BG78" i="113"/>
  <c r="BH78" i="113"/>
  <c r="BI78" i="113"/>
  <c r="BJ78" i="113"/>
  <c r="BK78" i="113"/>
  <c r="BL78" i="113"/>
  <c r="BM78" i="113"/>
  <c r="BN78" i="113"/>
  <c r="BO78" i="113"/>
  <c r="BP78" i="113"/>
  <c r="BQ78" i="113"/>
  <c r="BR78" i="113"/>
  <c r="BS78" i="113"/>
  <c r="BT78" i="113"/>
  <c r="BU78" i="113"/>
  <c r="BV78" i="113"/>
  <c r="CB78" i="113"/>
  <c r="CC78" i="113"/>
  <c r="CE78" i="113" s="1"/>
  <c r="CD78" i="113"/>
  <c r="CF78" i="113"/>
  <c r="CH78" i="113" s="1"/>
  <c r="CG78" i="113"/>
  <c r="CI78" i="113"/>
  <c r="Q79" i="113"/>
  <c r="AN79" i="113" s="1"/>
  <c r="R79" i="113"/>
  <c r="S79" i="113"/>
  <c r="T79" i="113"/>
  <c r="U79" i="113"/>
  <c r="V79" i="113"/>
  <c r="X79" i="113" s="1"/>
  <c r="W79" i="113"/>
  <c r="Y79" i="113"/>
  <c r="AA79" i="113" s="1"/>
  <c r="Z79" i="113"/>
  <c r="AB79" i="113"/>
  <c r="AC79" i="113"/>
  <c r="AE79" i="113" s="1"/>
  <c r="AD79" i="113"/>
  <c r="AF79" i="113"/>
  <c r="AG79" i="113"/>
  <c r="AH79" i="113"/>
  <c r="AI79" i="113"/>
  <c r="AJ79" i="113"/>
  <c r="AK79" i="113"/>
  <c r="AL79" i="113"/>
  <c r="AM79" i="113"/>
  <c r="AO79" i="113"/>
  <c r="AQ79" i="113" s="1"/>
  <c r="AP79" i="113"/>
  <c r="AR79" i="113"/>
  <c r="AS79" i="113"/>
  <c r="AU79" i="113" s="1"/>
  <c r="AT79" i="113"/>
  <c r="AV79" i="113"/>
  <c r="AX79" i="113" s="1"/>
  <c r="AW79" i="113"/>
  <c r="AY79" i="113"/>
  <c r="AZ79" i="113"/>
  <c r="BB79" i="113" s="1"/>
  <c r="BA79" i="113"/>
  <c r="BC79" i="113"/>
  <c r="BD79" i="113"/>
  <c r="BE79" i="113"/>
  <c r="BF79" i="113"/>
  <c r="BG79" i="113"/>
  <c r="BH79" i="113"/>
  <c r="BI79" i="113"/>
  <c r="BJ79" i="113"/>
  <c r="BK79" i="113"/>
  <c r="BL79" i="113"/>
  <c r="BM79" i="113"/>
  <c r="BN79" i="113"/>
  <c r="BO79" i="113"/>
  <c r="BP79" i="113"/>
  <c r="BQ79" i="113"/>
  <c r="BR79" i="113"/>
  <c r="BS79" i="113"/>
  <c r="BT79" i="113"/>
  <c r="BU79" i="113"/>
  <c r="BV79" i="113"/>
  <c r="CB79" i="113"/>
  <c r="CC79" i="113"/>
  <c r="CE79" i="113" s="1"/>
  <c r="CD79" i="113"/>
  <c r="CF79" i="113"/>
  <c r="CH79" i="113" s="1"/>
  <c r="CG79" i="113"/>
  <c r="CI79" i="113"/>
  <c r="Q80" i="113"/>
  <c r="AN80" i="113" s="1"/>
  <c r="R80" i="113"/>
  <c r="S80" i="113"/>
  <c r="T80" i="113"/>
  <c r="U80" i="113"/>
  <c r="V80" i="113"/>
  <c r="X80" i="113" s="1"/>
  <c r="W80" i="113"/>
  <c r="Y80" i="113"/>
  <c r="AA80" i="113" s="1"/>
  <c r="Z80" i="113"/>
  <c r="AB80" i="113"/>
  <c r="AC80" i="113"/>
  <c r="AE80" i="113" s="1"/>
  <c r="AD80" i="113"/>
  <c r="AF80" i="113"/>
  <c r="AG80" i="113"/>
  <c r="AH80" i="113"/>
  <c r="AI80" i="113"/>
  <c r="AJ80" i="113"/>
  <c r="AK80" i="113"/>
  <c r="AL80" i="113"/>
  <c r="AM80" i="113"/>
  <c r="AO80" i="113"/>
  <c r="AQ80" i="113" s="1"/>
  <c r="AP80" i="113"/>
  <c r="AR80" i="113"/>
  <c r="AS80" i="113"/>
  <c r="AU80" i="113" s="1"/>
  <c r="AT80" i="113"/>
  <c r="AV80" i="113"/>
  <c r="AX80" i="113" s="1"/>
  <c r="AW80" i="113"/>
  <c r="AY80" i="113"/>
  <c r="AZ80" i="113"/>
  <c r="BB80" i="113" s="1"/>
  <c r="BA80" i="113"/>
  <c r="BC80" i="113"/>
  <c r="BD80" i="113"/>
  <c r="BE80" i="113"/>
  <c r="BF80" i="113"/>
  <c r="BG80" i="113"/>
  <c r="BH80" i="113"/>
  <c r="BI80" i="113"/>
  <c r="BJ80" i="113"/>
  <c r="BK80" i="113"/>
  <c r="BL80" i="113"/>
  <c r="BM80" i="113"/>
  <c r="BN80" i="113"/>
  <c r="BO80" i="113"/>
  <c r="BP80" i="113"/>
  <c r="BQ80" i="113"/>
  <c r="BR80" i="113"/>
  <c r="BS80" i="113"/>
  <c r="BT80" i="113"/>
  <c r="BU80" i="113"/>
  <c r="BV80" i="113"/>
  <c r="CB80" i="113"/>
  <c r="CC80" i="113"/>
  <c r="CE80" i="113" s="1"/>
  <c r="CD80" i="113"/>
  <c r="CF80" i="113"/>
  <c r="CH80" i="113" s="1"/>
  <c r="CG80" i="113"/>
  <c r="CI80" i="113"/>
  <c r="Q81" i="113"/>
  <c r="AN81" i="113" s="1"/>
  <c r="R81" i="113"/>
  <c r="S81" i="113"/>
  <c r="T81" i="113"/>
  <c r="U81" i="113"/>
  <c r="V81" i="113"/>
  <c r="X81" i="113" s="1"/>
  <c r="W81" i="113"/>
  <c r="Y81" i="113"/>
  <c r="AA81" i="113" s="1"/>
  <c r="Z81" i="113"/>
  <c r="AB81" i="113"/>
  <c r="AC81" i="113"/>
  <c r="AE81" i="113" s="1"/>
  <c r="AD81" i="113"/>
  <c r="AF81" i="113"/>
  <c r="AG81" i="113"/>
  <c r="AH81" i="113"/>
  <c r="AI81" i="113"/>
  <c r="AJ81" i="113"/>
  <c r="AK81" i="113"/>
  <c r="AL81" i="113"/>
  <c r="AM81" i="113"/>
  <c r="AO81" i="113"/>
  <c r="AQ81" i="113" s="1"/>
  <c r="AP81" i="113"/>
  <c r="AR81" i="113"/>
  <c r="AS81" i="113"/>
  <c r="AU81" i="113" s="1"/>
  <c r="AT81" i="113"/>
  <c r="AV81" i="113"/>
  <c r="AX81" i="113" s="1"/>
  <c r="AW81" i="113"/>
  <c r="AY81" i="113"/>
  <c r="AZ81" i="113"/>
  <c r="BB81" i="113" s="1"/>
  <c r="BA81" i="113"/>
  <c r="BC81" i="113"/>
  <c r="BD81" i="113"/>
  <c r="BE81" i="113"/>
  <c r="BF81" i="113"/>
  <c r="BG81" i="113"/>
  <c r="BH81" i="113"/>
  <c r="BI81" i="113"/>
  <c r="BJ81" i="113"/>
  <c r="BK81" i="113"/>
  <c r="BL81" i="113"/>
  <c r="BM81" i="113"/>
  <c r="BN81" i="113"/>
  <c r="BO81" i="113"/>
  <c r="BP81" i="113"/>
  <c r="BQ81" i="113"/>
  <c r="BR81" i="113"/>
  <c r="BS81" i="113"/>
  <c r="BT81" i="113"/>
  <c r="BU81" i="113"/>
  <c r="BV81" i="113"/>
  <c r="CB81" i="113"/>
  <c r="CC81" i="113"/>
  <c r="CE81" i="113" s="1"/>
  <c r="CD81" i="113"/>
  <c r="CF81" i="113"/>
  <c r="CH81" i="113" s="1"/>
  <c r="CG81" i="113"/>
  <c r="CI81" i="113"/>
  <c r="Q82" i="113"/>
  <c r="AN82" i="113" s="1"/>
  <c r="R82" i="113"/>
  <c r="S82" i="113"/>
  <c r="T82" i="113"/>
  <c r="U82" i="113"/>
  <c r="V82" i="113"/>
  <c r="X82" i="113" s="1"/>
  <c r="W82" i="113"/>
  <c r="Y82" i="113"/>
  <c r="AA82" i="113" s="1"/>
  <c r="Z82" i="113"/>
  <c r="AB82" i="113"/>
  <c r="AC82" i="113"/>
  <c r="AE82" i="113" s="1"/>
  <c r="AD82" i="113"/>
  <c r="AF82" i="113"/>
  <c r="AG82" i="113"/>
  <c r="AH82" i="113"/>
  <c r="AI82" i="113"/>
  <c r="AJ82" i="113"/>
  <c r="AK82" i="113"/>
  <c r="AL82" i="113"/>
  <c r="AM82" i="113"/>
  <c r="AO82" i="113"/>
  <c r="AQ82" i="113" s="1"/>
  <c r="AP82" i="113"/>
  <c r="AR82" i="113"/>
  <c r="AS82" i="113"/>
  <c r="AU82" i="113" s="1"/>
  <c r="AT82" i="113"/>
  <c r="AV82" i="113"/>
  <c r="AW82" i="113"/>
  <c r="AX82" i="113"/>
  <c r="AY82" i="113"/>
  <c r="AZ82" i="113"/>
  <c r="BA82" i="113"/>
  <c r="BB82" i="113"/>
  <c r="BC82" i="113"/>
  <c r="BD82" i="113"/>
  <c r="BE82" i="113"/>
  <c r="BF82" i="113"/>
  <c r="BG82" i="113"/>
  <c r="BH82" i="113"/>
  <c r="BI82" i="113"/>
  <c r="BJ82" i="113"/>
  <c r="BK82" i="113"/>
  <c r="BL82" i="113"/>
  <c r="BM82" i="113"/>
  <c r="BN82" i="113"/>
  <c r="BO82" i="113"/>
  <c r="BP82" i="113"/>
  <c r="BQ82" i="113"/>
  <c r="BR82" i="113"/>
  <c r="BS82" i="113"/>
  <c r="BT82" i="113"/>
  <c r="BU82" i="113"/>
  <c r="BV82" i="113"/>
  <c r="CB82" i="113"/>
  <c r="CC82" i="113"/>
  <c r="CD82" i="113"/>
  <c r="CE82" i="113"/>
  <c r="CF82" i="113"/>
  <c r="CH82" i="113" s="1"/>
  <c r="CG82" i="113"/>
  <c r="CI82" i="113"/>
  <c r="Q83" i="113"/>
  <c r="AN83" i="113" s="1"/>
  <c r="R83" i="113"/>
  <c r="S83" i="113"/>
  <c r="T83" i="113"/>
  <c r="U83" i="113"/>
  <c r="V83" i="113"/>
  <c r="X83" i="113" s="1"/>
  <c r="W83" i="113"/>
  <c r="Y83" i="113"/>
  <c r="AA83" i="113" s="1"/>
  <c r="Z83" i="113"/>
  <c r="AB83" i="113"/>
  <c r="AC83" i="113"/>
  <c r="AE83" i="113" s="1"/>
  <c r="AD83" i="113"/>
  <c r="AF83" i="113"/>
  <c r="AG83" i="113"/>
  <c r="AH83" i="113"/>
  <c r="AI83" i="113"/>
  <c r="AJ83" i="113"/>
  <c r="AK83" i="113"/>
  <c r="AL83" i="113"/>
  <c r="AM83" i="113"/>
  <c r="AO83" i="113"/>
  <c r="AQ83" i="113" s="1"/>
  <c r="AP83" i="113"/>
  <c r="AR83" i="113"/>
  <c r="AS83" i="113"/>
  <c r="AU83" i="113" s="1"/>
  <c r="AT83" i="113"/>
  <c r="AV83" i="113"/>
  <c r="AX83" i="113" s="1"/>
  <c r="AW83" i="113"/>
  <c r="AY83" i="113"/>
  <c r="AZ83" i="113"/>
  <c r="BB83" i="113" s="1"/>
  <c r="BA83" i="113"/>
  <c r="BC83" i="113"/>
  <c r="BD83" i="113"/>
  <c r="BE83" i="113"/>
  <c r="BF83" i="113"/>
  <c r="BG83" i="113"/>
  <c r="BH83" i="113"/>
  <c r="BI83" i="113"/>
  <c r="BJ83" i="113"/>
  <c r="BK83" i="113"/>
  <c r="BL83" i="113"/>
  <c r="BM83" i="113"/>
  <c r="BN83" i="113"/>
  <c r="BO83" i="113"/>
  <c r="BP83" i="113"/>
  <c r="BQ83" i="113"/>
  <c r="BR83" i="113"/>
  <c r="BS83" i="113"/>
  <c r="BT83" i="113"/>
  <c r="BU83" i="113"/>
  <c r="BV83" i="113"/>
  <c r="CB83" i="113"/>
  <c r="CC83" i="113"/>
  <c r="CE83" i="113" s="1"/>
  <c r="CD83" i="113"/>
  <c r="CF83" i="113"/>
  <c r="CH83" i="113" s="1"/>
  <c r="CG83" i="113"/>
  <c r="CI83" i="113"/>
  <c r="Z23" i="32" l="1"/>
  <c r="Z22" i="32"/>
  <c r="Z19" i="32"/>
  <c r="Z15" i="32"/>
  <c r="Z18" i="32"/>
  <c r="Z16" i="32"/>
  <c r="Z13" i="32"/>
  <c r="Z12" i="32"/>
  <c r="Z17" i="32"/>
  <c r="Z7" i="32"/>
  <c r="Z9" i="32"/>
  <c r="Z5" i="32"/>
  <c r="Q25" i="113" l="1"/>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X25" i="113" s="1"/>
  <c r="AW25" i="113"/>
  <c r="AY25" i="113"/>
  <c r="AZ25" i="113"/>
  <c r="BB25" i="113" s="1"/>
  <c r="BA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30" i="113"/>
  <c r="AN30" i="113" s="1"/>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24" i="113"/>
  <c r="AN24" i="113" s="1"/>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9" i="113"/>
  <c r="AN29" i="113" s="1"/>
  <c r="R29" i="113"/>
  <c r="S29" i="113"/>
  <c r="T29" i="113"/>
  <c r="U29" i="113"/>
  <c r="V29" i="113"/>
  <c r="X29" i="113" s="1"/>
  <c r="W29" i="113"/>
  <c r="Y29" i="113"/>
  <c r="AA29" i="113" s="1"/>
  <c r="Z29" i="113"/>
  <c r="AB29" i="113"/>
  <c r="AC29" i="113"/>
  <c r="AE29" i="113" s="1"/>
  <c r="AD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5" i="113"/>
  <c r="AN35" i="113" s="1"/>
  <c r="R35" i="113"/>
  <c r="S35" i="113"/>
  <c r="T35" i="113"/>
  <c r="U35" i="113"/>
  <c r="V35" i="113"/>
  <c r="X35" i="113" s="1"/>
  <c r="W35" i="113"/>
  <c r="Y35" i="113"/>
  <c r="AA35" i="113" s="1"/>
  <c r="Z35" i="113"/>
  <c r="AB35" i="113"/>
  <c r="AC35" i="113"/>
  <c r="AE35" i="113" s="1"/>
  <c r="AD35" i="113"/>
  <c r="AF35" i="113"/>
  <c r="AG35" i="113"/>
  <c r="AH35" i="113"/>
  <c r="AI35" i="113"/>
  <c r="AJ35" i="113"/>
  <c r="AK35" i="113"/>
  <c r="AL35" i="113"/>
  <c r="AM35" i="113"/>
  <c r="AO35" i="113"/>
  <c r="AQ35" i="113" s="1"/>
  <c r="AP35" i="113"/>
  <c r="AR35" i="113"/>
  <c r="AS35" i="113"/>
  <c r="AU35" i="113" s="1"/>
  <c r="AT35" i="113"/>
  <c r="AV35" i="113"/>
  <c r="AX35" i="113" s="1"/>
  <c r="AW35" i="113"/>
  <c r="AY35" i="113"/>
  <c r="AZ35" i="113"/>
  <c r="BB35" i="113" s="1"/>
  <c r="BA35" i="113"/>
  <c r="BC35" i="113"/>
  <c r="BD35" i="113"/>
  <c r="BE35" i="113"/>
  <c r="BF35" i="113"/>
  <c r="BG35" i="113"/>
  <c r="BH35" i="113"/>
  <c r="BI35" i="113"/>
  <c r="BJ35" i="113"/>
  <c r="BK35" i="113"/>
  <c r="BL35" i="113"/>
  <c r="BM35" i="113"/>
  <c r="BN35" i="113"/>
  <c r="BO35" i="113"/>
  <c r="BP35" i="113"/>
  <c r="BQ35" i="113"/>
  <c r="BR35" i="113"/>
  <c r="BS35" i="113"/>
  <c r="BT35" i="113"/>
  <c r="BU35" i="113"/>
  <c r="BV35" i="113"/>
  <c r="CB35" i="113"/>
  <c r="CC35" i="113"/>
  <c r="CE35" i="113" s="1"/>
  <c r="CD35" i="113"/>
  <c r="CF35" i="113"/>
  <c r="CH35" i="113" s="1"/>
  <c r="CG35" i="113"/>
  <c r="CI35"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Z10" i="32" l="1"/>
  <c r="Z20" i="32" l="1"/>
  <c r="Z14" i="32"/>
  <c r="X23" i="32" l="1"/>
  <c r="X22" i="32"/>
  <c r="X15" i="32"/>
  <c r="X18" i="32"/>
  <c r="X16" i="32"/>
  <c r="X13" i="32"/>
  <c r="X14" i="32"/>
  <c r="X12" i="32"/>
  <c r="X17" i="32"/>
  <c r="X8" i="32"/>
  <c r="X7" i="32"/>
  <c r="X10" i="32"/>
  <c r="X9" i="32"/>
  <c r="X5" i="32"/>
  <c r="X20" i="32" l="1"/>
  <c r="X24" i="32"/>
  <c r="X19" i="32"/>
  <c r="X11" i="32"/>
  <c r="AB23" i="32" l="1"/>
  <c r="AB24" i="32"/>
  <c r="AB22" i="32"/>
  <c r="AB15" i="32"/>
  <c r="AB18" i="32"/>
  <c r="AB16" i="32"/>
  <c r="AB13" i="32"/>
  <c r="AB14" i="32"/>
  <c r="AB12" i="32"/>
  <c r="AB17" i="32"/>
  <c r="AB8" i="32"/>
  <c r="AB7" i="32"/>
  <c r="AB10" i="32"/>
  <c r="AB9" i="32"/>
  <c r="AB5" i="32"/>
  <c r="AH6" i="32" l="1"/>
  <c r="AH7" i="32"/>
  <c r="AH8" i="32"/>
  <c r="AH9" i="32"/>
  <c r="AH10" i="32"/>
  <c r="AH11" i="32"/>
  <c r="AH12" i="32"/>
  <c r="AH13" i="32"/>
  <c r="AH14" i="32"/>
  <c r="AH15" i="32"/>
  <c r="AH16" i="32"/>
  <c r="AH17" i="32"/>
  <c r="AH18" i="32"/>
  <c r="AH19" i="32"/>
  <c r="AH20" i="32"/>
  <c r="AH22" i="32"/>
  <c r="AH23" i="32"/>
  <c r="AH24" i="32"/>
  <c r="AH5" i="32"/>
  <c r="AG6" i="32"/>
  <c r="AG11" i="32"/>
  <c r="AG19" i="32"/>
  <c r="AG20" i="32"/>
  <c r="AF6" i="32"/>
  <c r="AF11" i="32"/>
  <c r="AF19" i="32"/>
  <c r="AF20" i="32"/>
  <c r="AQ6" i="32" l="1"/>
  <c r="AQ7" i="32"/>
  <c r="AQ8" i="32"/>
  <c r="AQ9" i="32"/>
  <c r="AQ10" i="32"/>
  <c r="AQ11" i="32"/>
  <c r="AQ12" i="32"/>
  <c r="AQ13" i="32"/>
  <c r="AQ14" i="32"/>
  <c r="AQ15" i="32"/>
  <c r="AQ16" i="32"/>
  <c r="AQ17" i="32"/>
  <c r="AQ18" i="32"/>
  <c r="AQ19" i="32"/>
  <c r="AQ20" i="32"/>
  <c r="AQ22" i="32"/>
  <c r="AQ23" i="32"/>
  <c r="AQ24" i="32"/>
  <c r="AQ5" i="32"/>
  <c r="F24" i="49" l="1"/>
  <c r="AR24" i="32"/>
  <c r="AR6" i="32"/>
  <c r="AR7" i="32"/>
  <c r="AR8" i="32"/>
  <c r="AR9" i="32"/>
  <c r="AR10" i="32"/>
  <c r="AR11" i="32"/>
  <c r="AR12" i="32"/>
  <c r="AR13" i="32"/>
  <c r="AR14" i="32"/>
  <c r="AR15" i="32"/>
  <c r="AR16" i="32"/>
  <c r="AR17" i="32"/>
  <c r="AR18" i="32"/>
  <c r="AR19" i="32"/>
  <c r="AR20" i="32"/>
  <c r="AR22" i="32"/>
  <c r="AR23" i="32"/>
  <c r="AR5" i="32"/>
  <c r="A18" i="85" l="1"/>
  <c r="Z24" i="32"/>
  <c r="Z8" i="32"/>
  <c r="O13" i="85" l="1"/>
  <c r="A4" i="76" l="1"/>
  <c r="B4" i="76"/>
  <c r="C4" i="76"/>
  <c r="G4" i="76" s="1"/>
  <c r="D4" i="76"/>
  <c r="E4" i="76" s="1"/>
  <c r="F4" i="76" s="1"/>
  <c r="A5" i="76"/>
  <c r="B5" i="76"/>
  <c r="C5" i="76"/>
  <c r="G5" i="76" s="1"/>
  <c r="H5" i="76" s="1"/>
  <c r="D5" i="76"/>
  <c r="E5" i="76" s="1"/>
  <c r="A6" i="76"/>
  <c r="B6" i="76"/>
  <c r="C6" i="76"/>
  <c r="G6" i="76" s="1"/>
  <c r="H6" i="76" s="1"/>
  <c r="D6" i="76"/>
  <c r="E6" i="76" s="1"/>
  <c r="F6" i="76" s="1"/>
  <c r="A7" i="76"/>
  <c r="B7" i="76"/>
  <c r="C7" i="76"/>
  <c r="D7" i="76"/>
  <c r="E7" i="76" s="1"/>
  <c r="G7" i="76"/>
  <c r="H7" i="76" s="1"/>
  <c r="A8" i="76"/>
  <c r="B8" i="76"/>
  <c r="C8" i="76"/>
  <c r="G8" i="76" s="1"/>
  <c r="D8" i="76"/>
  <c r="E8" i="76" s="1"/>
  <c r="F8" i="76" s="1"/>
  <c r="A9" i="76"/>
  <c r="B9" i="76"/>
  <c r="C9" i="76"/>
  <c r="D9" i="76"/>
  <c r="E9" i="76"/>
  <c r="G9" i="76"/>
  <c r="H9" i="76" s="1"/>
  <c r="A10" i="76"/>
  <c r="B10" i="76"/>
  <c r="C10" i="76"/>
  <c r="G10" i="76" s="1"/>
  <c r="H10" i="76" s="1"/>
  <c r="D10" i="76"/>
  <c r="E10" i="76" s="1"/>
  <c r="F10" i="76" s="1"/>
  <c r="A11" i="76"/>
  <c r="B11" i="76"/>
  <c r="C11" i="76"/>
  <c r="D11" i="76"/>
  <c r="E11" i="76"/>
  <c r="G11" i="76"/>
  <c r="H11" i="76" s="1"/>
  <c r="A12" i="76"/>
  <c r="B12" i="76"/>
  <c r="C12" i="76"/>
  <c r="G12" i="76" s="1"/>
  <c r="H12" i="76" s="1"/>
  <c r="D12" i="76"/>
  <c r="E12" i="76" s="1"/>
  <c r="F12" i="76" s="1"/>
  <c r="A13" i="76"/>
  <c r="B13" i="76"/>
  <c r="C13" i="76"/>
  <c r="D13" i="76"/>
  <c r="E13" i="76" s="1"/>
  <c r="F13" i="76" s="1"/>
  <c r="G13" i="76"/>
  <c r="H13" i="76" s="1"/>
  <c r="A14" i="76"/>
  <c r="B14" i="76"/>
  <c r="C14" i="76"/>
  <c r="G14" i="76" s="1"/>
  <c r="D14" i="76"/>
  <c r="E14" i="76" s="1"/>
  <c r="F14" i="76" s="1"/>
  <c r="A15" i="76"/>
  <c r="B15" i="76"/>
  <c r="C15" i="76"/>
  <c r="G15" i="76" s="1"/>
  <c r="H15" i="76" s="1"/>
  <c r="D15" i="76"/>
  <c r="E15" i="76"/>
  <c r="A16" i="76"/>
  <c r="B16" i="76"/>
  <c r="C16" i="76"/>
  <c r="G16" i="76" s="1"/>
  <c r="D16" i="76"/>
  <c r="E16" i="76" s="1"/>
  <c r="F16" i="76" s="1"/>
  <c r="A17" i="76"/>
  <c r="B17" i="76"/>
  <c r="C17" i="76"/>
  <c r="G17" i="76" s="1"/>
  <c r="H17" i="76" s="1"/>
  <c r="D17" i="76"/>
  <c r="E17" i="76" s="1"/>
  <c r="A18" i="76"/>
  <c r="B18" i="76"/>
  <c r="C18" i="76"/>
  <c r="G18" i="76" s="1"/>
  <c r="D18" i="76"/>
  <c r="E18" i="76" s="1"/>
  <c r="F18" i="76" s="1"/>
  <c r="A19" i="76"/>
  <c r="B19" i="76"/>
  <c r="C19" i="76"/>
  <c r="D19" i="76"/>
  <c r="E19" i="76" s="1"/>
  <c r="F19" i="76" s="1"/>
  <c r="G19" i="76"/>
  <c r="H19" i="76" s="1"/>
  <c r="A20" i="76"/>
  <c r="B20" i="76"/>
  <c r="C20" i="76"/>
  <c r="G20" i="76" s="1"/>
  <c r="D20" i="76"/>
  <c r="E20" i="76" s="1"/>
  <c r="F20" i="76" s="1"/>
  <c r="A21" i="76"/>
  <c r="B21" i="76"/>
  <c r="C21" i="76"/>
  <c r="D21" i="76"/>
  <c r="E21" i="76" s="1"/>
  <c r="G21" i="76"/>
  <c r="H21" i="76" s="1"/>
  <c r="D3" i="76"/>
  <c r="C3" i="76"/>
  <c r="G3" i="76" s="1"/>
  <c r="B3" i="76"/>
  <c r="A3" i="76"/>
  <c r="M11" i="102"/>
  <c r="A12" i="102"/>
  <c r="B12" i="102"/>
  <c r="C12" i="102"/>
  <c r="D12" i="102"/>
  <c r="H12" i="102"/>
  <c r="A20" i="102"/>
  <c r="C20" i="102"/>
  <c r="D20" i="102"/>
  <c r="F20" i="102"/>
  <c r="A14" i="102"/>
  <c r="C14" i="102"/>
  <c r="D14" i="102"/>
  <c r="F14" i="102"/>
  <c r="A13" i="102"/>
  <c r="C13" i="102"/>
  <c r="D13" i="102"/>
  <c r="F13" i="102"/>
  <c r="A11" i="102"/>
  <c r="C11" i="102"/>
  <c r="D11" i="102"/>
  <c r="N11" i="102" s="1"/>
  <c r="F11" i="102"/>
  <c r="A16" i="102"/>
  <c r="C16" i="102"/>
  <c r="D16" i="102"/>
  <c r="F16" i="102"/>
  <c r="A3" i="102"/>
  <c r="C3" i="102"/>
  <c r="M3" i="102" s="1"/>
  <c r="D3" i="102"/>
  <c r="N3" i="102" s="1"/>
  <c r="F3" i="102"/>
  <c r="A8" i="102"/>
  <c r="C8" i="102"/>
  <c r="M8" i="102" s="1"/>
  <c r="D8" i="102"/>
  <c r="N8" i="102" s="1"/>
  <c r="F8" i="102"/>
  <c r="A7" i="102"/>
  <c r="C7" i="102"/>
  <c r="M7" i="102" s="1"/>
  <c r="D7" i="102"/>
  <c r="N7" i="102" s="1"/>
  <c r="F7" i="102"/>
  <c r="A9" i="102"/>
  <c r="C9" i="102"/>
  <c r="M9" i="102" s="1"/>
  <c r="D9" i="102"/>
  <c r="N9" i="102" s="1"/>
  <c r="F9" i="102"/>
  <c r="A10" i="102"/>
  <c r="C10" i="102"/>
  <c r="M10" i="102" s="1"/>
  <c r="D10" i="102"/>
  <c r="N10" i="102" s="1"/>
  <c r="F10" i="102"/>
  <c r="A15" i="102"/>
  <c r="C15" i="102"/>
  <c r="D15" i="102"/>
  <c r="F15" i="102"/>
  <c r="A5" i="102"/>
  <c r="C5" i="102"/>
  <c r="M5" i="102" s="1"/>
  <c r="D5" i="102"/>
  <c r="N5" i="102" s="1"/>
  <c r="F5" i="102"/>
  <c r="A17" i="102"/>
  <c r="C17" i="102"/>
  <c r="D17" i="102"/>
  <c r="F17" i="102"/>
  <c r="A19" i="102"/>
  <c r="B19" i="102"/>
  <c r="C19" i="102"/>
  <c r="D19" i="102"/>
  <c r="E19" i="102"/>
  <c r="F19" i="102"/>
  <c r="G19" i="102"/>
  <c r="H19" i="102"/>
  <c r="A2" i="102"/>
  <c r="C2" i="102"/>
  <c r="M2" i="102" s="1"/>
  <c r="D2" i="102"/>
  <c r="N2" i="102" s="1"/>
  <c r="F2" i="102"/>
  <c r="A4" i="102"/>
  <c r="C4" i="102"/>
  <c r="M4" i="102" s="1"/>
  <c r="D4" i="102"/>
  <c r="N4" i="102" s="1"/>
  <c r="F4" i="102"/>
  <c r="A6" i="102"/>
  <c r="C6" i="102"/>
  <c r="M6" i="102" s="1"/>
  <c r="D6" i="102"/>
  <c r="N6" i="102" s="1"/>
  <c r="F6" i="102"/>
  <c r="A15" i="83"/>
  <c r="B15" i="83"/>
  <c r="C15" i="83"/>
  <c r="D15" i="83" s="1"/>
  <c r="A2" i="83"/>
  <c r="A5" i="83"/>
  <c r="A7" i="83"/>
  <c r="A12" i="83"/>
  <c r="H5" i="83" s="1"/>
  <c r="M5" i="83" s="1"/>
  <c r="A16" i="83"/>
  <c r="A4" i="83"/>
  <c r="M4" i="83" s="1"/>
  <c r="A9" i="83"/>
  <c r="A13" i="83"/>
  <c r="A14" i="83"/>
  <c r="A3" i="83"/>
  <c r="A6" i="83"/>
  <c r="H6" i="83" s="1"/>
  <c r="A17" i="83"/>
  <c r="A18" i="83"/>
  <c r="A19" i="83"/>
  <c r="B19" i="83"/>
  <c r="C19" i="83"/>
  <c r="A10" i="83"/>
  <c r="A11" i="83"/>
  <c r="A8" i="83"/>
  <c r="A20" i="83"/>
  <c r="W14" i="32"/>
  <c r="W13" i="32"/>
  <c r="W9" i="32"/>
  <c r="I8" i="76" l="1"/>
  <c r="H8" i="76"/>
  <c r="M3" i="83"/>
  <c r="H3" i="83"/>
  <c r="I15" i="76"/>
  <c r="I11" i="76"/>
  <c r="I9" i="76"/>
  <c r="D19" i="83"/>
  <c r="F15" i="76"/>
  <c r="I19" i="76"/>
  <c r="J19" i="76"/>
  <c r="F11" i="76"/>
  <c r="J11" i="76" s="1"/>
  <c r="J12" i="76"/>
  <c r="I5" i="76"/>
  <c r="F5" i="76"/>
  <c r="J5" i="76" s="1"/>
  <c r="J8" i="76"/>
  <c r="I7" i="76"/>
  <c r="F7" i="76"/>
  <c r="J7" i="76" s="1"/>
  <c r="I21" i="76"/>
  <c r="F21" i="76"/>
  <c r="J21" i="76" s="1"/>
  <c r="I17" i="76"/>
  <c r="F17" i="76"/>
  <c r="J17" i="76" s="1"/>
  <c r="I13" i="76"/>
  <c r="J13" i="76"/>
  <c r="I12" i="76"/>
  <c r="F9" i="76"/>
  <c r="J9" i="76" s="1"/>
  <c r="J15" i="76"/>
  <c r="I20" i="76"/>
  <c r="H20" i="76"/>
  <c r="J20" i="76" s="1"/>
  <c r="I16" i="76"/>
  <c r="H16" i="76"/>
  <c r="J16" i="76" s="1"/>
  <c r="I4" i="76"/>
  <c r="H4" i="76"/>
  <c r="J4" i="76" s="1"/>
  <c r="J10" i="76"/>
  <c r="J6" i="76"/>
  <c r="I18" i="76"/>
  <c r="H18" i="76"/>
  <c r="J18" i="76" s="1"/>
  <c r="I14" i="76"/>
  <c r="H14" i="76"/>
  <c r="J14" i="76" s="1"/>
  <c r="I10" i="76"/>
  <c r="I6" i="76"/>
  <c r="H4" i="83"/>
  <c r="T25" i="32" l="1"/>
  <c r="T26" i="32" s="1"/>
  <c r="R25" i="32"/>
  <c r="AB19" i="32"/>
  <c r="AB11" i="32"/>
  <c r="AA9" i="32"/>
  <c r="T17" i="49" l="1"/>
  <c r="Q33" i="49"/>
  <c r="X6" i="32" l="1"/>
  <c r="T31" i="49" l="1"/>
  <c r="Z11" i="32" l="1"/>
  <c r="Z6" i="32"/>
  <c r="W20" i="32" l="1"/>
  <c r="W22" i="32"/>
  <c r="W19" i="32"/>
  <c r="W18" i="32"/>
  <c r="W16" i="32"/>
  <c r="W11" i="32"/>
  <c r="W7" i="32"/>
  <c r="W10" i="32"/>
  <c r="W6" i="32"/>
  <c r="Y22" i="32" l="1"/>
  <c r="Y9" i="32"/>
  <c r="V5" i="32"/>
  <c r="N13" i="85" l="1"/>
  <c r="V2" i="85"/>
  <c r="AA24" i="32" l="1"/>
  <c r="AA22" i="32"/>
  <c r="AA15" i="32"/>
  <c r="AA18" i="32"/>
  <c r="AA16" i="32"/>
  <c r="AA13" i="32"/>
  <c r="AA14" i="32"/>
  <c r="AA12" i="32"/>
  <c r="AA8" i="32"/>
  <c r="AA7" i="32"/>
  <c r="AA10" i="32"/>
  <c r="AA5" i="32"/>
  <c r="Y24" i="32" l="1"/>
  <c r="Y15" i="32"/>
  <c r="Y18" i="32"/>
  <c r="Y13" i="32"/>
  <c r="Y14" i="32"/>
  <c r="Y11" i="32"/>
  <c r="Y17" i="32"/>
  <c r="Y7" i="32"/>
  <c r="Y5" i="32"/>
  <c r="D16" i="3" l="1"/>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Y19" i="32" l="1"/>
  <c r="J6" i="32" l="1"/>
  <c r="J7" i="32"/>
  <c r="J8" i="32"/>
  <c r="J9" i="32"/>
  <c r="J10" i="32"/>
  <c r="J11" i="32"/>
  <c r="J12" i="32"/>
  <c r="J13" i="32"/>
  <c r="J14" i="32"/>
  <c r="J15" i="32"/>
  <c r="J16" i="32"/>
  <c r="J17" i="32"/>
  <c r="J18" i="32"/>
  <c r="J19" i="32"/>
  <c r="J20" i="32"/>
  <c r="J22" i="32"/>
  <c r="J23" i="32"/>
  <c r="J24" i="32"/>
  <c r="J5" i="32"/>
  <c r="AF23" i="32" l="1"/>
  <c r="AG23" i="32"/>
  <c r="AG24" i="32"/>
  <c r="AF24" i="32"/>
  <c r="AF22" i="32"/>
  <c r="AG22" i="32"/>
  <c r="E2" i="102" s="1"/>
  <c r="B2" i="102"/>
  <c r="L2" i="102" s="1"/>
  <c r="B10" i="83"/>
  <c r="C10" i="83"/>
  <c r="AF15" i="32"/>
  <c r="AG15" i="32"/>
  <c r="AF18" i="32"/>
  <c r="AG18" i="32"/>
  <c r="AF16" i="32"/>
  <c r="AG16" i="32"/>
  <c r="AF13" i="32"/>
  <c r="AG13" i="32"/>
  <c r="AF14" i="32"/>
  <c r="AG14" i="32"/>
  <c r="AF12" i="32"/>
  <c r="AG12" i="32"/>
  <c r="AF17" i="32"/>
  <c r="AG17" i="32"/>
  <c r="AG8" i="32"/>
  <c r="AF8" i="32"/>
  <c r="AG7" i="32"/>
  <c r="AF7" i="32"/>
  <c r="AG10" i="32"/>
  <c r="E11" i="102" s="1"/>
  <c r="AF10" i="32"/>
  <c r="C12" i="83"/>
  <c r="B12" i="83"/>
  <c r="B11" i="102"/>
  <c r="L11" i="102" s="1"/>
  <c r="AG9" i="32"/>
  <c r="AF9" i="32"/>
  <c r="AF5" i="32"/>
  <c r="AG5" i="32"/>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AE7" i="32"/>
  <c r="B20" i="102"/>
  <c r="B2" i="83"/>
  <c r="C2" i="83"/>
  <c r="C7" i="83"/>
  <c r="B7" i="83"/>
  <c r="B13" i="102"/>
  <c r="B20" i="83"/>
  <c r="C20" i="83"/>
  <c r="AD7" i="32"/>
  <c r="D3" i="83" l="1"/>
  <c r="D12" i="83"/>
  <c r="I5" i="83" s="1"/>
  <c r="N5" i="83" s="1"/>
  <c r="D18" i="83"/>
  <c r="D14" i="83"/>
  <c r="D9" i="83"/>
  <c r="D7" i="83"/>
  <c r="D10" i="83"/>
  <c r="D13" i="83"/>
  <c r="D11" i="83"/>
  <c r="D17" i="83"/>
  <c r="D4" i="83"/>
  <c r="D16" i="83"/>
  <c r="D6" i="83"/>
  <c r="I6" i="83" s="1"/>
  <c r="D2" i="83"/>
  <c r="S20" i="32"/>
  <c r="I3" i="83" l="1"/>
  <c r="N3" i="83"/>
  <c r="N4" i="83"/>
  <c r="I4" i="83"/>
  <c r="M25" i="96"/>
  <c r="M19" i="96"/>
  <c r="AA18" i="111"/>
  <c r="AA21" i="111"/>
  <c r="AA22" i="111"/>
  <c r="AH4" i="111"/>
  <c r="AA17" i="110"/>
  <c r="AA22" i="110"/>
  <c r="AA21" i="110"/>
  <c r="AH4" i="110"/>
  <c r="AA21" i="107"/>
  <c r="AA22" i="107"/>
  <c r="AH4" i="107"/>
  <c r="BP27" i="86"/>
  <c r="BQ27" i="86"/>
  <c r="BH8" i="86"/>
  <c r="BL8" i="86"/>
  <c r="BP8" i="86"/>
  <c r="BQ8" i="86"/>
  <c r="BP24" i="86"/>
  <c r="BQ24" i="86"/>
  <c r="BH24" i="86"/>
  <c r="BH5" i="86"/>
  <c r="BL5" i="86"/>
  <c r="BM5" i="86"/>
  <c r="AR6" i="86"/>
  <c r="AR7" i="86"/>
  <c r="B14" i="108"/>
  <c r="AH4" i="108"/>
  <c r="B15" i="108"/>
  <c r="B13" i="108"/>
  <c r="AA19" i="108"/>
  <c r="AA20" i="108"/>
  <c r="AA16" i="108"/>
  <c r="AA17" i="108"/>
  <c r="AA21" i="108"/>
  <c r="AA22" i="108"/>
  <c r="AA18"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9"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9" i="108"/>
  <c r="O9" i="108"/>
  <c r="P9" i="108"/>
  <c r="V9" i="108"/>
  <c r="R9" i="108"/>
  <c r="T9" i="108"/>
  <c r="U9" i="108"/>
  <c r="BB5" i="86"/>
  <c r="AC25" i="32"/>
  <c r="AB20" i="32"/>
  <c r="AB6" i="32"/>
  <c r="Z10" i="110" l="1"/>
  <c r="Y10" i="110"/>
  <c r="Z9" i="107"/>
  <c r="AA9" i="107" s="1"/>
  <c r="Y9" i="107"/>
  <c r="Z9" i="108"/>
  <c r="Y9" i="108"/>
  <c r="AA9" i="108"/>
  <c r="AA20" i="32"/>
  <c r="AA19" i="32"/>
  <c r="AA11" i="32"/>
  <c r="AA10" i="110" l="1"/>
  <c r="P21" i="113"/>
  <c r="O21" i="113"/>
  <c r="N21" i="113"/>
  <c r="M21" i="113"/>
  <c r="K21" i="113"/>
  <c r="J21" i="113"/>
  <c r="H21" i="113"/>
  <c r="C21" i="113"/>
  <c r="A21" i="113"/>
  <c r="P20" i="113"/>
  <c r="O20" i="113"/>
  <c r="N20" i="113"/>
  <c r="K20" i="113"/>
  <c r="J20" i="113"/>
  <c r="H20" i="113"/>
  <c r="E20" i="113"/>
  <c r="C20" i="113"/>
  <c r="A20" i="113"/>
  <c r="P19" i="113"/>
  <c r="O19" i="113"/>
  <c r="N19" i="113"/>
  <c r="M19" i="113"/>
  <c r="K19" i="113"/>
  <c r="J19" i="113"/>
  <c r="H19" i="113"/>
  <c r="E19" i="113"/>
  <c r="C19" i="113"/>
  <c r="A19"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1" i="113"/>
  <c r="R4" i="113"/>
  <c r="R8" i="113"/>
  <c r="R11" i="113"/>
  <c r="R3" i="113"/>
  <c r="R5" i="113"/>
  <c r="R7" i="113"/>
  <c r="R10" i="113"/>
  <c r="R14" i="113"/>
  <c r="R18" i="113"/>
  <c r="R20" i="113"/>
  <c r="R21" i="113"/>
  <c r="R13" i="113"/>
  <c r="R9" i="113"/>
  <c r="U9" i="113"/>
  <c r="U13" i="113"/>
  <c r="BL14" i="113"/>
  <c r="R15" i="113"/>
  <c r="R17" i="113"/>
  <c r="T20" i="113"/>
  <c r="R19" i="113"/>
  <c r="Y6" i="113"/>
  <c r="AA6" i="113" s="1"/>
  <c r="BA6" i="113"/>
  <c r="Q17" i="113"/>
  <c r="AN17" i="113" s="1"/>
  <c r="BN21" i="113"/>
  <c r="S4" i="113"/>
  <c r="U6" i="113"/>
  <c r="U8" i="113"/>
  <c r="AH11" i="113"/>
  <c r="U12" i="113"/>
  <c r="U15" i="113"/>
  <c r="U17" i="113"/>
  <c r="U20" i="113"/>
  <c r="R6" i="113"/>
  <c r="U11" i="113"/>
  <c r="U4" i="113"/>
  <c r="U3" i="113"/>
  <c r="U10" i="113"/>
  <c r="BP7" i="113"/>
  <c r="BV5" i="113"/>
  <c r="BL7" i="113"/>
  <c r="W18" i="113"/>
  <c r="AT19" i="113"/>
  <c r="CF10" i="113"/>
  <c r="CH10" i="113" s="1"/>
  <c r="BD12" i="113"/>
  <c r="BV13" i="113"/>
  <c r="BX14" i="113"/>
  <c r="BK15" i="113"/>
  <c r="U19" i="113"/>
  <c r="BK18" i="113"/>
  <c r="U14" i="113"/>
  <c r="U5" i="113"/>
  <c r="Q6" i="113"/>
  <c r="AN6" i="113" s="1"/>
  <c r="U7" i="113"/>
  <c r="U18" i="113"/>
  <c r="AH21" i="113"/>
  <c r="W3" i="113"/>
  <c r="BL3" i="113"/>
  <c r="Q4" i="113"/>
  <c r="AN4" i="113" s="1"/>
  <c r="BN5" i="113"/>
  <c r="S5" i="113"/>
  <c r="BP8" i="113"/>
  <c r="AL9" i="113"/>
  <c r="S13" i="113"/>
  <c r="CA15" i="113"/>
  <c r="S16" i="113"/>
  <c r="AM20" i="113"/>
  <c r="AJ8" i="113"/>
  <c r="U21"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19" i="113"/>
  <c r="CE19" i="113" s="1"/>
  <c r="S19" i="113"/>
  <c r="CC6" i="113"/>
  <c r="CE6" i="113" s="1"/>
  <c r="BL10" i="113"/>
  <c r="AD3" i="113"/>
  <c r="BW3" i="113"/>
  <c r="BF4" i="113"/>
  <c r="CA7" i="113"/>
  <c r="AW9" i="113"/>
  <c r="AM10" i="113"/>
  <c r="BD10" i="113"/>
  <c r="BK12" i="113"/>
  <c r="BZ15" i="113"/>
  <c r="BZ16" i="113"/>
  <c r="V19" i="113"/>
  <c r="X19" i="113" s="1"/>
  <c r="Q19"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1" i="113"/>
  <c r="AL21"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0" i="113"/>
  <c r="X20" i="113" s="1"/>
  <c r="CD20" i="113"/>
  <c r="BG20" i="113"/>
  <c r="AZ20" i="113"/>
  <c r="BB20" i="113" s="1"/>
  <c r="W20" i="113"/>
  <c r="BL20"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19" i="113"/>
  <c r="BR19" i="113"/>
  <c r="AD19" i="113"/>
  <c r="CA20" i="113"/>
  <c r="CC21" i="113"/>
  <c r="CE21" i="113" s="1"/>
  <c r="BZ21"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0" i="113"/>
  <c r="W21" i="113"/>
  <c r="CD21" i="113"/>
  <c r="Z21" i="113"/>
  <c r="AP21" i="113"/>
  <c r="W13" i="113"/>
  <c r="CD13" i="113"/>
  <c r="CC14" i="113"/>
  <c r="CE14" i="113" s="1"/>
  <c r="BR14" i="113"/>
  <c r="AT14" i="113"/>
  <c r="BD14" i="113"/>
  <c r="BX16" i="113"/>
  <c r="CF16" i="113"/>
  <c r="CH16" i="113" s="1"/>
  <c r="Z16" i="113"/>
  <c r="AK16" i="113"/>
  <c r="BM21" i="113"/>
  <c r="CG21" i="113"/>
  <c r="AD21" i="113"/>
  <c r="AT21"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19" i="113"/>
  <c r="AJ19" i="113"/>
  <c r="BK19" i="113"/>
  <c r="BZ19" i="113"/>
  <c r="AN19" i="113"/>
  <c r="Y19" i="113"/>
  <c r="AA19" i="113" s="1"/>
  <c r="AG19" i="113"/>
  <c r="AO19" i="113"/>
  <c r="AQ19" i="113" s="1"/>
  <c r="AW19" i="113"/>
  <c r="BM19" i="113"/>
  <c r="BU19" i="113"/>
  <c r="CG19" i="113"/>
  <c r="AV16" i="113"/>
  <c r="AX16" i="113" s="1"/>
  <c r="BD16" i="113"/>
  <c r="BH16" i="113"/>
  <c r="T17" i="113"/>
  <c r="AM17" i="113"/>
  <c r="BC17" i="113"/>
  <c r="BG17" i="113"/>
  <c r="BS17" i="113"/>
  <c r="CA17" i="113"/>
  <c r="CC18" i="113"/>
  <c r="CE18" i="113" s="1"/>
  <c r="W19" i="113"/>
  <c r="BL19" i="113"/>
  <c r="AZ19" i="113"/>
  <c r="BB19" i="113" s="1"/>
  <c r="CA19" i="113"/>
  <c r="BG19" i="113"/>
  <c r="CD19" i="113"/>
  <c r="Z19" i="113"/>
  <c r="AH19" i="113"/>
  <c r="AP19" i="113"/>
  <c r="BF19" i="113"/>
  <c r="BN19" i="113"/>
  <c r="BV19" i="113"/>
  <c r="BR20" i="113"/>
  <c r="BN20" i="113"/>
  <c r="AP20" i="113"/>
  <c r="AL20" i="113"/>
  <c r="AH20" i="113"/>
  <c r="AD20" i="113"/>
  <c r="Z20" i="113"/>
  <c r="BM20" i="113"/>
  <c r="BI20" i="113"/>
  <c r="AW20" i="113"/>
  <c r="AO20" i="113"/>
  <c r="AQ20" i="113" s="1"/>
  <c r="AK20" i="113"/>
  <c r="AG20" i="113"/>
  <c r="AC20" i="113"/>
  <c r="AE20" i="113" s="1"/>
  <c r="Y20" i="113"/>
  <c r="AA20" i="113" s="1"/>
  <c r="Q20" i="113"/>
  <c r="AN20" i="113" s="1"/>
  <c r="BX20" i="113"/>
  <c r="BH20" i="113"/>
  <c r="BD20" i="113"/>
  <c r="AV20" i="113"/>
  <c r="AX20" i="113" s="1"/>
  <c r="AT20" i="113"/>
  <c r="S20" i="113"/>
  <c r="CG20" i="113"/>
  <c r="BA20" i="113"/>
  <c r="BW20" i="113"/>
  <c r="BQ21" i="113"/>
  <c r="AS21" i="113"/>
  <c r="AU21" i="113" s="1"/>
  <c r="Q21" i="113"/>
  <c r="AN21" i="113" s="1"/>
  <c r="BL21" i="113"/>
  <c r="AZ21" i="113"/>
  <c r="BB21" i="113" s="1"/>
  <c r="CA21" i="113"/>
  <c r="BG21" i="113"/>
  <c r="V21" i="113"/>
  <c r="X21" i="113" s="1"/>
  <c r="AZ17" i="113"/>
  <c r="BB17" i="113" s="1"/>
  <c r="V18" i="113"/>
  <c r="X18" i="113" s="1"/>
  <c r="CD18" i="113"/>
  <c r="BX19" i="113"/>
  <c r="CF19" i="113"/>
  <c r="CH19" i="113" s="1"/>
  <c r="AC19" i="113"/>
  <c r="AE19" i="113" s="1"/>
  <c r="AK19" i="113"/>
  <c r="AS19" i="113"/>
  <c r="AU19" i="113" s="1"/>
  <c r="BA19" i="113"/>
  <c r="BI19" i="113"/>
  <c r="BQ19" i="113"/>
  <c r="BC20" i="113"/>
  <c r="BF21" i="113"/>
  <c r="BV21" i="113"/>
  <c r="T21" i="113"/>
  <c r="AM21" i="113"/>
  <c r="BC21" i="113"/>
  <c r="BK21" i="113"/>
  <c r="BS21" i="113"/>
  <c r="BW21" i="113"/>
  <c r="Q18" i="113"/>
  <c r="AN18" i="113" s="1"/>
  <c r="AS18" i="113"/>
  <c r="AU18" i="113" s="1"/>
  <c r="BQ18" i="113"/>
  <c r="T19" i="113"/>
  <c r="AM19" i="113"/>
  <c r="BC19" i="113"/>
  <c r="BS19" i="113"/>
  <c r="BW19" i="113"/>
  <c r="AS20" i="113"/>
  <c r="AU20" i="113" s="1"/>
  <c r="BQ20" i="113"/>
  <c r="AJ21" i="113"/>
  <c r="AV21" i="113"/>
  <c r="AX21" i="113" s="1"/>
  <c r="BD21" i="113"/>
  <c r="BH21" i="113"/>
  <c r="BP21" i="113"/>
  <c r="BX21" i="113"/>
  <c r="CF21" i="113"/>
  <c r="CH21" i="113" s="1"/>
  <c r="BF18" i="113"/>
  <c r="BV18" i="113"/>
  <c r="AV19" i="113"/>
  <c r="AX19" i="113" s="1"/>
  <c r="BD19" i="113"/>
  <c r="BH19" i="113"/>
  <c r="BV20" i="113"/>
  <c r="Y21" i="113"/>
  <c r="AA21" i="113" s="1"/>
  <c r="AC21" i="113"/>
  <c r="AE21" i="113" s="1"/>
  <c r="AG21" i="113"/>
  <c r="AK21" i="113"/>
  <c r="AO21" i="113"/>
  <c r="AQ21" i="113" s="1"/>
  <c r="AW21" i="113"/>
  <c r="BA21" i="113"/>
  <c r="BI21" i="113"/>
  <c r="BU21" i="113"/>
  <c r="S6" i="32" l="1"/>
  <c r="S7" i="32"/>
  <c r="S8" i="32"/>
  <c r="S9" i="32"/>
  <c r="S10" i="32"/>
  <c r="S11" i="32"/>
  <c r="S12" i="32"/>
  <c r="S13" i="32"/>
  <c r="S14" i="32"/>
  <c r="S15" i="32"/>
  <c r="S16" i="32"/>
  <c r="S17" i="32"/>
  <c r="S18" i="32"/>
  <c r="S19" i="32"/>
  <c r="S22" i="32"/>
  <c r="S23" i="32"/>
  <c r="S24" i="32"/>
  <c r="S5" i="32"/>
  <c r="N25" i="49" l="1"/>
  <c r="O1" i="32"/>
  <c r="N6" i="49" l="1"/>
  <c r="N22" i="49"/>
  <c r="N27" i="49"/>
  <c r="N24" i="49"/>
  <c r="N12" i="49"/>
  <c r="N5" i="49"/>
  <c r="N19" i="49"/>
  <c r="N8" i="49"/>
  <c r="N18" i="49"/>
  <c r="N20" i="49"/>
  <c r="N13" i="49"/>
  <c r="N10" i="49"/>
  <c r="N7" i="49"/>
  <c r="N16" i="49"/>
  <c r="N9" i="49"/>
  <c r="N15" i="49"/>
  <c r="N14" i="49"/>
  <c r="N23" i="49"/>
  <c r="N21" i="49"/>
  <c r="N17" i="49"/>
  <c r="N11" i="49"/>
  <c r="AE15" i="32" l="1"/>
  <c r="AD15" i="32"/>
  <c r="L13" i="113"/>
  <c r="AD17" i="32"/>
  <c r="AE17" i="32"/>
  <c r="L15" i="113"/>
  <c r="AE13" i="32"/>
  <c r="AD13" i="32"/>
  <c r="L11" i="113"/>
  <c r="AD19" i="32"/>
  <c r="AE19" i="32"/>
  <c r="L17" i="113"/>
  <c r="AE14" i="32"/>
  <c r="AD14" i="32"/>
  <c r="L12" i="113"/>
  <c r="AD9" i="32"/>
  <c r="AE9" i="32"/>
  <c r="L6" i="113"/>
  <c r="AD11" i="32"/>
  <c r="AE11" i="32"/>
  <c r="L8" i="113"/>
  <c r="AE16" i="32"/>
  <c r="AD16" i="32"/>
  <c r="L14" i="113"/>
  <c r="AD22" i="32"/>
  <c r="AE22" i="32"/>
  <c r="L19" i="113"/>
  <c r="AD8" i="32"/>
  <c r="AE8" i="32"/>
  <c r="L5" i="113"/>
  <c r="AD5" i="32"/>
  <c r="AE5" i="32"/>
  <c r="L3" i="113"/>
  <c r="AE10" i="32"/>
  <c r="AD10" i="32"/>
  <c r="L7" i="113"/>
  <c r="AE12" i="32"/>
  <c r="AD12" i="32"/>
  <c r="L10" i="113"/>
  <c r="AD18" i="32"/>
  <c r="AE18" i="32"/>
  <c r="L16" i="113"/>
  <c r="AE24" i="32"/>
  <c r="AD24" i="32"/>
  <c r="L21" i="113"/>
  <c r="AI21" i="113" l="1"/>
  <c r="CI21" i="113"/>
  <c r="CB21" i="113"/>
  <c r="BE21" i="113"/>
  <c r="BO21" i="113"/>
  <c r="AR21" i="113"/>
  <c r="BY21" i="113"/>
  <c r="AY21" i="113"/>
  <c r="AB21" i="113"/>
  <c r="BT21" i="113"/>
  <c r="BJ21" i="113"/>
  <c r="AF21"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19" i="113"/>
  <c r="BE19" i="113"/>
  <c r="CI19" i="113"/>
  <c r="AB19" i="113"/>
  <c r="CB19" i="113"/>
  <c r="AI19" i="113"/>
  <c r="BO19" i="113"/>
  <c r="AF19" i="113"/>
  <c r="BY19" i="113"/>
  <c r="AR19" i="113"/>
  <c r="BT19" i="113"/>
  <c r="AY19"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AE20" i="32"/>
  <c r="AD20" i="32"/>
  <c r="L18" i="113"/>
  <c r="S11" i="103"/>
  <c r="CI18" i="113" l="1"/>
  <c r="AF18" i="113"/>
  <c r="AI18" i="113"/>
  <c r="BJ18" i="113"/>
  <c r="BT18" i="113"/>
  <c r="AY18" i="113"/>
  <c r="AB18" i="113"/>
  <c r="BY18" i="113"/>
  <c r="CB18" i="113"/>
  <c r="BO18" i="113"/>
  <c r="AR18" i="113"/>
  <c r="BE18" i="113"/>
  <c r="O12" i="104"/>
  <c r="P12" i="104"/>
  <c r="R6" i="103"/>
  <c r="K3" i="32" l="1"/>
  <c r="L3" i="32"/>
  <c r="AE6" i="32" l="1"/>
  <c r="AD6" i="32"/>
  <c r="L4" i="113"/>
  <c r="AD23" i="32"/>
  <c r="AE23" i="32"/>
  <c r="L20" i="113"/>
  <c r="N6" i="103"/>
  <c r="M6" i="103"/>
  <c r="P21" i="103"/>
  <c r="N11" i="104"/>
  <c r="P11" i="104"/>
  <c r="O11" i="104"/>
  <c r="N10" i="104"/>
  <c r="N9" i="104"/>
  <c r="O9" i="104" s="1"/>
  <c r="P10" i="104"/>
  <c r="O10" i="104"/>
  <c r="P9" i="104"/>
  <c r="P6" i="103"/>
  <c r="P9" i="103"/>
  <c r="R13" i="103"/>
  <c r="R29" i="103"/>
  <c r="R42" i="103"/>
  <c r="AY20" i="113" l="1"/>
  <c r="AI20" i="113"/>
  <c r="BJ20" i="113"/>
  <c r="AR20" i="113"/>
  <c r="CI20" i="113"/>
  <c r="BO20" i="113"/>
  <c r="BT20" i="113"/>
  <c r="BY20" i="113"/>
  <c r="AB20" i="113"/>
  <c r="CB20" i="113"/>
  <c r="BE20" i="113"/>
  <c r="AF20" i="113"/>
  <c r="CI4" i="113"/>
  <c r="BT4" i="113"/>
  <c r="BE4" i="113"/>
  <c r="BO4" i="113"/>
  <c r="CB4" i="113"/>
  <c r="AB4" i="113"/>
  <c r="BY4" i="113"/>
  <c r="BJ4" i="113"/>
  <c r="AY4" i="113"/>
  <c r="AF4" i="113"/>
  <c r="AI4" i="113"/>
  <c r="AR4" i="113"/>
  <c r="R26" i="103"/>
  <c r="I13" i="85" l="1"/>
  <c r="J13" i="85"/>
  <c r="T13" i="85"/>
  <c r="U13" i="85" l="1"/>
  <c r="R13" i="85"/>
  <c r="S25" i="32" l="1"/>
  <c r="M20" i="113" l="1"/>
  <c r="X11" i="107"/>
  <c r="X5" i="107"/>
  <c r="X8" i="107"/>
  <c r="X21" i="107"/>
  <c r="X20" i="107"/>
  <c r="X14" i="107"/>
  <c r="X13" i="107"/>
  <c r="X19" i="107"/>
  <c r="X17" i="107"/>
  <c r="X10" i="107"/>
  <c r="X18" i="107"/>
  <c r="X16" i="107"/>
  <c r="X15" i="107"/>
  <c r="X12" i="107"/>
  <c r="X4" i="107"/>
  <c r="X6" i="107"/>
  <c r="X7" i="107"/>
  <c r="X15" i="111"/>
  <c r="X12" i="111"/>
  <c r="X14" i="111"/>
  <c r="X5" i="111"/>
  <c r="X19" i="111"/>
  <c r="X18" i="111"/>
  <c r="X9" i="111"/>
  <c r="X7" i="111"/>
  <c r="X4" i="111"/>
  <c r="X17" i="111"/>
  <c r="X8" i="111"/>
  <c r="X20" i="111"/>
  <c r="X10" i="111"/>
  <c r="X11" i="111"/>
  <c r="X13" i="111"/>
  <c r="X16" i="111"/>
  <c r="X6" i="111"/>
  <c r="X21" i="111"/>
  <c r="W15" i="111"/>
  <c r="Y15" i="111" s="1"/>
  <c r="AA15" i="111" s="1"/>
  <c r="W12" i="111"/>
  <c r="W14" i="111"/>
  <c r="W5" i="111"/>
  <c r="W19" i="111"/>
  <c r="W18" i="111"/>
  <c r="W9" i="111"/>
  <c r="W7" i="111"/>
  <c r="W4" i="111"/>
  <c r="W17" i="111"/>
  <c r="W8" i="111"/>
  <c r="W20" i="111"/>
  <c r="W10" i="111"/>
  <c r="W11" i="111"/>
  <c r="W13" i="111"/>
  <c r="Z13" i="111" s="1"/>
  <c r="AA13" i="111" s="1"/>
  <c r="W16" i="111"/>
  <c r="Y16" i="111" s="1"/>
  <c r="AA16" i="111" s="1"/>
  <c r="W6" i="111"/>
  <c r="W21" i="111"/>
  <c r="V15" i="111"/>
  <c r="V12" i="111"/>
  <c r="V14" i="111"/>
  <c r="V5" i="111"/>
  <c r="V19" i="111"/>
  <c r="V18" i="111"/>
  <c r="V9" i="111"/>
  <c r="V7" i="111"/>
  <c r="V4" i="111"/>
  <c r="V17" i="111"/>
  <c r="V8" i="111"/>
  <c r="V20" i="111"/>
  <c r="V10" i="111"/>
  <c r="V11" i="111"/>
  <c r="V13" i="111"/>
  <c r="V16" i="111"/>
  <c r="V6" i="111"/>
  <c r="V21" i="111"/>
  <c r="U15" i="111"/>
  <c r="U12" i="111"/>
  <c r="U14" i="111"/>
  <c r="U5" i="111"/>
  <c r="U19" i="111"/>
  <c r="U18" i="111"/>
  <c r="U9" i="111"/>
  <c r="U7" i="111"/>
  <c r="U4" i="111"/>
  <c r="U17" i="111"/>
  <c r="U8" i="111"/>
  <c r="U20" i="111"/>
  <c r="U10" i="111"/>
  <c r="U11" i="111"/>
  <c r="U13" i="111"/>
  <c r="U16" i="111"/>
  <c r="U6" i="111"/>
  <c r="U21" i="111"/>
  <c r="S15" i="111"/>
  <c r="S12" i="111"/>
  <c r="S14" i="111"/>
  <c r="S5" i="111"/>
  <c r="S19" i="111"/>
  <c r="S18" i="111"/>
  <c r="S9" i="111"/>
  <c r="S7" i="111"/>
  <c r="S4" i="111"/>
  <c r="S17" i="111"/>
  <c r="S8" i="111"/>
  <c r="S20" i="111"/>
  <c r="S10" i="111"/>
  <c r="S11" i="111"/>
  <c r="S13" i="111"/>
  <c r="S16" i="111"/>
  <c r="S6" i="111"/>
  <c r="S21" i="111"/>
  <c r="R15" i="111"/>
  <c r="R12" i="111"/>
  <c r="R14" i="111"/>
  <c r="R5" i="111"/>
  <c r="R19" i="111"/>
  <c r="AA19" i="111" s="1"/>
  <c r="R18" i="111"/>
  <c r="R9" i="111"/>
  <c r="R7" i="111"/>
  <c r="R4" i="111"/>
  <c r="Z4" i="111" s="1"/>
  <c r="R17" i="111"/>
  <c r="R8" i="111"/>
  <c r="R20" i="111"/>
  <c r="R10" i="111"/>
  <c r="R11" i="111"/>
  <c r="R13" i="111"/>
  <c r="R16" i="111"/>
  <c r="R6" i="111"/>
  <c r="R21" i="111"/>
  <c r="N15" i="111"/>
  <c r="N12" i="111"/>
  <c r="N14" i="111"/>
  <c r="N5" i="111"/>
  <c r="N19" i="111"/>
  <c r="N18" i="111"/>
  <c r="N9" i="111"/>
  <c r="N7" i="111"/>
  <c r="N4" i="111"/>
  <c r="N17" i="111"/>
  <c r="N8" i="111"/>
  <c r="N20" i="111"/>
  <c r="N10" i="111"/>
  <c r="N11" i="111"/>
  <c r="N13" i="111"/>
  <c r="N16" i="111"/>
  <c r="N6" i="111"/>
  <c r="N21" i="111"/>
  <c r="M15" i="111"/>
  <c r="M12" i="111"/>
  <c r="M14" i="111"/>
  <c r="M5" i="111"/>
  <c r="M19" i="111"/>
  <c r="M18" i="111"/>
  <c r="M9" i="111"/>
  <c r="M7" i="111"/>
  <c r="M4" i="111"/>
  <c r="M17" i="111"/>
  <c r="M8" i="111"/>
  <c r="M20" i="111"/>
  <c r="M10" i="111"/>
  <c r="M11" i="111"/>
  <c r="M13" i="111"/>
  <c r="M16" i="111"/>
  <c r="M6" i="111"/>
  <c r="M21" i="111"/>
  <c r="K3" i="111"/>
  <c r="J3" i="111"/>
  <c r="I3" i="111"/>
  <c r="H3" i="111"/>
  <c r="G3" i="111"/>
  <c r="F3" i="111"/>
  <c r="X9" i="110"/>
  <c r="X13" i="110"/>
  <c r="X20" i="110"/>
  <c r="X19" i="110"/>
  <c r="W8" i="110"/>
  <c r="X4" i="110"/>
  <c r="X12" i="110"/>
  <c r="X7" i="110"/>
  <c r="X11" i="110"/>
  <c r="X8" i="110"/>
  <c r="X21" i="110"/>
  <c r="X18" i="110"/>
  <c r="X15" i="110"/>
  <c r="X16" i="110"/>
  <c r="X17" i="110"/>
  <c r="X5" i="110"/>
  <c r="X14" i="110"/>
  <c r="X6" i="110"/>
  <c r="W16" i="110"/>
  <c r="W15" i="110"/>
  <c r="W18" i="110"/>
  <c r="W4" i="110"/>
  <c r="Y4" i="110" s="1"/>
  <c r="AA4" i="110" s="1"/>
  <c r="W12" i="110"/>
  <c r="W7" i="110"/>
  <c r="W11" i="110"/>
  <c r="W21" i="110"/>
  <c r="W20" i="110"/>
  <c r="W13" i="110"/>
  <c r="W19" i="110"/>
  <c r="W17" i="110"/>
  <c r="W5" i="110"/>
  <c r="Y5" i="110" s="1"/>
  <c r="AA5" i="110" s="1"/>
  <c r="W14" i="110"/>
  <c r="W6" i="110"/>
  <c r="Z6" i="110" s="1"/>
  <c r="V4" i="110"/>
  <c r="V12" i="110"/>
  <c r="V7" i="110"/>
  <c r="V11" i="110"/>
  <c r="V8" i="110"/>
  <c r="V21" i="110"/>
  <c r="V20" i="110"/>
  <c r="AA20" i="110" s="1"/>
  <c r="V18" i="110"/>
  <c r="V13" i="110"/>
  <c r="V15" i="110"/>
  <c r="V16" i="110"/>
  <c r="V9" i="110"/>
  <c r="V17" i="110"/>
  <c r="V5" i="110"/>
  <c r="V14" i="110"/>
  <c r="V6" i="110"/>
  <c r="U4" i="110"/>
  <c r="U12" i="110"/>
  <c r="U7" i="110"/>
  <c r="U11" i="110"/>
  <c r="U8" i="110"/>
  <c r="U21" i="110"/>
  <c r="U20" i="110"/>
  <c r="U18" i="110"/>
  <c r="U13" i="110"/>
  <c r="U15" i="110"/>
  <c r="U16" i="110"/>
  <c r="U9" i="110"/>
  <c r="U19" i="110"/>
  <c r="U17" i="110"/>
  <c r="U5" i="110"/>
  <c r="U14" i="110"/>
  <c r="U6" i="110"/>
  <c r="T4" i="110"/>
  <c r="T12" i="110"/>
  <c r="T7" i="110"/>
  <c r="T11" i="110"/>
  <c r="T8" i="110"/>
  <c r="T21" i="110"/>
  <c r="T20" i="110"/>
  <c r="T18" i="110"/>
  <c r="T13" i="110"/>
  <c r="T15" i="110"/>
  <c r="T16" i="110"/>
  <c r="T9" i="110"/>
  <c r="T19" i="110"/>
  <c r="AA19" i="110" s="1"/>
  <c r="T17" i="110"/>
  <c r="T5" i="110"/>
  <c r="T14" i="110"/>
  <c r="T6" i="110"/>
  <c r="Y6" i="110" s="1"/>
  <c r="N4" i="110"/>
  <c r="N12" i="110"/>
  <c r="N7" i="110"/>
  <c r="N11" i="110"/>
  <c r="N8" i="110"/>
  <c r="N20" i="110"/>
  <c r="N18" i="110"/>
  <c r="N15" i="110"/>
  <c r="N16" i="110"/>
  <c r="N9" i="110"/>
  <c r="N17" i="110"/>
  <c r="N5" i="110"/>
  <c r="N6" i="110"/>
  <c r="K3" i="110"/>
  <c r="J3" i="110"/>
  <c r="I3" i="110"/>
  <c r="H3" i="110"/>
  <c r="G3" i="110"/>
  <c r="F3" i="110"/>
  <c r="Z6" i="111" l="1"/>
  <c r="Y6" i="111"/>
  <c r="Z11" i="111"/>
  <c r="Y11" i="111"/>
  <c r="Z12" i="111"/>
  <c r="Y12" i="111"/>
  <c r="Z14" i="111"/>
  <c r="Y14" i="111"/>
  <c r="Y10" i="111"/>
  <c r="Z10" i="111"/>
  <c r="AA10" i="111" s="1"/>
  <c r="Z8" i="111"/>
  <c r="AA8" i="111" s="1"/>
  <c r="Y8" i="111"/>
  <c r="Y9" i="111"/>
  <c r="Z9" i="111"/>
  <c r="Y12" i="110"/>
  <c r="Z12" i="110"/>
  <c r="AA12" i="110" s="1"/>
  <c r="Z7" i="110"/>
  <c r="Y7" i="110"/>
  <c r="Y8" i="110"/>
  <c r="Z8" i="110"/>
  <c r="AA8" i="110" s="1"/>
  <c r="Z9" i="110"/>
  <c r="Y9" i="110"/>
  <c r="Y11" i="110"/>
  <c r="Z11" i="110"/>
  <c r="AA11" i="110" s="1"/>
  <c r="AA6" i="110"/>
  <c r="Z7" i="111"/>
  <c r="Y7" i="111"/>
  <c r="Z5" i="111"/>
  <c r="AA5" i="111" s="1"/>
  <c r="AA13" i="110"/>
  <c r="AJ20" i="113"/>
  <c r="BU20" i="113"/>
  <c r="BK20" i="113"/>
  <c r="BP20" i="113"/>
  <c r="BZ20" i="113"/>
  <c r="CC20" i="113"/>
  <c r="CE20" i="113" s="1"/>
  <c r="BF20" i="113"/>
  <c r="CF20" i="113"/>
  <c r="CH20" i="113" s="1"/>
  <c r="AA18" i="110"/>
  <c r="AA15" i="110"/>
  <c r="AA14" i="110"/>
  <c r="AA17" i="111"/>
  <c r="AA20" i="111"/>
  <c r="AA4" i="111"/>
  <c r="AA6" i="111"/>
  <c r="AA16" i="110"/>
  <c r="W9" i="110"/>
  <c r="V19" i="110"/>
  <c r="N14" i="110"/>
  <c r="N19" i="110"/>
  <c r="N13" i="110"/>
  <c r="N21" i="110"/>
  <c r="AA14" i="111" l="1"/>
  <c r="AA7" i="111"/>
  <c r="AA11" i="111"/>
  <c r="AA12" i="111"/>
  <c r="AA9" i="110"/>
  <c r="AA7" i="110"/>
  <c r="AA9" i="111"/>
  <c r="Z2" i="111"/>
  <c r="Z2" i="110"/>
  <c r="Y2" i="111" l="1"/>
  <c r="Y2" i="110"/>
  <c r="O6" i="108" l="1"/>
  <c r="O15" i="108"/>
  <c r="O17" i="108"/>
  <c r="O18" i="108"/>
  <c r="O22" i="108"/>
  <c r="O11" i="108"/>
  <c r="O14" i="108"/>
  <c r="Q8" i="108"/>
  <c r="O5" i="108"/>
  <c r="O7" i="108"/>
  <c r="R17" i="108"/>
  <c r="R20" i="108"/>
  <c r="O19" i="108"/>
  <c r="O4" i="108"/>
  <c r="O12" i="108"/>
  <c r="R13" i="108"/>
  <c r="V16" i="108"/>
  <c r="R21" i="108"/>
  <c r="R10" i="108"/>
  <c r="S6" i="108"/>
  <c r="S7" i="108"/>
  <c r="Y7" i="108" s="1"/>
  <c r="S5" i="108"/>
  <c r="S12" i="108"/>
  <c r="S14" i="108"/>
  <c r="S15" i="108"/>
  <c r="S4" i="108"/>
  <c r="S17" i="108"/>
  <c r="S10" i="108"/>
  <c r="R6" i="108"/>
  <c r="R7" i="108"/>
  <c r="Z7" i="108" s="1"/>
  <c r="R5" i="108"/>
  <c r="Z5" i="108" s="1"/>
  <c r="R12" i="108"/>
  <c r="R14" i="108"/>
  <c r="R15" i="108"/>
  <c r="R4" i="108"/>
  <c r="R22" i="108"/>
  <c r="Q6" i="108"/>
  <c r="Q7" i="108"/>
  <c r="Q12" i="108"/>
  <c r="Q14" i="108"/>
  <c r="Q15" i="108"/>
  <c r="Q4" i="108"/>
  <c r="Q17" i="108"/>
  <c r="P6" i="108"/>
  <c r="P7" i="108"/>
  <c r="P19" i="108"/>
  <c r="P14" i="108"/>
  <c r="P15" i="108"/>
  <c r="P4" i="108"/>
  <c r="P22" i="108"/>
  <c r="P18" i="108"/>
  <c r="P17" i="108"/>
  <c r="V6" i="108"/>
  <c r="V7" i="108"/>
  <c r="V12" i="108"/>
  <c r="V15" i="108"/>
  <c r="V4" i="108"/>
  <c r="V11" i="108"/>
  <c r="V17" i="108"/>
  <c r="U6" i="108"/>
  <c r="U7" i="108"/>
  <c r="U19" i="108"/>
  <c r="U14" i="108"/>
  <c r="U15" i="108"/>
  <c r="U4" i="108"/>
  <c r="U22" i="108"/>
  <c r="U16" i="108"/>
  <c r="U17" i="108"/>
  <c r="T6" i="108"/>
  <c r="T7" i="108"/>
  <c r="T12" i="108"/>
  <c r="T15" i="108"/>
  <c r="T4" i="108"/>
  <c r="T11" i="108"/>
  <c r="Y11" i="108" s="1"/>
  <c r="T17" i="108"/>
  <c r="K17" i="108"/>
  <c r="I17" i="108"/>
  <c r="H17" i="108"/>
  <c r="G17" i="108"/>
  <c r="F17" i="108"/>
  <c r="E17" i="108"/>
  <c r="C17" i="108"/>
  <c r="B17" i="108"/>
  <c r="K18" i="108"/>
  <c r="J18" i="108"/>
  <c r="I18" i="108"/>
  <c r="H18" i="108"/>
  <c r="G18" i="108"/>
  <c r="F18" i="108"/>
  <c r="E18" i="108"/>
  <c r="C18" i="108"/>
  <c r="B18" i="108"/>
  <c r="K16" i="108"/>
  <c r="J16" i="108"/>
  <c r="I16" i="108"/>
  <c r="H16" i="108"/>
  <c r="G16" i="108"/>
  <c r="F16" i="108"/>
  <c r="E16" i="108"/>
  <c r="C16" i="108"/>
  <c r="B16" i="108"/>
  <c r="K22" i="108"/>
  <c r="I22" i="108"/>
  <c r="H22" i="108"/>
  <c r="G22" i="108"/>
  <c r="F22" i="108"/>
  <c r="E22" i="108"/>
  <c r="C22" i="108"/>
  <c r="B22" i="108"/>
  <c r="K20" i="108"/>
  <c r="I20" i="108"/>
  <c r="H20" i="108"/>
  <c r="G20" i="108"/>
  <c r="F20" i="108"/>
  <c r="E20" i="108"/>
  <c r="C20" i="108"/>
  <c r="B20" i="108"/>
  <c r="K11" i="108"/>
  <c r="I11" i="108"/>
  <c r="H11" i="108"/>
  <c r="G11" i="108"/>
  <c r="F11" i="108"/>
  <c r="E11" i="108"/>
  <c r="C11" i="108"/>
  <c r="B11" i="108"/>
  <c r="K4" i="108"/>
  <c r="I4" i="108"/>
  <c r="H4" i="108"/>
  <c r="G4" i="108"/>
  <c r="F4" i="108"/>
  <c r="E4" i="108"/>
  <c r="C4" i="108"/>
  <c r="B4" i="108"/>
  <c r="K15" i="108"/>
  <c r="I15" i="108"/>
  <c r="H15" i="108"/>
  <c r="G15" i="108"/>
  <c r="F15" i="108"/>
  <c r="E15" i="108"/>
  <c r="C15" i="108"/>
  <c r="K14" i="108"/>
  <c r="I14" i="108"/>
  <c r="H14" i="108"/>
  <c r="G14" i="108"/>
  <c r="F14" i="108"/>
  <c r="E14" i="108"/>
  <c r="C14" i="108"/>
  <c r="K13" i="108"/>
  <c r="I13" i="108"/>
  <c r="H13" i="108"/>
  <c r="G13" i="108"/>
  <c r="F13" i="108"/>
  <c r="E13" i="108"/>
  <c r="C13" i="108"/>
  <c r="K12" i="108"/>
  <c r="I12" i="108"/>
  <c r="H12" i="108"/>
  <c r="G12" i="108"/>
  <c r="F12" i="108"/>
  <c r="E12" i="108"/>
  <c r="C12" i="108"/>
  <c r="B12" i="108"/>
  <c r="K8" i="108"/>
  <c r="I8" i="108"/>
  <c r="H8" i="108"/>
  <c r="G8" i="108"/>
  <c r="F8" i="108"/>
  <c r="E8" i="108"/>
  <c r="C8" i="108"/>
  <c r="B8" i="108"/>
  <c r="K9" i="108"/>
  <c r="I9" i="108"/>
  <c r="H9" i="108"/>
  <c r="G9" i="108"/>
  <c r="F9" i="108"/>
  <c r="E9" i="108"/>
  <c r="C9" i="108"/>
  <c r="B9" i="108"/>
  <c r="K19" i="108"/>
  <c r="I19" i="108"/>
  <c r="H19" i="108"/>
  <c r="G19" i="108"/>
  <c r="F19" i="108"/>
  <c r="E19" i="108"/>
  <c r="C19" i="108"/>
  <c r="B19" i="108"/>
  <c r="K5" i="108"/>
  <c r="I5" i="108"/>
  <c r="H5" i="108"/>
  <c r="G5" i="108"/>
  <c r="F5" i="108"/>
  <c r="E5" i="108"/>
  <c r="C5" i="108"/>
  <c r="B5" i="108"/>
  <c r="K7" i="108"/>
  <c r="I7" i="108"/>
  <c r="H7" i="108"/>
  <c r="G7" i="108"/>
  <c r="F7" i="108"/>
  <c r="E7" i="108"/>
  <c r="C7" i="108"/>
  <c r="B7" i="108"/>
  <c r="K6" i="108"/>
  <c r="I6" i="108"/>
  <c r="H6" i="108"/>
  <c r="G6" i="108"/>
  <c r="F6" i="108"/>
  <c r="E6" i="108"/>
  <c r="C6" i="108"/>
  <c r="B6" i="108"/>
  <c r="K21" i="108"/>
  <c r="I21" i="108"/>
  <c r="H21" i="108"/>
  <c r="G21" i="108"/>
  <c r="F21" i="108"/>
  <c r="E21" i="108"/>
  <c r="C21" i="108"/>
  <c r="B21" i="108"/>
  <c r="K10" i="108"/>
  <c r="I10" i="108"/>
  <c r="H10" i="108"/>
  <c r="G10" i="108"/>
  <c r="F10" i="108"/>
  <c r="E10" i="108"/>
  <c r="C10" i="108"/>
  <c r="B10" i="108"/>
  <c r="K3" i="108"/>
  <c r="J3" i="108"/>
  <c r="I3" i="108"/>
  <c r="H3" i="108"/>
  <c r="G3" i="108"/>
  <c r="F3" i="108"/>
  <c r="E3" i="108"/>
  <c r="D3" i="108"/>
  <c r="C3" i="108"/>
  <c r="B3" i="108"/>
  <c r="Y15" i="108" l="1"/>
  <c r="Z15" i="108"/>
  <c r="Y12" i="108"/>
  <c r="Z12" i="108"/>
  <c r="AA12" i="108" s="1"/>
  <c r="Y4" i="108"/>
  <c r="Z4" i="108"/>
  <c r="Z6" i="108"/>
  <c r="AA6" i="108" s="1"/>
  <c r="Z14" i="108"/>
  <c r="AA14" i="108" s="1"/>
  <c r="Y14" i="108"/>
  <c r="Q20" i="108"/>
  <c r="T18" i="108"/>
  <c r="U18" i="108"/>
  <c r="Q18" i="108"/>
  <c r="S18" i="108"/>
  <c r="V18" i="108"/>
  <c r="R18" i="108"/>
  <c r="AA4" i="108"/>
  <c r="AA7" i="108"/>
  <c r="T19" i="108"/>
  <c r="U5" i="108"/>
  <c r="V19" i="108"/>
  <c r="P5" i="108"/>
  <c r="Q11" i="108"/>
  <c r="S11" i="108"/>
  <c r="AA11" i="108"/>
  <c r="T16" i="108"/>
  <c r="T5" i="108"/>
  <c r="U20" i="108"/>
  <c r="V5" i="108"/>
  <c r="V10" i="108"/>
  <c r="Q19" i="108"/>
  <c r="R11" i="108"/>
  <c r="S8" i="108"/>
  <c r="Z8" i="108" s="1"/>
  <c r="N10" i="108"/>
  <c r="T22" i="108"/>
  <c r="T14" i="108"/>
  <c r="U11" i="108"/>
  <c r="U12" i="108"/>
  <c r="V22" i="108"/>
  <c r="V14" i="108"/>
  <c r="P10" i="108"/>
  <c r="P11" i="108"/>
  <c r="P12" i="108"/>
  <c r="Q22" i="108"/>
  <c r="Q5" i="108"/>
  <c r="R19" i="108"/>
  <c r="S22" i="108"/>
  <c r="S19" i="108"/>
  <c r="O8" i="108"/>
  <c r="T8" i="108"/>
  <c r="U13" i="108"/>
  <c r="U21" i="108"/>
  <c r="V8" i="108"/>
  <c r="Y8" i="108" s="1"/>
  <c r="P8" i="108"/>
  <c r="Q13" i="108"/>
  <c r="Q21" i="108"/>
  <c r="R8" i="108"/>
  <c r="S20" i="108"/>
  <c r="O20" i="108"/>
  <c r="AA5" i="108"/>
  <c r="T20" i="108"/>
  <c r="V20" i="108"/>
  <c r="P20" i="108"/>
  <c r="S13" i="108"/>
  <c r="S21" i="108"/>
  <c r="O16" i="108"/>
  <c r="O13" i="108"/>
  <c r="O21" i="108"/>
  <c r="T13" i="108"/>
  <c r="T21" i="108"/>
  <c r="U8" i="108"/>
  <c r="V13" i="108"/>
  <c r="V21" i="108"/>
  <c r="P13" i="108"/>
  <c r="P21" i="108"/>
  <c r="O10" i="108"/>
  <c r="P16" i="108"/>
  <c r="Q16" i="108"/>
  <c r="R16" i="108"/>
  <c r="S16" i="108"/>
  <c r="T10" i="108"/>
  <c r="Q10" i="108"/>
  <c r="U10" i="108"/>
  <c r="Y13" i="108" l="1"/>
  <c r="Z13" i="108"/>
  <c r="Z10" i="108"/>
  <c r="Y10" i="108"/>
  <c r="Y2" i="108" s="1"/>
  <c r="AA15" i="108"/>
  <c r="AA13" i="108"/>
  <c r="AA8" i="108" l="1"/>
  <c r="AA10" i="108"/>
  <c r="Z2" i="108"/>
  <c r="R8" i="107"/>
  <c r="R21" i="107"/>
  <c r="R19" i="107"/>
  <c r="R10" i="107"/>
  <c r="R18" i="107"/>
  <c r="R4" i="107"/>
  <c r="U5" i="107"/>
  <c r="U20" i="107"/>
  <c r="U14" i="107"/>
  <c r="U10" i="107"/>
  <c r="U4" i="107"/>
  <c r="U6" i="107"/>
  <c r="U7" i="107"/>
  <c r="V5" i="107"/>
  <c r="V20" i="107"/>
  <c r="V14" i="107"/>
  <c r="V10" i="107"/>
  <c r="V15" i="107"/>
  <c r="V4" i="107"/>
  <c r="V6" i="107"/>
  <c r="V7" i="107"/>
  <c r="N4" i="107"/>
  <c r="R6" i="107"/>
  <c r="W10" i="107"/>
  <c r="P14" i="107"/>
  <c r="Y14" i="107" s="1"/>
  <c r="N8" i="107"/>
  <c r="S7" i="107"/>
  <c r="N20" i="107"/>
  <c r="M19" i="107"/>
  <c r="S14" i="107"/>
  <c r="S13" i="107"/>
  <c r="Z13" i="107" s="1"/>
  <c r="S6" i="107"/>
  <c r="M5" i="107"/>
  <c r="N5" i="107"/>
  <c r="M14" i="107"/>
  <c r="N14" i="107"/>
  <c r="M18" i="107"/>
  <c r="N18" i="107"/>
  <c r="N15" i="107"/>
  <c r="M6" i="107"/>
  <c r="N6" i="107"/>
  <c r="M7" i="107"/>
  <c r="W7" i="107"/>
  <c r="Y7" i="107" s="1"/>
  <c r="AA7" i="107" s="1"/>
  <c r="T5" i="107"/>
  <c r="W5" i="107"/>
  <c r="T21" i="107"/>
  <c r="W21" i="107"/>
  <c r="T14" i="107"/>
  <c r="W14" i="107"/>
  <c r="Q14" i="107"/>
  <c r="Z14" i="107" s="1"/>
  <c r="T13" i="107"/>
  <c r="W13" i="107"/>
  <c r="T19" i="107"/>
  <c r="W19" i="107"/>
  <c r="Q19" i="107"/>
  <c r="W17" i="107"/>
  <c r="T18" i="107"/>
  <c r="AA18" i="107" s="1"/>
  <c r="Q18" i="107"/>
  <c r="T16" i="107"/>
  <c r="T15" i="107"/>
  <c r="W15" i="107"/>
  <c r="W12" i="107"/>
  <c r="T6" i="107"/>
  <c r="Y6" i="107" s="1"/>
  <c r="W6" i="107"/>
  <c r="Z6" i="107" s="1"/>
  <c r="P6" i="107"/>
  <c r="Q7" i="107"/>
  <c r="P7" i="107"/>
  <c r="T7" i="107"/>
  <c r="Z10" i="107" l="1"/>
  <c r="Y10" i="107"/>
  <c r="AA6" i="107"/>
  <c r="Y5" i="107"/>
  <c r="Z5" i="107"/>
  <c r="Y15" i="107"/>
  <c r="Z15" i="107"/>
  <c r="AA15" i="107" s="1"/>
  <c r="M17" i="107"/>
  <c r="R17" i="107"/>
  <c r="W11" i="107"/>
  <c r="R11" i="107"/>
  <c r="T11" i="107"/>
  <c r="N11" i="107"/>
  <c r="Q11" i="107"/>
  <c r="U12" i="107"/>
  <c r="V12" i="107"/>
  <c r="M12" i="107"/>
  <c r="Q12" i="107"/>
  <c r="N12" i="107"/>
  <c r="T12" i="107"/>
  <c r="M21" i="107"/>
  <c r="P21" i="107"/>
  <c r="U21" i="107"/>
  <c r="V21" i="107"/>
  <c r="S21" i="107"/>
  <c r="N21" i="107"/>
  <c r="Q21" i="107"/>
  <c r="S15" i="107"/>
  <c r="Q15" i="107"/>
  <c r="R15" i="107"/>
  <c r="U17" i="107"/>
  <c r="U11" i="107"/>
  <c r="R12" i="107"/>
  <c r="Z12" i="107" s="1"/>
  <c r="P12" i="107"/>
  <c r="M15" i="107"/>
  <c r="S12" i="107"/>
  <c r="U18" i="107"/>
  <c r="V18" i="107"/>
  <c r="W18" i="107"/>
  <c r="S18" i="107"/>
  <c r="P18" i="107"/>
  <c r="S5" i="107"/>
  <c r="P5" i="107"/>
  <c r="R5" i="107"/>
  <c r="Q5" i="107"/>
  <c r="U13" i="107"/>
  <c r="V13" i="107"/>
  <c r="AA13" i="107" s="1"/>
  <c r="M13" i="107"/>
  <c r="P13" i="107"/>
  <c r="N13" i="107"/>
  <c r="Q13" i="107"/>
  <c r="S16" i="107"/>
  <c r="N16" i="107"/>
  <c r="P16" i="107"/>
  <c r="U16" i="107"/>
  <c r="V16" i="107"/>
  <c r="Q16" i="107"/>
  <c r="V17" i="107"/>
  <c r="V11" i="107"/>
  <c r="U15" i="107"/>
  <c r="R16" i="107"/>
  <c r="R13" i="107"/>
  <c r="V19" i="107"/>
  <c r="U19" i="107"/>
  <c r="R7" i="107"/>
  <c r="R14" i="107"/>
  <c r="Q6" i="107"/>
  <c r="P19" i="107"/>
  <c r="N7" i="107"/>
  <c r="S19" i="107"/>
  <c r="V8" i="107"/>
  <c r="U8" i="107"/>
  <c r="R20" i="107"/>
  <c r="W20" i="107"/>
  <c r="M20" i="107"/>
  <c r="Q8" i="107"/>
  <c r="T8" i="107"/>
  <c r="N10" i="107"/>
  <c r="M8" i="107"/>
  <c r="S10" i="107"/>
  <c r="Q10" i="107"/>
  <c r="T10" i="107"/>
  <c r="P8" i="107"/>
  <c r="M10" i="107"/>
  <c r="S17" i="107"/>
  <c r="W4" i="107"/>
  <c r="Y4" i="107" s="1"/>
  <c r="AA4" i="107" s="1"/>
  <c r="P10" i="107"/>
  <c r="AA10" i="107" s="1"/>
  <c r="Q17" i="107"/>
  <c r="T17" i="107"/>
  <c r="Q20" i="107"/>
  <c r="T20" i="107"/>
  <c r="W8" i="107"/>
  <c r="N17" i="107"/>
  <c r="S8" i="107"/>
  <c r="S4" i="107"/>
  <c r="P17" i="107"/>
  <c r="P20" i="107"/>
  <c r="M4" i="107"/>
  <c r="P15" i="107"/>
  <c r="Q4" i="107"/>
  <c r="T4" i="107"/>
  <c r="P4" i="107"/>
  <c r="W16" i="107"/>
  <c r="M16" i="107"/>
  <c r="P11" i="107"/>
  <c r="M11" i="107"/>
  <c r="S11" i="107"/>
  <c r="S20" i="107"/>
  <c r="AA20" i="107" s="1"/>
  <c r="N19" i="107"/>
  <c r="Y16" i="107" l="1"/>
  <c r="Z16" i="107"/>
  <c r="AA16" i="107" s="1"/>
  <c r="Z8" i="107"/>
  <c r="Y8" i="107"/>
  <c r="Z17" i="107"/>
  <c r="Y17" i="107"/>
  <c r="AA17" i="107" s="1"/>
  <c r="Y11" i="107"/>
  <c r="Z11" i="107"/>
  <c r="AA11" i="107" s="1"/>
  <c r="AA12" i="107"/>
  <c r="AA14" i="107"/>
  <c r="AA5" i="107"/>
  <c r="F3" i="107"/>
  <c r="G3" i="107"/>
  <c r="H3" i="107"/>
  <c r="I3" i="107"/>
  <c r="J3" i="107"/>
  <c r="K3" i="107"/>
  <c r="B3" i="107"/>
  <c r="C3" i="107"/>
  <c r="D3" i="107"/>
  <c r="E3" i="107"/>
  <c r="AA8" i="107" l="1"/>
  <c r="AA19" i="107"/>
  <c r="Y2" i="107"/>
  <c r="Z2" i="107"/>
  <c r="N8" i="104" l="1"/>
  <c r="O8" i="104" s="1"/>
  <c r="P8" i="104"/>
  <c r="N7" i="104" l="1"/>
  <c r="O7" i="104" s="1"/>
  <c r="P7" i="104"/>
  <c r="M7" i="103" l="1"/>
  <c r="N7" i="103" s="1"/>
  <c r="O7" i="103" s="1"/>
  <c r="P7" i="103" s="1"/>
  <c r="P6" i="104" l="1"/>
  <c r="O6" i="104"/>
  <c r="P5" i="104"/>
  <c r="O5" i="104"/>
  <c r="C19" i="85" l="1"/>
  <c r="A19" i="85"/>
  <c r="D19" i="85" l="1"/>
  <c r="J10" i="108"/>
  <c r="J4" i="108"/>
  <c r="J21" i="108"/>
  <c r="J19" i="108"/>
  <c r="J15" i="108"/>
  <c r="J20" i="108"/>
  <c r="J12" i="108"/>
  <c r="J8" i="108"/>
  <c r="J17" i="108"/>
  <c r="J6" i="108"/>
  <c r="J5" i="108"/>
  <c r="J11" i="108"/>
  <c r="J7" i="108"/>
  <c r="J13" i="108"/>
  <c r="J14" i="108"/>
  <c r="J9" i="108"/>
  <c r="C18" i="3" l="1"/>
  <c r="C19" i="3"/>
  <c r="C20" i="3"/>
  <c r="C21" i="3"/>
  <c r="T26" i="49"/>
  <c r="T23" i="49"/>
  <c r="T21"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O8" i="32"/>
  <c r="AO9" i="32"/>
  <c r="AO10" i="32"/>
  <c r="AO11" i="32"/>
  <c r="AO7" i="32"/>
  <c r="AO12" i="32"/>
  <c r="AO13" i="32"/>
  <c r="AO14" i="32"/>
  <c r="AO15" i="32"/>
  <c r="AO16" i="32"/>
  <c r="AO17" i="32"/>
  <c r="AO18" i="32"/>
  <c r="AO19" i="32"/>
  <c r="AO20" i="32"/>
  <c r="AO22" i="32"/>
  <c r="AO23" i="32"/>
  <c r="AO24" i="32"/>
  <c r="AO6" i="32"/>
  <c r="AO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J22" i="108"/>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O3" i="76"/>
  <c r="V2" i="32"/>
  <c r="R2" i="32"/>
  <c r="O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T2" i="32" l="1"/>
  <c r="L15" i="100"/>
  <c r="M15" i="100" s="1"/>
  <c r="N15" i="100" s="1"/>
  <c r="O15" i="100" s="1"/>
  <c r="P15" i="100" s="1"/>
  <c r="Q15" i="100" s="1"/>
  <c r="R15" i="100" s="1"/>
  <c r="S15" i="100" s="1"/>
  <c r="W29" i="86" l="1"/>
  <c r="X30" i="86" s="1"/>
  <c r="H7" i="100" l="1"/>
  <c r="H6" i="100"/>
  <c r="P14" i="100"/>
  <c r="U5" i="32" l="1"/>
  <c r="AL5" i="32"/>
  <c r="AK5" i="32"/>
  <c r="F18" i="102"/>
  <c r="Q5" i="32"/>
  <c r="P5" i="32"/>
  <c r="N5" i="32"/>
  <c r="L5" i="32"/>
  <c r="K5" i="32"/>
  <c r="B18" i="102" l="1"/>
  <c r="AI5" i="32"/>
  <c r="G18" i="102" s="1"/>
  <c r="AJ5" i="32"/>
  <c r="H18" i="102" s="1"/>
  <c r="E18" i="102"/>
  <c r="M12" i="102" l="1"/>
  <c r="AB2" i="32" l="1"/>
  <c r="N12" i="102" l="1"/>
  <c r="O12" i="102" s="1"/>
  <c r="F6" i="100"/>
  <c r="W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K6" i="32"/>
  <c r="AL6" i="32"/>
  <c r="AK8" i="32"/>
  <c r="AL8" i="32"/>
  <c r="AK9" i="32"/>
  <c r="AL9" i="32"/>
  <c r="AK10" i="32"/>
  <c r="AL10" i="32"/>
  <c r="AK11" i="32"/>
  <c r="AL11" i="32"/>
  <c r="AK12" i="32"/>
  <c r="AL12" i="32"/>
  <c r="AK13" i="32"/>
  <c r="AL13" i="32"/>
  <c r="AK14" i="32"/>
  <c r="AL14" i="32"/>
  <c r="AK15" i="32"/>
  <c r="AL15" i="32"/>
  <c r="AK16" i="32"/>
  <c r="AL16" i="32"/>
  <c r="AK17" i="32"/>
  <c r="AL17" i="32"/>
  <c r="AK18" i="32"/>
  <c r="AL18" i="32"/>
  <c r="AK19" i="32"/>
  <c r="AL19" i="32"/>
  <c r="AK20" i="32"/>
  <c r="AL20" i="32"/>
  <c r="AK22" i="32"/>
  <c r="AL22" i="32"/>
  <c r="AK23" i="32"/>
  <c r="AL23" i="32"/>
  <c r="AK24" i="32"/>
  <c r="AL24" i="32"/>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P6" i="32" l="1"/>
  <c r="E15" i="83" s="1"/>
  <c r="Q6" i="32"/>
  <c r="P8" i="32"/>
  <c r="E5" i="83" s="1"/>
  <c r="Q8" i="32"/>
  <c r="P9" i="32"/>
  <c r="E7" i="83" s="1"/>
  <c r="Q9" i="32"/>
  <c r="P10" i="32"/>
  <c r="E12" i="83" s="1"/>
  <c r="J5" i="83" s="1"/>
  <c r="O5" i="83" s="1"/>
  <c r="Q10" i="32"/>
  <c r="P11" i="32"/>
  <c r="E16" i="83" s="1"/>
  <c r="Q11" i="32"/>
  <c r="P12" i="32"/>
  <c r="E4" i="83" s="1"/>
  <c r="J4" i="83" s="1"/>
  <c r="Q12" i="32"/>
  <c r="P13" i="32"/>
  <c r="E9" i="83" s="1"/>
  <c r="F9" i="83" s="1"/>
  <c r="Q13" i="32"/>
  <c r="P14" i="32"/>
  <c r="E13" i="83" s="1"/>
  <c r="Q14" i="32"/>
  <c r="P15" i="32"/>
  <c r="E14" i="83" s="1"/>
  <c r="F14" i="83" s="1"/>
  <c r="Q15" i="32"/>
  <c r="P16" i="32"/>
  <c r="E3" i="83" s="1"/>
  <c r="Q16" i="32"/>
  <c r="P17" i="32"/>
  <c r="E6" i="83" s="1"/>
  <c r="J6" i="83" s="1"/>
  <c r="Q17" i="32"/>
  <c r="P18" i="32"/>
  <c r="E17" i="83" s="1"/>
  <c r="F17" i="83" s="1"/>
  <c r="Q18" i="32"/>
  <c r="P19" i="32"/>
  <c r="E18" i="83" s="1"/>
  <c r="Q19" i="32"/>
  <c r="P20" i="32"/>
  <c r="E19" i="83" s="1"/>
  <c r="F19" i="83" s="1"/>
  <c r="Q20" i="32"/>
  <c r="P22" i="32"/>
  <c r="E10" i="83" s="1"/>
  <c r="Q22" i="32"/>
  <c r="P23" i="32"/>
  <c r="E11" i="83" s="1"/>
  <c r="Q23" i="32"/>
  <c r="P24" i="32"/>
  <c r="E8" i="83" s="1"/>
  <c r="F8" i="83" s="1"/>
  <c r="Q24" i="32"/>
  <c r="Q7" i="32"/>
  <c r="P7" i="32"/>
  <c r="E2" i="83" s="1"/>
  <c r="F2" i="83" l="1"/>
  <c r="K2" i="83" s="1"/>
  <c r="J2" i="83"/>
  <c r="J3" i="83"/>
  <c r="O3" i="83"/>
  <c r="F7" i="83"/>
  <c r="F18" i="83"/>
  <c r="F5" i="83"/>
  <c r="F11" i="83"/>
  <c r="F10" i="83"/>
  <c r="F13" i="83"/>
  <c r="F12" i="83"/>
  <c r="K5" i="83" s="1"/>
  <c r="P5" i="83" s="1"/>
  <c r="F15" i="83"/>
  <c r="F16" i="83"/>
  <c r="F3" i="83"/>
  <c r="F4" i="83"/>
  <c r="K4" i="83" s="1"/>
  <c r="O4" i="83"/>
  <c r="F6" i="83"/>
  <c r="K6" i="83" s="1"/>
  <c r="Q2" i="32"/>
  <c r="P2" i="32"/>
  <c r="AJ22" i="32"/>
  <c r="H2" i="102" s="1"/>
  <c r="AI22" i="32"/>
  <c r="G2" i="102" s="1"/>
  <c r="AJ18" i="32"/>
  <c r="H5" i="102" s="1"/>
  <c r="AI18" i="32"/>
  <c r="G5" i="102" s="1"/>
  <c r="AJ14" i="32"/>
  <c r="H7" i="102" s="1"/>
  <c r="AI14" i="32"/>
  <c r="G7" i="102" s="1"/>
  <c r="AJ20" i="32"/>
  <c r="AJ17" i="32"/>
  <c r="H15" i="102" s="1"/>
  <c r="AI17" i="32"/>
  <c r="G15" i="102" s="1"/>
  <c r="AJ13" i="32"/>
  <c r="H8" i="102" s="1"/>
  <c r="AI13" i="32"/>
  <c r="G8" i="102" s="1"/>
  <c r="AJ10" i="32"/>
  <c r="H11" i="102" s="1"/>
  <c r="AI10" i="32"/>
  <c r="G11" i="102" s="1"/>
  <c r="AJ6" i="32"/>
  <c r="AI6" i="32"/>
  <c r="G12" i="102" s="1"/>
  <c r="AJ24" i="32"/>
  <c r="H6" i="102" s="1"/>
  <c r="AI24" i="32"/>
  <c r="G6" i="102" s="1"/>
  <c r="AJ16" i="32"/>
  <c r="H10" i="102" s="1"/>
  <c r="AI16" i="32"/>
  <c r="G10" i="102" s="1"/>
  <c r="AJ12" i="32"/>
  <c r="H3" i="102" s="1"/>
  <c r="AI12" i="32"/>
  <c r="G3" i="102" s="1"/>
  <c r="AJ9" i="32"/>
  <c r="H13" i="102" s="1"/>
  <c r="AI9" i="32"/>
  <c r="G13" i="102" s="1"/>
  <c r="AJ23" i="32"/>
  <c r="H4" i="102" s="1"/>
  <c r="AI23" i="32"/>
  <c r="G4" i="102" s="1"/>
  <c r="AJ19" i="32"/>
  <c r="H17" i="102" s="1"/>
  <c r="AI19" i="32"/>
  <c r="G17" i="102" s="1"/>
  <c r="AI15" i="32"/>
  <c r="G9" i="102" s="1"/>
  <c r="AJ15" i="32"/>
  <c r="H9" i="102" s="1"/>
  <c r="AJ11" i="32"/>
  <c r="H16" i="102" s="1"/>
  <c r="AI11" i="32"/>
  <c r="G16" i="102" s="1"/>
  <c r="AJ8" i="32"/>
  <c r="H14" i="102" s="1"/>
  <c r="AI8" i="32"/>
  <c r="G14" i="102" s="1"/>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AL7" i="32"/>
  <c r="AK7" i="32"/>
  <c r="AJ7" i="32"/>
  <c r="H20" i="102" s="1"/>
  <c r="AI7" i="32"/>
  <c r="G20" i="102" s="1"/>
  <c r="Q9" i="94"/>
  <c r="E20" i="102"/>
  <c r="J3" i="106" l="1"/>
  <c r="K6" i="105"/>
  <c r="AO9" i="94"/>
  <c r="V9" i="94"/>
  <c r="W9" i="94" s="1"/>
  <c r="AI20" i="3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T12" i="49" l="1"/>
  <c r="D6" i="88"/>
  <c r="I7" i="88"/>
  <c r="J7" i="88" s="1"/>
  <c r="K7" i="88" s="1"/>
  <c r="N5" i="89"/>
  <c r="P5" i="89"/>
  <c r="O5" i="89"/>
  <c r="H3" i="76" l="1"/>
  <c r="E19" i="86" l="1"/>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T6" i="49"/>
  <c r="T18"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V8" i="76"/>
  <c r="Y8" i="76"/>
  <c r="O4" i="76"/>
  <c r="R4" i="76"/>
  <c r="O8" i="76"/>
  <c r="R8" i="7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V9" i="76"/>
  <c r="O13" i="76"/>
  <c r="O6" i="76"/>
  <c r="V7" i="76"/>
  <c r="O12" i="76"/>
  <c r="V13" i="76"/>
  <c r="O7" i="76"/>
  <c r="V11" i="76"/>
  <c r="O9" i="76"/>
  <c r="V12" i="76"/>
  <c r="V5" i="76"/>
  <c r="O11" i="76"/>
  <c r="V6" i="76"/>
  <c r="O5" i="76"/>
  <c r="Y13" i="76"/>
  <c r="R12" i="76"/>
  <c r="Y7" i="76"/>
  <c r="R6" i="76"/>
  <c r="R7" i="76"/>
  <c r="Y11" i="76"/>
  <c r="Y12" i="76"/>
  <c r="R9" i="76"/>
  <c r="Y9" i="76"/>
  <c r="R13" i="76"/>
  <c r="R10" i="76"/>
  <c r="Y10" i="76"/>
  <c r="Y5" i="76"/>
  <c r="R11" i="76"/>
  <c r="Y6" i="76"/>
  <c r="R5" i="76"/>
  <c r="Y3" i="76"/>
  <c r="W18" i="76" s="1"/>
  <c r="Y4" i="76"/>
  <c r="BO6" i="86"/>
  <c r="BO20" i="86" s="1"/>
  <c r="BA12" i="86"/>
  <c r="BO24" i="86" s="1"/>
  <c r="BO8" i="86" s="1"/>
  <c r="BA11" i="86"/>
  <c r="AZ10" i="86"/>
  <c r="AZ24" i="86" s="1"/>
  <c r="BN21" i="86"/>
  <c r="AZ8" i="86"/>
  <c r="BN23" i="86" s="1"/>
  <c r="BN7" i="86" s="1"/>
  <c r="BN22" i="86"/>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V3" i="76"/>
  <c r="V4" i="76"/>
  <c r="O10" i="76"/>
  <c r="V10" i="7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A2" i="32"/>
  <c r="Z2" i="32"/>
  <c r="Y2" i="32"/>
  <c r="X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W8" i="76" l="1"/>
  <c r="P4" i="76"/>
  <c r="P3" i="76"/>
  <c r="P8" i="76"/>
  <c r="Z8" i="76"/>
  <c r="S3" i="76"/>
  <c r="S8" i="76"/>
  <c r="Z10" i="76" l="1"/>
  <c r="S10" i="76"/>
  <c r="S7" i="76"/>
  <c r="Z11" i="76"/>
  <c r="Z5" i="76"/>
  <c r="S11" i="76"/>
  <c r="P12" i="76"/>
  <c r="W13" i="76"/>
  <c r="W7" i="76"/>
  <c r="P6" i="76"/>
  <c r="P10" i="76"/>
  <c r="W10" i="76"/>
  <c r="P5" i="76"/>
  <c r="W6" i="76"/>
  <c r="Z6" i="76"/>
  <c r="S5" i="76"/>
  <c r="P13" i="76"/>
  <c r="W9" i="76"/>
  <c r="Z12" i="76"/>
  <c r="S9" i="76"/>
  <c r="W11" i="76"/>
  <c r="P7" i="76"/>
  <c r="W5" i="76"/>
  <c r="P11" i="76"/>
  <c r="W3" i="76"/>
  <c r="W4" i="76"/>
  <c r="Z7" i="76"/>
  <c r="S6" i="76"/>
  <c r="S13" i="76"/>
  <c r="Z9" i="76"/>
  <c r="Z4" i="76"/>
  <c r="P9" i="76"/>
  <c r="W12" i="76"/>
  <c r="S4" i="76"/>
  <c r="Q8" i="76"/>
  <c r="X8" i="76"/>
  <c r="Q3" i="76"/>
  <c r="Q4" i="76"/>
  <c r="P5" i="82"/>
  <c r="O5" i="82"/>
  <c r="I11" i="81"/>
  <c r="L11" i="81" s="1"/>
  <c r="N11" i="81" s="1"/>
  <c r="O11" i="81" s="1"/>
  <c r="P11" i="81" s="1"/>
  <c r="Q11" i="81" s="1"/>
  <c r="R11" i="81" s="1"/>
  <c r="X4" i="76" l="1"/>
  <c r="Q7" i="76"/>
  <c r="X11" i="76"/>
  <c r="Q10" i="76"/>
  <c r="X10" i="76"/>
  <c r="X13" i="76"/>
  <c r="Q12" i="76"/>
  <c r="S12" i="76"/>
  <c r="Z13" i="76"/>
  <c r="X5" i="76"/>
  <c r="Q11" i="76"/>
  <c r="X3" i="76"/>
  <c r="X12" i="76"/>
  <c r="Q9" i="76"/>
  <c r="Q13" i="76"/>
  <c r="X9" i="76"/>
  <c r="Q5" i="76"/>
  <c r="X6" i="76"/>
  <c r="Q6" i="76"/>
  <c r="X7" i="76"/>
  <c r="Z3" i="76"/>
  <c r="X18" i="76" s="1"/>
  <c r="W14" i="76"/>
  <c r="X14" i="76" l="1"/>
  <c r="T9" i="49"/>
  <c r="T24"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T11" i="49"/>
  <c r="M40" i="78"/>
  <c r="N7" i="78"/>
  <c r="L40" i="78"/>
  <c r="I6" i="78"/>
  <c r="I13" i="78" s="1"/>
  <c r="T13" i="49"/>
  <c r="T22" i="49"/>
  <c r="T16" i="49"/>
  <c r="T15" i="49"/>
  <c r="T14" i="49"/>
  <c r="T8" i="49"/>
  <c r="T10" i="49"/>
  <c r="T7" i="49"/>
  <c r="T5" i="49"/>
  <c r="K40" i="78"/>
  <c r="N8" i="79"/>
  <c r="P8" i="79"/>
  <c r="O8" i="79"/>
  <c r="P7" i="79"/>
  <c r="C13" i="79" s="1"/>
  <c r="O7" i="79"/>
  <c r="F12" i="79" s="1"/>
  <c r="N6" i="79"/>
  <c r="O6" i="79" s="1"/>
  <c r="P6" i="79"/>
  <c r="E19" i="78"/>
  <c r="C19" i="78" s="1"/>
  <c r="F20" i="79" s="1"/>
  <c r="F21" i="78"/>
  <c r="F6" i="78"/>
  <c r="F26" i="78" s="1"/>
  <c r="G6" i="78"/>
  <c r="J40" i="78"/>
  <c r="U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O40" i="69"/>
  <c r="F12" i="102"/>
  <c r="N40" i="69"/>
  <c r="M40" i="69"/>
  <c r="P5" i="70"/>
  <c r="O5" i="70"/>
  <c r="L40" i="69"/>
  <c r="U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P18" i="76"/>
  <c r="W16" i="76" l="1"/>
  <c r="W17" i="76" s="1"/>
  <c r="W19" i="76"/>
  <c r="W20" i="76" s="1"/>
  <c r="Q18" i="76"/>
  <c r="Q19" i="76" s="1"/>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s="1"/>
  <c r="Q21" i="76" s="1"/>
  <c r="X21" i="76" l="1"/>
  <c r="P28" i="81"/>
  <c r="Q13" i="81"/>
  <c r="Q26" i="81"/>
  <c r="P30" i="81"/>
  <c r="P31" i="81" s="1"/>
  <c r="Q27" i="81"/>
  <c r="Q23" i="81"/>
  <c r="P23" i="81"/>
  <c r="P24" i="81" s="1"/>
  <c r="Q5" i="81" s="1"/>
  <c r="P26" i="78"/>
  <c r="P13" i="78"/>
  <c r="H30" i="78"/>
  <c r="H31" i="78" s="1"/>
  <c r="I16" i="78"/>
  <c r="H23" i="78"/>
  <c r="L15" i="78"/>
  <c r="K40" i="69"/>
  <c r="J6" i="69"/>
  <c r="J40" i="69"/>
  <c r="H6" i="69"/>
  <c r="F6" i="69"/>
  <c r="U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U7" i="32"/>
  <c r="U9" i="32"/>
  <c r="U12" i="32"/>
  <c r="U16" i="32"/>
  <c r="U17" i="32"/>
  <c r="U18" i="32"/>
  <c r="U15" i="32"/>
  <c r="U19" i="32"/>
  <c r="U13" i="32"/>
  <c r="U22" i="32"/>
  <c r="U10" i="32"/>
  <c r="U8" i="32"/>
  <c r="U11" i="32"/>
  <c r="U20" i="32"/>
  <c r="U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U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1" i="32" s="1"/>
  <c r="C21"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3" i="32" l="1"/>
  <c r="F11" i="32"/>
  <c r="F23" i="32"/>
  <c r="F15" i="32"/>
  <c r="F14" i="32"/>
  <c r="F18" i="32"/>
  <c r="F17" i="32"/>
  <c r="F8" i="32"/>
  <c r="F22" i="32"/>
  <c r="F16" i="32"/>
  <c r="F20" i="32"/>
  <c r="F12" i="32"/>
  <c r="F19" i="32"/>
  <c r="F24" i="32"/>
  <c r="F10" i="32"/>
  <c r="F7" i="32"/>
  <c r="D14" i="111" s="1"/>
  <c r="F6" i="32"/>
  <c r="F9" i="32"/>
  <c r="F5"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D7" i="110" l="1"/>
  <c r="D11" i="111"/>
  <c r="D18" i="110"/>
  <c r="D5" i="111"/>
  <c r="D22" i="110"/>
  <c r="D22" i="111"/>
  <c r="D17" i="110"/>
  <c r="D18" i="111"/>
  <c r="D12" i="110"/>
  <c r="D12" i="111"/>
  <c r="D11" i="110"/>
  <c r="D8" i="111"/>
  <c r="D16" i="110"/>
  <c r="D7" i="111"/>
  <c r="D5" i="110"/>
  <c r="D16" i="111"/>
  <c r="D8" i="110"/>
  <c r="D10" i="111"/>
  <c r="D6" i="110"/>
  <c r="D13" i="111"/>
  <c r="D20" i="110"/>
  <c r="D20" i="111"/>
  <c r="D15" i="110"/>
  <c r="D4" i="111"/>
  <c r="D19" i="110"/>
  <c r="D19" i="111"/>
  <c r="D21" i="110"/>
  <c r="D21" i="111"/>
  <c r="D4" i="110"/>
  <c r="D15" i="111"/>
  <c r="D10" i="110"/>
  <c r="D6" i="111"/>
  <c r="D9" i="110"/>
  <c r="D9" i="111"/>
  <c r="D13" i="110"/>
  <c r="D17" i="111"/>
  <c r="D17" i="107"/>
  <c r="D14" i="110"/>
  <c r="D21" i="113"/>
  <c r="D4" i="107"/>
  <c r="D10" i="113"/>
  <c r="D11" i="107"/>
  <c r="D5" i="113"/>
  <c r="D12" i="107"/>
  <c r="D7" i="113"/>
  <c r="D13" i="107"/>
  <c r="D20" i="113"/>
  <c r="D15" i="107"/>
  <c r="D6" i="113"/>
  <c r="D14" i="107"/>
  <c r="D14" i="113"/>
  <c r="D9" i="107"/>
  <c r="D16" i="113"/>
  <c r="D6" i="107"/>
  <c r="D8" i="113"/>
  <c r="D20" i="107"/>
  <c r="D13" i="113"/>
  <c r="D5" i="107"/>
  <c r="D18" i="113"/>
  <c r="D22" i="107"/>
  <c r="D15" i="113"/>
  <c r="D16" i="107"/>
  <c r="D4" i="113"/>
  <c r="D19" i="107"/>
  <c r="D17" i="113"/>
  <c r="D21" i="107"/>
  <c r="D19" i="113"/>
  <c r="D7" i="107"/>
  <c r="D12" i="113"/>
  <c r="D10" i="107"/>
  <c r="D11" i="113"/>
  <c r="D8" i="107"/>
  <c r="D3" i="113"/>
  <c r="D18" i="107"/>
  <c r="D9" i="113"/>
  <c r="F20" i="86"/>
  <c r="R20" i="86" s="1"/>
  <c r="C12" i="32"/>
  <c r="C18" i="32"/>
  <c r="C11" i="32"/>
  <c r="C24" i="32"/>
  <c r="C19" i="32"/>
  <c r="C22" i="32"/>
  <c r="C23" i="32"/>
  <c r="C15" i="32"/>
  <c r="C6" i="32"/>
  <c r="C8" i="32"/>
  <c r="C9" i="32"/>
  <c r="C10" i="32"/>
  <c r="C14" i="32"/>
  <c r="C13" i="32"/>
  <c r="C20" i="32"/>
  <c r="C7" i="32"/>
  <c r="C16" i="32"/>
  <c r="C17" i="32"/>
  <c r="C5" i="32"/>
  <c r="D18" i="108"/>
  <c r="D9" i="108"/>
  <c r="D22" i="108"/>
  <c r="D17" i="108"/>
  <c r="D6" i="108"/>
  <c r="D20" i="108"/>
  <c r="D16" i="108"/>
  <c r="D15" i="108"/>
  <c r="D14" i="108"/>
  <c r="D21" i="108"/>
  <c r="D8" i="108"/>
  <c r="D4" i="108"/>
  <c r="D11" i="108"/>
  <c r="D12" i="108"/>
  <c r="D5" i="108"/>
  <c r="D7" i="108"/>
  <c r="D10" i="108"/>
  <c r="D19" i="108"/>
  <c r="D13"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O28" i="86"/>
  <c r="BO16"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A27" i="86" l="1"/>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<sst xmlns="http://schemas.openxmlformats.org/spreadsheetml/2006/main" count="4578" uniqueCount="1058">
  <si>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</si>
  <si>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</si>
  <si>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</si>
  <si>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</si>
  <si>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</si>
  <si>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</si>
  <si>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</si>
  <si>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</si>
  <si>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</si>
  <si>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</si>
  <si>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</si>
  <si>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</si>
  <si>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</si>
  <si>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</si>
  <si>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</si>
  <si>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</si>
  <si>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</si>
  <si>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</si>
  <si>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</si>
  <si>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</si>
  <si>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</si>
  <si>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</si>
  <si>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</si>
  <si>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</si>
  <si>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</si>
  <si>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</si>
  <si>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</si>
  <si>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</si>
  <si>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</si>
  <si>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</si>
  <si>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</si>
  <si>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</si>
  <si>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</si>
  <si>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</si>
  <si>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</si>
  <si>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</si>
  <si>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</si>
  <si>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</si>
  <si>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</si>
  <si>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</si>
  <si>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</si>
  <si>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</si>
  <si>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</si>
  <si>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</si>
  <si>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</si>
  <si>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</si>
  <si>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</si>
  <si>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</si>
  <si>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</si>
  <si>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</si>
  <si>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</si>
  <si>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</si>
  <si>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</si>
  <si>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</si>
  <si>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</si>
  <si>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</si>
  <si>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</si>
  <si>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</si>
  <si>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</si>
  <si>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</si>
  <si>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</si>
  <si>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</si>
  <si>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</si>
  <si>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</si>
  <si>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</si>
  <si>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</si>
  <si>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</si>
  <si>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</si>
  <si>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</si>
  <si>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</si>
  <si>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</si>
  <si>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</si>
  <si>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</si>
  <si>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</si>
  <si>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</si>
  <si>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</si>
  <si>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</si>
  <si>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</si>
  <si>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</si>
  <si>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</si>
  <si>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</si>
  <si>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</si>
  <si>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</si>
  <si>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</si>
  <si>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</si>
  <si>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</si>
  <si>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</si>
  <si>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</si>
  <si>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</si>
  <si>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</si>
  <si>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</si>
  <si>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</si>
  <si>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</si>
  <si>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</si>
  <si>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</si>
  <si>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</si>
  <si>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</si>
  <si>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</si>
  <si>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</si>
  <si>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</si>
  <si>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</si>
  <si>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</si>
  <si>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</si>
  <si>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</si>
  <si>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</si>
  <si>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</si>
  <si>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</si>
  <si>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</si>
  <si>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</si>
  <si>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</si>
  <si>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</si>
  <si>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</si>
  <si>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</si>
  <si>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</si>
  <si>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</si>
  <si>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</si>
  <si>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</si>
  <si>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</si>
  <si>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</si>
  <si>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</si>
  <si>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</si>
  <si>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</si>
  <si>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</si>
  <si>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</si>
  <si>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</si>
  <si>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</si>
  <si>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</si>
  <si>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</si>
  <si>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</si>
  <si>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</si>
  <si>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</si>
  <si>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</si>
  <si>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</si>
  <si>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</si>
  <si>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</si>
  <si>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</si>
  <si>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</si>
  <si>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</si>
  <si>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</si>
  <si>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</si>
  <si>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</si>
  <si>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</si>
  <si>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</si>
  <si>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</si>
  <si>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</si>
  <si>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</si>
  <si>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</si>
  <si>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</si>
  <si>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</si>
  <si>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</si>
  <si>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</si>
  <si>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</si>
  <si>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</si>
  <si>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</si>
  <si>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</si>
  <si>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</si>
  <si>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</si>
  <si>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</si>
  <si>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</si>
  <si>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</si>
  <si>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</si>
  <si>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</si>
  <si>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</si>
  <si>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</si>
  <si>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</si>
  <si>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</si>
  <si>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</si>
  <si>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</si>
  <si>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</si>
  <si>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</si>
  <si>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</si>
  <si>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</si>
  <si>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</si>
  <si>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</si>
  <si>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</si>
  <si>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</si>
  <si>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</si>
  <si>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</si>
  <si>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</si>
  <si>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</si>
  <si>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</si>
  <si>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</si>
  <si>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</si>
  <si>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</si>
  <si>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</si>
  <si>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</si>
  <si>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</si>
  <si>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</si>
  <si>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</si>
  <si>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</si>
  <si>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</si>
  <si>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</si>
  <si>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</si>
  <si>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</si>
  <si>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</si>
  <si>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</si>
  <si>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</si>
  <si>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</si>
  <si>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</si>
  <si>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</si>
  <si>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</si>
  <si>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</si>
  <si>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</si>
  <si>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</si>
  <si>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</si>
  <si>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</si>
  <si>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</si>
  <si>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</si>
  <si>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</si>
  <si>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</si>
  <si>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</si>
  <si>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</si>
  <si>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</si>
  <si>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</si>
  <si>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</si>
  <si>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</si>
  <si>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</si>
  <si>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</si>
  <si>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</si>
  <si>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</si>
  <si>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</si>
  <si>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</si>
  <si>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</si>
  <si>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</si>
  <si>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</si>
  <si>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</si>
  <si>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</si>
  <si>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</si>
  <si>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</si>
  <si>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</si>
  <si>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</si>
  <si>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</si>
  <si>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</si>
  <si>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</si>
  <si>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</si>
  <si>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</si>
  <si>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</si>
  <si>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</si>
  <si>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</si>
  <si>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</si>
  <si>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</si>
  <si>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</si>
  <si>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</si>
  <si>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</si>
  <si>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</si>
  <si>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</si>
  <si>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</si>
  <si>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</si>
  <si>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</si>
  <si>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</si>
  <si>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</si>
  <si>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</si>
  <si>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</si>
  <si>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</si>
  <si>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</si>
  <si>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</si>
  <si>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</si>
  <si>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</si>
  <si>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</si>
  <si>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</si>
  <si>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</si>
  <si>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</si>
  <si>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</si>
  <si>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</si>
  <si>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</si>
  <si>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</si>
  <si>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</si>
  <si>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</si>
  <si>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</si>
  <si>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</si>
  <si>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</si>
  <si>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</si>
  <si>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</si>
  <si>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</si>
  <si>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</si>
  <si>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</si>
  <si>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</si>
  <si>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</si>
  <si>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</si>
  <si>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</si>
  <si>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</si>
  <si>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</si>
  <si>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</si>
  <si>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</si>
  <si>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</si>
  <si>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</si>
  <si>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</si>
  <si>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</si>
  <si>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</si>
  <si>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</si>
  <si>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</si>
  <si>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</si>
  <si>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</si>
  <si>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</si>
  <si>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</si>
  <si>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</si>
  <si>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</si>
  <si>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</si>
  <si>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</si>
  <si>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</si>
  <si>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</si>
  <si>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</si>
  <si>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</si>
  <si>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</si>
  <si>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</si>
  <si>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</si>
  <si>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</si>
  <si>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</si>
  <si>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</si>
  <si>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</si>
  <si>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</si>
  <si>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</si>
  <si>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</si>
  <si>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</si>
  <si>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</si>
  <si>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</si>
  <si>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</si>
  <si>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</si>
  <si>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</si>
  <si>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</si>
  <si>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</si>
  <si>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</si>
  <si>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</si>
  <si>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</si>
  <si>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</si>
  <si>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</si>
  <si>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</si>
  <si>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</si>
  <si>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</si>
  <si>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</si>
  <si>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</si>
  <si>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</si>
  <si>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</si>
  <si>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</si>
  <si>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</si>
  <si>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</si>
  <si>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</si>
  <si>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</si>
  <si>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</si>
  <si>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</si>
  <si>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</si>
  <si>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</si>
  <si>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</si>
  <si>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</si>
  <si>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</si>
  <si>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</si>
  <si>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</si>
  <si>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</si>
  <si>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</si>
  <si>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</si>
  <si>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</si>
  <si>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</si>
  <si>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</si>
  <si>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</si>
  <si>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</si>
  <si>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</si>
  <si>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</si>
  <si>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</si>
  <si>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</si>
  <si>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</si>
  <si>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</si>
  <si>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</si>
  <si>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</si>
  <si>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</si>
  <si>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</si>
  <si>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</si>
  <si>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</si>
  <si>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</si>
  <si>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</si>
  <si>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</si>
  <si>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</si>
  <si>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</si>
  <si>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</si>
  <si>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</si>
  <si>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</si>
  <si>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</si>
  <si>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</si>
  <si>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</si>
  <si>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</si>
  <si>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</si>
  <si>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</si>
  <si>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</si>
  <si>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</si>
  <si>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</si>
  <si>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</si>
  <si>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</si>
  <si>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</si>
  <si>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</si>
  <si>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</si>
  <si>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</si>
  <si>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</si>
  <si>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</si>
  <si>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</si>
  <si>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</si>
  <si>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</si>
  <si>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</si>
  <si>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</si>
  <si>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</si>
  <si>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</si>
  <si>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</si>
  <si>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</si>
  <si>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</si>
  <si>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</si>
  <si>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</si>
  <si>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</si>
  <si>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</si>
  <si>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</si>
  <si>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</si>
  <si>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</si>
  <si>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</si>
  <si>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</si>
  <si>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</si>
  <si>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</si>
  <si>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</si>
  <si>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</si>
  <si>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</si>
  <si>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</si>
  <si>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</si>
  <si>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</si>
  <si>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</si>
  <si>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</si>
  <si>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</si>
  <si>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</si>
  <si>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</si>
  <si>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</si>
  <si>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</si>
  <si>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</si>
  <si>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</si>
  <si>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</si>
  <si>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</si>
  <si>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</si>
  <si>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</si>
  <si>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</si>
  <si>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</si>
  <si>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</si>
  <si>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</si>
  <si>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</si>
  <si>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</si>
  <si>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</si>
  <si>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</si>
  <si>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</si>
  <si>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</si>
  <si>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</si>
  <si>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</si>
  <si>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</si>
  <si>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</si>
  <si>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</si>
  <si>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</si>
  <si>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</si>
  <si>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</si>
  <si>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</si>
  <si>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</si>
  <si>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</si>
  <si>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</si>
  <si>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</si>
  <si>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</si>
  <si>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</si>
  <si>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</si>
  <si>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</si>
  <si>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</si>
  <si>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</si>
  <si>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</si>
  <si>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</si>
  <si>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</si>
  <si>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</si>
  <si>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</si>
  <si>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</si>
  <si>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</si>
  <si>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</si>
  <si>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</si>
  <si>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</si>
  <si>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</si>
  <si>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</si>
  <si>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</si>
  <si>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</si>
  <si>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</si>
  <si>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</si>
  <si>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</si>
  <si>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</si>
  <si>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</si>
  <si>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</si>
  <si>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</si>
  <si>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</si>
  <si>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</si>
  <si>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</si>
  <si>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</si>
  <si>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</si>
  <si>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</si>
  <si>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</si>
  <si>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</si>
  <si>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</si>
  <si>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</si>
  <si>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</si>
  <si>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</si>
  <si>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</si>
  <si>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</si>
  <si>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</si>
  <si>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</si>
  <si>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</si>
  <si>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</si>
  <si>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</si>
  <si>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</si>
  <si>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</si>
  <si>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</si>
  <si>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</si>
  <si>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</si>
  <si>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</si>
  <si>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</si>
  <si>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</si>
  <si>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</si>
  <si>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</si>
  <si>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</si>
  <si>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</si>
  <si>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</si>
  <si>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</si>
  <si>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</si>
  <si>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</si>
  <si>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</si>
  <si>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</si>
  <si>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</si>
  <si>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</si>
  <si>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</si>
  <si>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</si>
  <si>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</si>
  <si>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</si>
  <si>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</si>
  <si>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</si>
  <si>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</si>
  <si>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</si>
  <si>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</si>
  <si>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</si>
  <si>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</si>
  <si>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</si>
  <si>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</si>
  <si>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</si>
  <si>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</si>
  <si>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</si>
  <si>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</si>
  <si>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</si>
  <si>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</si>
  <si>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</si>
  <si>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</si>
  <si>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</si>
  <si>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</si>
  <si>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</si>
  <si>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</si>
  <si>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</si>
  <si>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</si>
  <si>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</si>
  <si>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</si>
  <si>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</si>
  <si>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</si>
  <si>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</si>
  <si>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</si>
  <si>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</si>
  <si>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</si>
  <si>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</si>
  <si>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</si>
  <si>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</si>
  <si>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</si>
  <si>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</si>
  <si>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</si>
  <si>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</si>
  <si>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</si>
  <si>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</si>
  <si>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</si>
  <si>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</si>
  <si>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</si>
  <si>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</si>
  <si>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</si>
  <si>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</si>
  <si>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</si>
  <si>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</si>
  <si>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</si>
  <si>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</si>
  <si>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</si>
  <si>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</si>
  <si>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</si>
  <si>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</si>
  <si>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</si>
  <si>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</si>
  <si>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</si>
  <si>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</si>
  <si>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</si>
  <si>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</si>
  <si>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</si>
  <si>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</si>
  <si>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</si>
  <si>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</si>
  <si>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</si>
  <si>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</si>
  <si>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</si>
  <si>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</si>
  <si>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</si>
  <si>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</si>
  <si>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</si>
  <si>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</si>
  <si>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</si>
  <si>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</si>
  <si>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</si>
  <si>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</si>
  <si>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</si>
  <si>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</si>
  <si>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</si>
  <si>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</si>
  <si>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</si>
  <si>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</si>
  <si>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</si>
  <si>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</si>
  <si>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</si>
  <si>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</si>
  <si>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</si>
  <si>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</si>
  <si>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</si>
  <si>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</si>
  <si>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</si>
  <si>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</si>
  <si>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</si>
  <si>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</si>
  <si>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</si>
  <si>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</si>
  <si>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</si>
  <si>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</si>
  <si>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</si>
  <si>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</si>
  <si>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</si>
  <si>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</si>
  <si>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</si>
  <si>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</si>
  <si>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</si>
  <si>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</si>
  <si>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</si>
  <si>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</si>
  <si>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</si>
  <si>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</si>
  <si>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</si>
  <si>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</si>
  <si>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</si>
  <si>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</si>
  <si>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</si>
  <si>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</si>
  <si>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</si>
  <si>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Ratio</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</si>
  <si>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</si>
  <si>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</si>
  <si>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</si>
  <si>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</si>
  <si>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</si>
  <si>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</si>
  <si>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</si>
  <si>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</si>
  <si>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</si>
  <si>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</si>
  <si>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</si>
  <si>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</si>
  <si>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</si>
  <si>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</si>
  <si>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</si>
  <si>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</si>
  <si>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</si>
  <si>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</si>
  <si>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</si>
  <si>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</si>
  <si>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</si>
  <si>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</si>
  <si>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</si>
  <si>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</si>
  <si>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</si>
  <si>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</si>
  <si>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</si>
  <si>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</si>
  <si>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</si>
  <si>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</si>
  <si>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</si>
  <si>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</si>
  <si>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</si>
  <si>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</si>
  <si>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</si>
  <si>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</si>
  <si>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</si>
  <si>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</si>
  <si>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</si>
  <si>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</si>
  <si>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</si>
  <si>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</si>
  <si>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</si>
  <si>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</si>
  <si>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</si>
  <si>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</si>
  <si>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</si>
  <si>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</si>
  <si>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</si>
  <si>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</si>
  <si>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</si>
  <si>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</si>
  <si>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</si>
  <si>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</si>
  <si>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</si>
  <si>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</si>
  <si>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</si>
  <si>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</si>
  <si>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</si>
  <si>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</si>
  <si>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</si>
  <si>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</si>
  <si>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</si>
  <si>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</si>
  <si>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</si>
  <si>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</si>
  <si>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</si>
  <si>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</si>
  <si>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</si>
  <si>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</si>
  <si>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</si>
  <si>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</si>
  <si>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</si>
  <si>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</si>
  <si>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</si>
  <si>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</si>
  <si>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</si>
  <si>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</si>
  <si>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</si>
  <si>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</si>
  <si>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</si>
  <si>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</si>
  <si>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</si>
  <si>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</si>
  <si>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</si>
  <si>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</si>
  <si>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</si>
  <si>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</si>
  <si>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</si>
  <si>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</si>
  <si>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</si>
  <si>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</si>
  <si>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</si>
  <si>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HT Medida</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</si>
  <si>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</si>
  <si>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</si>
  <si>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</si>
  <si>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</si>
  <si>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</si>
  <si>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</si>
  <si>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</si>
  <si>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</si>
  <si>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</si>
  <si>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</si>
  <si>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</si>
  <si>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</si>
  <si>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</si>
  <si>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</si>
  <si>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</si>
  <si>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</si>
  <si>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</si>
  <si>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</si>
  <si>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</si>
  <si>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</si>
  <si>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</si>
  <si>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</si>
  <si>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</si>
  <si>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</si>
  <si>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</si>
  <si>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</si>
  <si>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</si>
  <si>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</si>
  <si>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</si>
  <si>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</si>
  <si>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</si>
  <si>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</si>
  <si>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</si>
  <si>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</si>
  <si>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</si>
  <si>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</si>
  <si>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</si>
  <si>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</si>
  <si>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</si>
  <si>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</si>
  <si>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</si>
  <si>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</si>
  <si>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</si>
  <si>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</si>
  <si>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</si>
  <si>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</si>
  <si>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</si>
  <si>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</si>
  <si>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</si>
  <si>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</si>
  <si>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</si>
  <si>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</si>
  <si>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</si>
  <si>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</si>
  <si>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</si>
  <si>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</si>
  <si>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</si>
  <si>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</si>
  <si>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</si>
  <si>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</si>
  <si>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</si>
  <si>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</si>
  <si>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</si>
  <si>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</si>
  <si>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</si>
  <si>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</si>
  <si>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</si>
  <si>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</si>
  <si>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</si>
  <si>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</si>
  <si>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</si>
  <si>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</si>
  <si>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</si>
  <si>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</si>
  <si>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</si>
  <si>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</si>
  <si>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</si>
  <si>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</si>
  <si>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</si>
  <si>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</si>
  <si>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</si>
  <si>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</si>
  <si>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</si>
  <si>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</si>
  <si>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</si>
  <si>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</si>
  <si>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</si>
  <si>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</si>
  <si>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</si>
  <si>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</si>
  <si>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</si>
  <si>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</si>
  <si>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</si>
  <si>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</si>
  <si>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</si>
  <si>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</si>
  <si>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</si>
  <si>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</si>
  <si>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</si>
  <si>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</si>
  <si>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</si>
  <si>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</si>
  <si>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</si>
  <si>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</si>
  <si>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</si>
  <si>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</si>
  <si>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</si>
  <si>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</si>
  <si>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</si>
  <si>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</si>
  <si>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</si>
  <si>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</si>
  <si>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</si>
  <si>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</si>
  <si>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</si>
  <si>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</si>
  <si>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</si>
  <si>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</si>
  <si>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</si>
  <si>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</si>
  <si>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</si>
  <si>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</si>
  <si>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</si>
  <si>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</si>
  <si>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</si>
  <si>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</si>
  <si>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</si>
  <si>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</si>
  <si>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</si>
  <si>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</si>
  <si>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</si>
  <si>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</si>
  <si>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</si>
  <si>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</si>
  <si>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</si>
  <si>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</si>
  <si>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</si>
  <si>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</si>
  <si>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</si>
  <si>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</si>
  <si>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</si>
  <si>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</si>
  <si>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</si>
  <si>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</si>
  <si>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</si>
  <si>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</si>
  <si>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</si>
  <si>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</si>
  <si>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</si>
  <si>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</si>
  <si>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</si>
  <si>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</si>
  <si>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</si>
  <si>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</si>
  <si>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</si>
  <si>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</si>
  <si>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</si>
  <si>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</si>
  <si>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</si>
  <si>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</si>
  <si>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</si>
  <si>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</si>
  <si>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</si>
  <si>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</si>
  <si>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</si>
  <si>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</si>
  <si>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</si>
  <si>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</si>
  <si>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</si>
  <si>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</si>
  <si>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</si>
  <si>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</si>
  <si>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</si>
  <si>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</si>
  <si>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</si>
  <si>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</si>
  <si>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</si>
  <si>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</si>
  <si>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</si>
  <si>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</si>
  <si>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</si>
  <si>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</si>
  <si>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</si>
  <si>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</si>
  <si>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</si>
  <si>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</si>
  <si>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</si>
  <si>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</si>
  <si>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</si>
  <si>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</si>
  <si>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</si>
  <si>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</si>
  <si>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</si>
  <si>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</si>
  <si>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</si>
  <si>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</si>
  <si>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</si>
  <si>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</si>
  <si>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</si>
  <si>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</si>
  <si>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</si>
  <si>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</si>
  <si>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</si>
  <si>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</si>
  <si>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</si>
  <si>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</si>
  <si>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</si>
  <si>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</si>
  <si>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</si>
  <si>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</si>
  <si>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</si>
  <si>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</si>
  <si>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</si>
  <si>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</si>
  <si>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</si>
  <si>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</si>
  <si>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</si>
  <si>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</si>
  <si>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</si>
  <si>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</si>
  <si>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</si>
  <si>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</si>
  <si>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</si>
  <si>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</si>
  <si>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</si>
  <si>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</si>
  <si>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</si>
  <si>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</si>
  <si>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</si>
  <si>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</si>
  <si>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</si>
  <si>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</si>
  <si>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</si>
  <si>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</si>
  <si>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</si>
  <si>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</si>
  <si>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</si>
  <si>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</si>
  <si>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</si>
  <si>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</si>
  <si>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</si>
  <si>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</si>
  <si>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</si>
  <si>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</si>
  <si>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</si>
  <si>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</si>
  <si>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</si>
  <si>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</si>
  <si>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</si>
  <si>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</si>
  <si>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</si>
  <si>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</si>
  <si>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</si>
  <si>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</si>
  <si>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</si>
  <si>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</si>
  <si>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</si>
  <si>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</si>
  <si>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</si>
  <si>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</si>
  <si>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</si>
  <si>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</si>
  <si>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</si>
  <si>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</si>
  <si>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</si>
  <si>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</si>
  <si>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</si>
  <si>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</si>
  <si>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</si>
  <si>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</si>
  <si>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</si>
  <si>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</si>
  <si>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</si>
  <si>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</si>
  <si>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</si>
  <si>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</si>
  <si>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</si>
  <si>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</si>
  <si>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</si>
  <si>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</si>
  <si>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</si>
  <si>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</si>
  <si>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</si>
  <si>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</si>
  <si>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</si>
  <si>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</si>
  <si>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</si>
  <si>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</si>
  <si>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</si>
  <si>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</si>
  <si>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</si>
  <si>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</si>
  <si>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</si>
  <si>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</si>
  <si>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</si>
  <si>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</si>
  <si>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</si>
  <si>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</si>
  <si>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521hts</t>
  </si>
  <si>
    <t>Obiwan-Take Me To Your Lizard</t>
  </si>
  <si>
    <t>513hts</t>
  </si>
  <si>
    <t>Obiwan-Agricola</t>
  </si>
  <si>
    <t>David Loch</t>
  </si>
  <si>
    <t>Sébastien Biard</t>
  </si>
  <si>
    <t>Vitaliy Hovayko</t>
  </si>
  <si>
    <t>Henrik Lövmar</t>
  </si>
  <si>
    <t>Marnick Maroye</t>
  </si>
  <si>
    <t>Valentin Ebetiuc</t>
  </si>
  <si>
    <t>Kim De Nicola</t>
  </si>
  <si>
    <t>Renzo Schnitz</t>
  </si>
  <si>
    <t>Krystian Grewling</t>
  </si>
  <si>
    <t>Edvard Kiša</t>
  </si>
  <si>
    <t>Gerolf Kerschl</t>
  </si>
  <si>
    <t>Sulaiman Jassim Al-Azry</t>
  </si>
  <si>
    <t>Andreas Hiiob</t>
  </si>
  <si>
    <t>Marius Iuhoş</t>
  </si>
  <si>
    <t>Paweł Drążewski</t>
  </si>
  <si>
    <t>Verner Carstensen</t>
  </si>
  <si>
    <t>Javier Brown</t>
  </si>
  <si>
    <t>#</t>
  </si>
  <si>
    <t>G. Kerschl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</si>
</sst>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62">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2"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5" fillId="0" borderId="0" xfId="0" applyFont="1" applyAlignment="1">
      <alignment horizontal="center"/>
    </xf>
    <xf numFmtId="0" fontId="85" fillId="0" borderId="0" xfId="0" applyFont="1"/>
    <xf numFmtId="14" fontId="85" fillId="0" borderId="0" xfId="0" applyNumberFormat="1" applyFont="1"/>
    <xf numFmtId="0" fontId="86" fillId="0" borderId="0" xfId="0" applyFont="1" applyAlignment="1">
      <alignment horizontal="center"/>
    </xf>
    <xf numFmtId="164" fontId="85" fillId="0" borderId="0" xfId="2" applyNumberFormat="1" applyFont="1" applyAlignment="1">
      <alignment horizontal="center"/>
    </xf>
    <xf numFmtId="0" fontId="2" fillId="12" borderId="0" xfId="0" applyFont="1" applyFill="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xf numFmtId="0" fontId="32" fillId="15" borderId="1" xfId="0" applyFont="1" applyFill="1" applyBorder="1"/>
    <xf numFmtId="0" fontId="32" fillId="25" borderId="1" xfId="0" applyFont="1" applyFill="1" applyBorder="1"/>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421">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77803384"/>
        <c:axId val="277804560"/>
      </c:barChart>
      <c:catAx>
        <c:axId val="277803384"/>
        <c:scaling>
          <c:orientation val="minMax"/>
        </c:scaling>
        <c:delete val="0"/>
        <c:axPos val="b"/>
        <c:numFmt formatCode="General" sourceLinked="1"/>
        <c:majorTickMark val="out"/>
        <c:minorTickMark val="none"/>
        <c:tickLblPos val="nextTo"/>
        <c:crossAx val="277804560"/>
        <c:crosses val="autoZero"/>
        <c:auto val="1"/>
        <c:lblAlgn val="ctr"/>
        <c:lblOffset val="100"/>
        <c:noMultiLvlLbl val="0"/>
      </c:catAx>
      <c:valAx>
        <c:axId val="277804560"/>
        <c:scaling>
          <c:orientation val="minMax"/>
        </c:scaling>
        <c:delete val="0"/>
        <c:axPos val="l"/>
        <c:majorGridlines/>
        <c:numFmt formatCode="_-* #,##0\ [$€-C0A]_-;\-* #,##0\ [$€-C0A]_-;_-* &quot;-&quot;??\ [$€-C0A]_-;_-@_-" sourceLinked="1"/>
        <c:majorTickMark val="out"/>
        <c:minorTickMark val="none"/>
        <c:tickLblPos val="nextTo"/>
        <c:crossAx val="2778033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7364312"/>
        <c:axId val="297366272"/>
      </c:barChart>
      <c:catAx>
        <c:axId val="297364312"/>
        <c:scaling>
          <c:orientation val="minMax"/>
        </c:scaling>
        <c:delete val="0"/>
        <c:axPos val="b"/>
        <c:numFmt formatCode="General" sourceLinked="1"/>
        <c:majorTickMark val="out"/>
        <c:minorTickMark val="none"/>
        <c:tickLblPos val="nextTo"/>
        <c:crossAx val="297366272"/>
        <c:crosses val="autoZero"/>
        <c:auto val="1"/>
        <c:lblAlgn val="ctr"/>
        <c:lblOffset val="100"/>
        <c:noMultiLvlLbl val="0"/>
      </c:catAx>
      <c:valAx>
        <c:axId val="297366272"/>
        <c:scaling>
          <c:orientation val="minMax"/>
        </c:scaling>
        <c:delete val="0"/>
        <c:axPos val="l"/>
        <c:majorGridlines/>
        <c:numFmt formatCode="_-* #,##0\ [$€-C0A]_-;\-* #,##0\ [$€-C0A]_-;_-* &quot;-&quot;??\ [$€-C0A]_-;_-@_-" sourceLinked="1"/>
        <c:majorTickMark val="out"/>
        <c:minorTickMark val="none"/>
        <c:tickLblPos val="nextTo"/>
        <c:crossAx val="2973643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297367056"/>
        <c:axId val="297367448"/>
      </c:barChart>
      <c:catAx>
        <c:axId val="297367056"/>
        <c:scaling>
          <c:orientation val="minMax"/>
        </c:scaling>
        <c:delete val="0"/>
        <c:axPos val="b"/>
        <c:numFmt formatCode="General" sourceLinked="1"/>
        <c:majorTickMark val="out"/>
        <c:minorTickMark val="none"/>
        <c:tickLblPos val="nextTo"/>
        <c:crossAx val="297367448"/>
        <c:crosses val="autoZero"/>
        <c:auto val="1"/>
        <c:lblAlgn val="ctr"/>
        <c:lblOffset val="100"/>
        <c:noMultiLvlLbl val="0"/>
      </c:catAx>
      <c:valAx>
        <c:axId val="297367448"/>
        <c:scaling>
          <c:orientation val="minMax"/>
        </c:scaling>
        <c:delete val="0"/>
        <c:axPos val="l"/>
        <c:majorGridlines/>
        <c:numFmt formatCode="_-* #,##0\ [$€-C0A]_-;\-* #,##0\ [$€-C0A]_-;_-* &quot;-&quot;??\ [$€-C0A]_-;_-@_-" sourceLinked="1"/>
        <c:majorTickMark val="out"/>
        <c:minorTickMark val="none"/>
        <c:tickLblPos val="nextTo"/>
        <c:crossAx val="2973670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560096"/>
        <c:axId val="300559704"/>
      </c:barChart>
      <c:catAx>
        <c:axId val="300560096"/>
        <c:scaling>
          <c:orientation val="minMax"/>
        </c:scaling>
        <c:delete val="0"/>
        <c:axPos val="b"/>
        <c:numFmt formatCode="General" sourceLinked="1"/>
        <c:majorTickMark val="out"/>
        <c:minorTickMark val="none"/>
        <c:tickLblPos val="nextTo"/>
        <c:crossAx val="300559704"/>
        <c:crosses val="autoZero"/>
        <c:auto val="1"/>
        <c:lblAlgn val="ctr"/>
        <c:lblOffset val="100"/>
        <c:noMultiLvlLbl val="0"/>
      </c:catAx>
      <c:valAx>
        <c:axId val="300559704"/>
        <c:scaling>
          <c:orientation val="minMax"/>
        </c:scaling>
        <c:delete val="0"/>
        <c:axPos val="l"/>
        <c:majorGridlines/>
        <c:numFmt formatCode="_-* #,##0\ [$€-C0A]_-;\-* #,##0\ [$€-C0A]_-;_-* &quot;-&quot;??\ [$€-C0A]_-;_-@_-" sourceLinked="1"/>
        <c:majorTickMark val="out"/>
        <c:minorTickMark val="none"/>
        <c:tickLblPos val="nextTo"/>
        <c:crossAx val="3005600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00561272"/>
        <c:axId val="300560488"/>
      </c:barChart>
      <c:catAx>
        <c:axId val="300561272"/>
        <c:scaling>
          <c:orientation val="minMax"/>
        </c:scaling>
        <c:delete val="0"/>
        <c:axPos val="b"/>
        <c:numFmt formatCode="General" sourceLinked="1"/>
        <c:majorTickMark val="out"/>
        <c:minorTickMark val="none"/>
        <c:tickLblPos val="nextTo"/>
        <c:crossAx val="300560488"/>
        <c:crosses val="autoZero"/>
        <c:auto val="1"/>
        <c:lblAlgn val="ctr"/>
        <c:lblOffset val="100"/>
        <c:noMultiLvlLbl val="0"/>
      </c:catAx>
      <c:valAx>
        <c:axId val="300560488"/>
        <c:scaling>
          <c:orientation val="minMax"/>
        </c:scaling>
        <c:delete val="0"/>
        <c:axPos val="l"/>
        <c:majorGridlines/>
        <c:numFmt formatCode="_-* #,##0\ [$€-C0A]_-;\-* #,##0\ [$€-C0A]_-;_-* &quot;-&quot;??\ [$€-C0A]_-;_-@_-" sourceLinked="1"/>
        <c:majorTickMark val="out"/>
        <c:minorTickMark val="none"/>
        <c:tickLblPos val="nextTo"/>
        <c:crossAx val="3005612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00562056"/>
        <c:axId val="300555392"/>
      </c:barChart>
      <c:catAx>
        <c:axId val="300562056"/>
        <c:scaling>
          <c:orientation val="minMax"/>
        </c:scaling>
        <c:delete val="0"/>
        <c:axPos val="b"/>
        <c:numFmt formatCode="General" sourceLinked="1"/>
        <c:majorTickMark val="out"/>
        <c:minorTickMark val="none"/>
        <c:tickLblPos val="nextTo"/>
        <c:crossAx val="300555392"/>
        <c:crosses val="autoZero"/>
        <c:auto val="1"/>
        <c:lblAlgn val="ctr"/>
        <c:lblOffset val="100"/>
        <c:noMultiLvlLbl val="0"/>
      </c:catAx>
      <c:valAx>
        <c:axId val="300555392"/>
        <c:scaling>
          <c:orientation val="minMax"/>
        </c:scaling>
        <c:delete val="0"/>
        <c:axPos val="l"/>
        <c:majorGridlines/>
        <c:numFmt formatCode="_-* #,##0\ [$€-C0A]_-;\-* #,##0\ [$€-C0A]_-;_-* &quot;-&quot;??\ [$€-C0A]_-;_-@_-" sourceLinked="1"/>
        <c:majorTickMark val="out"/>
        <c:minorTickMark val="none"/>
        <c:tickLblPos val="nextTo"/>
        <c:crossAx val="3005620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00555784"/>
        <c:axId val="300556960"/>
      </c:barChart>
      <c:catAx>
        <c:axId val="300555784"/>
        <c:scaling>
          <c:orientation val="minMax"/>
        </c:scaling>
        <c:delete val="0"/>
        <c:axPos val="b"/>
        <c:numFmt formatCode="General" sourceLinked="1"/>
        <c:majorTickMark val="out"/>
        <c:minorTickMark val="none"/>
        <c:tickLblPos val="nextTo"/>
        <c:crossAx val="300556960"/>
        <c:crosses val="autoZero"/>
        <c:auto val="1"/>
        <c:lblAlgn val="ctr"/>
        <c:lblOffset val="100"/>
        <c:noMultiLvlLbl val="0"/>
      </c:catAx>
      <c:valAx>
        <c:axId val="300556960"/>
        <c:scaling>
          <c:orientation val="minMax"/>
        </c:scaling>
        <c:delete val="0"/>
        <c:axPos val="l"/>
        <c:majorGridlines/>
        <c:numFmt formatCode="_-* #,##0\ [$€-C0A]_-;\-* #,##0\ [$€-C0A]_-;_-* &quot;-&quot;??\ [$€-C0A]_-;_-@_-" sourceLinked="1"/>
        <c:majorTickMark val="out"/>
        <c:minorTickMark val="none"/>
        <c:tickLblPos val="nextTo"/>
        <c:crossAx val="3005557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562448"/>
        <c:axId val="300556176"/>
      </c:barChart>
      <c:catAx>
        <c:axId val="300562448"/>
        <c:scaling>
          <c:orientation val="minMax"/>
        </c:scaling>
        <c:delete val="0"/>
        <c:axPos val="b"/>
        <c:numFmt formatCode="General" sourceLinked="1"/>
        <c:majorTickMark val="out"/>
        <c:minorTickMark val="none"/>
        <c:tickLblPos val="nextTo"/>
        <c:crossAx val="300556176"/>
        <c:crosses val="autoZero"/>
        <c:auto val="1"/>
        <c:lblAlgn val="ctr"/>
        <c:lblOffset val="100"/>
        <c:noMultiLvlLbl val="0"/>
      </c:catAx>
      <c:valAx>
        <c:axId val="300556176"/>
        <c:scaling>
          <c:orientation val="minMax"/>
        </c:scaling>
        <c:delete val="0"/>
        <c:axPos val="l"/>
        <c:majorGridlines/>
        <c:numFmt formatCode="_-* #,##0\ [$€-C0A]_-;\-* #,##0\ [$€-C0A]_-;_-* &quot;-&quot;??\ [$€-C0A]_-;_-@_-" sourceLinked="1"/>
        <c:majorTickMark val="out"/>
        <c:minorTickMark val="none"/>
        <c:tickLblPos val="nextTo"/>
        <c:crossAx val="3005624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558920"/>
        <c:axId val="300555000"/>
      </c:barChart>
      <c:catAx>
        <c:axId val="300558920"/>
        <c:scaling>
          <c:orientation val="minMax"/>
        </c:scaling>
        <c:delete val="0"/>
        <c:axPos val="b"/>
        <c:numFmt formatCode="General" sourceLinked="1"/>
        <c:majorTickMark val="out"/>
        <c:minorTickMark val="none"/>
        <c:tickLblPos val="nextTo"/>
        <c:crossAx val="300555000"/>
        <c:crosses val="autoZero"/>
        <c:auto val="1"/>
        <c:lblAlgn val="ctr"/>
        <c:lblOffset val="100"/>
        <c:noMultiLvlLbl val="0"/>
      </c:catAx>
      <c:valAx>
        <c:axId val="300555000"/>
        <c:scaling>
          <c:orientation val="minMax"/>
        </c:scaling>
        <c:delete val="0"/>
        <c:axPos val="l"/>
        <c:majorGridlines/>
        <c:numFmt formatCode="_-* #,##0\ [$€-C0A]_-;\-* #,##0\ [$€-C0A]_-;_-* &quot;-&quot;??\ [$€-C0A]_-;_-@_-" sourceLinked="1"/>
        <c:majorTickMark val="out"/>
        <c:minorTickMark val="none"/>
        <c:tickLblPos val="nextTo"/>
        <c:crossAx val="3005589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558528"/>
        <c:axId val="300560880"/>
      </c:barChart>
      <c:catAx>
        <c:axId val="300558528"/>
        <c:scaling>
          <c:orientation val="minMax"/>
        </c:scaling>
        <c:delete val="0"/>
        <c:axPos val="b"/>
        <c:numFmt formatCode="General" sourceLinked="1"/>
        <c:majorTickMark val="out"/>
        <c:minorTickMark val="none"/>
        <c:tickLblPos val="nextTo"/>
        <c:crossAx val="300560880"/>
        <c:crosses val="autoZero"/>
        <c:auto val="1"/>
        <c:lblAlgn val="ctr"/>
        <c:lblOffset val="100"/>
        <c:noMultiLvlLbl val="0"/>
      </c:catAx>
      <c:valAx>
        <c:axId val="300560880"/>
        <c:scaling>
          <c:orientation val="minMax"/>
        </c:scaling>
        <c:delete val="0"/>
        <c:axPos val="l"/>
        <c:majorGridlines/>
        <c:numFmt formatCode="_-* #,##0\ [$€-C0A]_-;\-* #,##0\ [$€-C0A]_-;_-* &quot;-&quot;??\ [$€-C0A]_-;_-@_-" sourceLinked="1"/>
        <c:majorTickMark val="out"/>
        <c:minorTickMark val="none"/>
        <c:tickLblPos val="nextTo"/>
        <c:crossAx val="3005585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01441280"/>
        <c:axId val="301439712"/>
      </c:barChart>
      <c:catAx>
        <c:axId val="301441280"/>
        <c:scaling>
          <c:orientation val="minMax"/>
        </c:scaling>
        <c:delete val="0"/>
        <c:axPos val="b"/>
        <c:numFmt formatCode="General" sourceLinked="1"/>
        <c:majorTickMark val="out"/>
        <c:minorTickMark val="none"/>
        <c:tickLblPos val="nextTo"/>
        <c:crossAx val="301439712"/>
        <c:crosses val="autoZero"/>
        <c:auto val="1"/>
        <c:lblAlgn val="ctr"/>
        <c:lblOffset val="100"/>
        <c:noMultiLvlLbl val="0"/>
      </c:catAx>
      <c:valAx>
        <c:axId val="301439712"/>
        <c:scaling>
          <c:orientation val="minMax"/>
        </c:scaling>
        <c:delete val="0"/>
        <c:axPos val="l"/>
        <c:majorGridlines/>
        <c:numFmt formatCode="_-* #,##0\ [$€-C0A]_-;\-* #,##0\ [$€-C0A]_-;_-* &quot;-&quot;??\ [$€-C0A]_-;_-@_-" sourceLinked="1"/>
        <c:majorTickMark val="out"/>
        <c:minorTickMark val="none"/>
        <c:tickLblPos val="nextTo"/>
        <c:crossAx val="3014412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7802992"/>
        <c:axId val="277808480"/>
      </c:barChart>
      <c:catAx>
        <c:axId val="277802992"/>
        <c:scaling>
          <c:orientation val="minMax"/>
        </c:scaling>
        <c:delete val="0"/>
        <c:axPos val="b"/>
        <c:numFmt formatCode="General" sourceLinked="1"/>
        <c:majorTickMark val="out"/>
        <c:minorTickMark val="none"/>
        <c:tickLblPos val="nextTo"/>
        <c:crossAx val="277808480"/>
        <c:crosses val="autoZero"/>
        <c:auto val="1"/>
        <c:lblAlgn val="ctr"/>
        <c:lblOffset val="100"/>
        <c:noMultiLvlLbl val="0"/>
      </c:catAx>
      <c:valAx>
        <c:axId val="277808480"/>
        <c:scaling>
          <c:orientation val="minMax"/>
        </c:scaling>
        <c:delete val="0"/>
        <c:axPos val="l"/>
        <c:majorGridlines/>
        <c:numFmt formatCode="_-* #,##0\ [$€-C0A]_-;\-* #,##0\ [$€-C0A]_-;_-* &quot;-&quot;??\ [$€-C0A]_-;_-@_-" sourceLinked="1"/>
        <c:majorTickMark val="out"/>
        <c:minorTickMark val="none"/>
        <c:tickLblPos val="nextTo"/>
        <c:crossAx val="2778029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1437360"/>
        <c:axId val="301437752"/>
      </c:barChart>
      <c:catAx>
        <c:axId val="301437360"/>
        <c:scaling>
          <c:orientation val="minMax"/>
        </c:scaling>
        <c:delete val="0"/>
        <c:axPos val="b"/>
        <c:numFmt formatCode="General" sourceLinked="1"/>
        <c:majorTickMark val="out"/>
        <c:minorTickMark val="none"/>
        <c:tickLblPos val="nextTo"/>
        <c:crossAx val="301437752"/>
        <c:crosses val="autoZero"/>
        <c:auto val="1"/>
        <c:lblAlgn val="ctr"/>
        <c:lblOffset val="100"/>
        <c:noMultiLvlLbl val="0"/>
      </c:catAx>
      <c:valAx>
        <c:axId val="301437752"/>
        <c:scaling>
          <c:orientation val="minMax"/>
        </c:scaling>
        <c:delete val="0"/>
        <c:axPos val="l"/>
        <c:majorGridlines/>
        <c:numFmt formatCode="_-* #,##0\ [$€-C0A]_-;\-* #,##0\ [$€-C0A]_-;_-* &quot;-&quot;??\ [$€-C0A]_-;_-@_-" sourceLinked="1"/>
        <c:majorTickMark val="out"/>
        <c:minorTickMark val="none"/>
        <c:tickLblPos val="nextTo"/>
        <c:crossAx val="301437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01441672"/>
        <c:axId val="301442064"/>
      </c:barChart>
      <c:catAx>
        <c:axId val="301441672"/>
        <c:scaling>
          <c:orientation val="minMax"/>
        </c:scaling>
        <c:delete val="0"/>
        <c:axPos val="b"/>
        <c:numFmt formatCode="General" sourceLinked="1"/>
        <c:majorTickMark val="out"/>
        <c:minorTickMark val="none"/>
        <c:tickLblPos val="nextTo"/>
        <c:crossAx val="301442064"/>
        <c:crosses val="autoZero"/>
        <c:auto val="1"/>
        <c:lblAlgn val="ctr"/>
        <c:lblOffset val="100"/>
        <c:noMultiLvlLbl val="0"/>
      </c:catAx>
      <c:valAx>
        <c:axId val="301442064"/>
        <c:scaling>
          <c:orientation val="minMax"/>
        </c:scaling>
        <c:delete val="0"/>
        <c:axPos val="l"/>
        <c:majorGridlines/>
        <c:numFmt formatCode="_-* #,##0\ [$€-C0A]_-;\-* #,##0\ [$€-C0A]_-;_-* &quot;-&quot;??\ [$€-C0A]_-;_-@_-" sourceLinked="1"/>
        <c:majorTickMark val="out"/>
        <c:minorTickMark val="none"/>
        <c:tickLblPos val="nextTo"/>
        <c:crossAx val="301441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1438144"/>
        <c:axId val="301442456"/>
      </c:barChart>
      <c:catAx>
        <c:axId val="301438144"/>
        <c:scaling>
          <c:orientation val="minMax"/>
        </c:scaling>
        <c:delete val="0"/>
        <c:axPos val="b"/>
        <c:numFmt formatCode="General" sourceLinked="1"/>
        <c:majorTickMark val="out"/>
        <c:minorTickMark val="none"/>
        <c:tickLblPos val="nextTo"/>
        <c:crossAx val="301442456"/>
        <c:crosses val="autoZero"/>
        <c:auto val="1"/>
        <c:lblAlgn val="ctr"/>
        <c:lblOffset val="100"/>
        <c:noMultiLvlLbl val="0"/>
      </c:catAx>
      <c:valAx>
        <c:axId val="301442456"/>
        <c:scaling>
          <c:orientation val="minMax"/>
        </c:scaling>
        <c:delete val="0"/>
        <c:axPos val="l"/>
        <c:majorGridlines/>
        <c:numFmt formatCode="_-* #,##0\ [$€-C0A]_-;\-* #,##0\ [$€-C0A]_-;_-* &quot;-&quot;??\ [$€-C0A]_-;_-@_-" sourceLinked="1"/>
        <c:majorTickMark val="out"/>
        <c:minorTickMark val="none"/>
        <c:tickLblPos val="nextTo"/>
        <c:crossAx val="3014381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01443240"/>
        <c:axId val="301439320"/>
      </c:lineChart>
      <c:catAx>
        <c:axId val="301443240"/>
        <c:scaling>
          <c:orientation val="minMax"/>
        </c:scaling>
        <c:delete val="0"/>
        <c:axPos val="b"/>
        <c:numFmt formatCode="General" sourceLinked="0"/>
        <c:majorTickMark val="out"/>
        <c:minorTickMark val="none"/>
        <c:tickLblPos val="nextTo"/>
        <c:crossAx val="301439320"/>
        <c:crosses val="autoZero"/>
        <c:auto val="1"/>
        <c:lblAlgn val="ctr"/>
        <c:lblOffset val="100"/>
        <c:noMultiLvlLbl val="0"/>
      </c:catAx>
      <c:valAx>
        <c:axId val="301439320"/>
        <c:scaling>
          <c:orientation val="minMax"/>
          <c:min val="0"/>
        </c:scaling>
        <c:delete val="0"/>
        <c:axPos val="l"/>
        <c:majorGridlines/>
        <c:numFmt formatCode="General" sourceLinked="1"/>
        <c:majorTickMark val="out"/>
        <c:minorTickMark val="none"/>
        <c:tickLblPos val="nextTo"/>
        <c:crossAx val="30144324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7810048"/>
        <c:axId val="277802600"/>
      </c:barChart>
      <c:catAx>
        <c:axId val="277810048"/>
        <c:scaling>
          <c:orientation val="minMax"/>
        </c:scaling>
        <c:delete val="0"/>
        <c:axPos val="b"/>
        <c:numFmt formatCode="General" sourceLinked="1"/>
        <c:majorTickMark val="out"/>
        <c:minorTickMark val="none"/>
        <c:tickLblPos val="nextTo"/>
        <c:crossAx val="277802600"/>
        <c:crosses val="autoZero"/>
        <c:auto val="1"/>
        <c:lblAlgn val="ctr"/>
        <c:lblOffset val="100"/>
        <c:noMultiLvlLbl val="0"/>
      </c:catAx>
      <c:valAx>
        <c:axId val="277802600"/>
        <c:scaling>
          <c:orientation val="minMax"/>
        </c:scaling>
        <c:delete val="0"/>
        <c:axPos val="l"/>
        <c:majorGridlines/>
        <c:numFmt formatCode="_-* #,##0\ [$€-C0A]_-;\-* #,##0\ [$€-C0A]_-;_-* &quot;-&quot;??\ [$€-C0A]_-;_-@_-" sourceLinked="1"/>
        <c:majorTickMark val="out"/>
        <c:minorTickMark val="none"/>
        <c:tickLblPos val="nextTo"/>
        <c:crossAx val="277810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7805344"/>
        <c:axId val="277806520"/>
      </c:barChart>
      <c:catAx>
        <c:axId val="277805344"/>
        <c:scaling>
          <c:orientation val="minMax"/>
        </c:scaling>
        <c:delete val="0"/>
        <c:axPos val="b"/>
        <c:numFmt formatCode="General" sourceLinked="1"/>
        <c:majorTickMark val="out"/>
        <c:minorTickMark val="none"/>
        <c:tickLblPos val="nextTo"/>
        <c:crossAx val="277806520"/>
        <c:crosses val="autoZero"/>
        <c:auto val="1"/>
        <c:lblAlgn val="ctr"/>
        <c:lblOffset val="100"/>
        <c:noMultiLvlLbl val="0"/>
      </c:catAx>
      <c:valAx>
        <c:axId val="277806520"/>
        <c:scaling>
          <c:orientation val="minMax"/>
        </c:scaling>
        <c:delete val="0"/>
        <c:axPos val="l"/>
        <c:majorGridlines/>
        <c:numFmt formatCode="_-* #,##0\ [$€-C0A]_-;\-* #,##0\ [$€-C0A]_-;_-* &quot;-&quot;??\ [$€-C0A]_-;_-@_-" sourceLinked="1"/>
        <c:majorTickMark val="out"/>
        <c:minorTickMark val="none"/>
        <c:tickLblPos val="nextTo"/>
        <c:crossAx val="2778053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97365880"/>
        <c:axId val="297363528"/>
      </c:barChart>
      <c:catAx>
        <c:axId val="297365880"/>
        <c:scaling>
          <c:orientation val="minMax"/>
        </c:scaling>
        <c:delete val="0"/>
        <c:axPos val="b"/>
        <c:numFmt formatCode="General" sourceLinked="1"/>
        <c:majorTickMark val="out"/>
        <c:minorTickMark val="none"/>
        <c:tickLblPos val="nextTo"/>
        <c:crossAx val="297363528"/>
        <c:crosses val="autoZero"/>
        <c:auto val="1"/>
        <c:lblAlgn val="ctr"/>
        <c:lblOffset val="100"/>
        <c:noMultiLvlLbl val="0"/>
      </c:catAx>
      <c:valAx>
        <c:axId val="297363528"/>
        <c:scaling>
          <c:orientation val="minMax"/>
        </c:scaling>
        <c:delete val="0"/>
        <c:axPos val="l"/>
        <c:majorGridlines/>
        <c:numFmt formatCode="_-* #,##0\ [$€-C0A]_-;\-* #,##0\ [$€-C0A]_-;_-* &quot;-&quot;??\ [$€-C0A]_-;_-@_-" sourceLinked="1"/>
        <c:majorTickMark val="out"/>
        <c:minorTickMark val="none"/>
        <c:tickLblPos val="nextTo"/>
        <c:crossAx val="2973658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7367840"/>
        <c:axId val="297368232"/>
      </c:barChart>
      <c:catAx>
        <c:axId val="297367840"/>
        <c:scaling>
          <c:orientation val="minMax"/>
        </c:scaling>
        <c:delete val="0"/>
        <c:axPos val="b"/>
        <c:numFmt formatCode="General" sourceLinked="1"/>
        <c:majorTickMark val="out"/>
        <c:minorTickMark val="none"/>
        <c:tickLblPos val="nextTo"/>
        <c:crossAx val="297368232"/>
        <c:crosses val="autoZero"/>
        <c:auto val="1"/>
        <c:lblAlgn val="ctr"/>
        <c:lblOffset val="100"/>
        <c:noMultiLvlLbl val="0"/>
      </c:catAx>
      <c:valAx>
        <c:axId val="297368232"/>
        <c:scaling>
          <c:orientation val="minMax"/>
        </c:scaling>
        <c:delete val="0"/>
        <c:axPos val="l"/>
        <c:majorGridlines/>
        <c:numFmt formatCode="_-* #,##0\ [$€-C0A]_-;\-* #,##0\ [$€-C0A]_-;_-* &quot;-&quot;??\ [$€-C0A]_-;_-@_-" sourceLinked="1"/>
        <c:majorTickMark val="out"/>
        <c:minorTickMark val="none"/>
        <c:tickLblPos val="nextTo"/>
        <c:crossAx val="2973678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7368624"/>
        <c:axId val="297366664"/>
      </c:barChart>
      <c:catAx>
        <c:axId val="297368624"/>
        <c:scaling>
          <c:orientation val="minMax"/>
        </c:scaling>
        <c:delete val="0"/>
        <c:axPos val="b"/>
        <c:numFmt formatCode="General" sourceLinked="1"/>
        <c:majorTickMark val="out"/>
        <c:minorTickMark val="none"/>
        <c:tickLblPos val="nextTo"/>
        <c:crossAx val="297366664"/>
        <c:crosses val="autoZero"/>
        <c:auto val="1"/>
        <c:lblAlgn val="ctr"/>
        <c:lblOffset val="100"/>
        <c:noMultiLvlLbl val="0"/>
      </c:catAx>
      <c:valAx>
        <c:axId val="297366664"/>
        <c:scaling>
          <c:orientation val="minMax"/>
        </c:scaling>
        <c:delete val="0"/>
        <c:axPos val="l"/>
        <c:majorGridlines/>
        <c:numFmt formatCode="_-* #,##0\ [$€-C0A]_-;\-* #,##0\ [$€-C0A]_-;_-* &quot;-&quot;??\ [$€-C0A]_-;_-@_-" sourceLinked="1"/>
        <c:majorTickMark val="out"/>
        <c:minorTickMark val="none"/>
        <c:tickLblPos val="nextTo"/>
        <c:crossAx val="2973686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297361568"/>
        <c:axId val="297361960"/>
      </c:barChart>
      <c:catAx>
        <c:axId val="297361568"/>
        <c:scaling>
          <c:orientation val="minMax"/>
        </c:scaling>
        <c:delete val="0"/>
        <c:axPos val="b"/>
        <c:numFmt formatCode="General" sourceLinked="1"/>
        <c:majorTickMark val="out"/>
        <c:minorTickMark val="none"/>
        <c:tickLblPos val="nextTo"/>
        <c:crossAx val="297361960"/>
        <c:crosses val="autoZero"/>
        <c:auto val="1"/>
        <c:lblAlgn val="ctr"/>
        <c:lblOffset val="100"/>
        <c:noMultiLvlLbl val="0"/>
      </c:catAx>
      <c:valAx>
        <c:axId val="297361960"/>
        <c:scaling>
          <c:orientation val="minMax"/>
        </c:scaling>
        <c:delete val="0"/>
        <c:axPos val="l"/>
        <c:majorGridlines/>
        <c:numFmt formatCode="_-* #,##0\ [$€-C0A]_-;\-* #,##0\ [$€-C0A]_-;_-* &quot;-&quot;??\ [$€-C0A]_-;_-@_-" sourceLinked="1"/>
        <c:majorTickMark val="out"/>
        <c:minorTickMark val="none"/>
        <c:tickLblPos val="nextTo"/>
        <c:crossAx val="2973615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297363920"/>
        <c:axId val="297362744"/>
      </c:barChart>
      <c:catAx>
        <c:axId val="297363920"/>
        <c:scaling>
          <c:orientation val="minMax"/>
        </c:scaling>
        <c:delete val="0"/>
        <c:axPos val="b"/>
        <c:numFmt formatCode="General" sourceLinked="1"/>
        <c:majorTickMark val="out"/>
        <c:minorTickMark val="none"/>
        <c:tickLblPos val="nextTo"/>
        <c:crossAx val="297362744"/>
        <c:crosses val="autoZero"/>
        <c:auto val="1"/>
        <c:lblAlgn val="ctr"/>
        <c:lblOffset val="100"/>
        <c:noMultiLvlLbl val="0"/>
      </c:catAx>
      <c:valAx>
        <c:axId val="297362744"/>
        <c:scaling>
          <c:orientation val="minMax"/>
        </c:scaling>
        <c:delete val="0"/>
        <c:axPos val="l"/>
        <c:majorGridlines/>
        <c:numFmt formatCode="_-* #,##0\ [$€-C0A]_-;\-* #,##0\ [$€-C0A]_-;_-* &quot;-&quot;??\ [$€-C0A]_-;_-@_-" sourceLinked="1"/>
        <c:majorTickMark val="out"/>
        <c:minorTickMark val="none"/>
        <c:tickLblPos val="nextTo"/>
        <c:crossAx val="2973639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1" bestFit="1" customWidth="1"/>
    <col min="7" max="7" width="4.5703125" bestFit="1" customWidth="1"/>
    <col min="8" max="8" width="5.5703125" style="541" bestFit="1" customWidth="1"/>
    <col min="9" max="9" width="5" bestFit="1" customWidth="1"/>
    <col min="10" max="10" width="4.5703125" bestFit="1" customWidth="1"/>
    <col min="11" max="11" width="10.7109375" bestFit="1" customWidth="1"/>
    <col min="12" max="12" width="8.42578125" style="541"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0">
        <f ca="1">TODAY()</f>
        <v>43060</v>
      </c>
      <c r="D1" s="706">
        <v>41471</v>
      </c>
      <c r="E1" s="706"/>
      <c r="F1" s="706"/>
      <c r="H1" s="310"/>
    </row>
    <row r="2" spans="1:17" s="3" customFormat="1" x14ac:dyDescent="0.25">
      <c r="A2" s="3">
        <v>16</v>
      </c>
      <c r="B2" s="310"/>
      <c r="C2" s="341"/>
      <c r="D2" s="324"/>
      <c r="E2" s="324"/>
    </row>
    <row r="3" spans="1:17" s="271" customFormat="1" x14ac:dyDescent="0.25">
      <c r="A3" s="325"/>
      <c r="B3" s="325" t="s">
        <v>502</v>
      </c>
      <c r="C3" s="321" t="s">
        <v>635</v>
      </c>
      <c r="D3" s="287" t="s">
        <v>595</v>
      </c>
      <c r="F3" s="542"/>
      <c r="J3" s="554" t="s">
        <v>595</v>
      </c>
    </row>
    <row r="4" spans="1:17" x14ac:dyDescent="0.25">
      <c r="A4" s="326" t="s">
        <v>453</v>
      </c>
      <c r="B4" s="326" t="s">
        <v>316</v>
      </c>
      <c r="C4" s="328" t="s">
        <v>182</v>
      </c>
      <c r="D4" s="326" t="s">
        <v>185</v>
      </c>
      <c r="E4" s="451" t="s">
        <v>858</v>
      </c>
      <c r="F4" s="451" t="s">
        <v>857</v>
      </c>
      <c r="G4" s="451" t="s">
        <v>859</v>
      </c>
      <c r="H4" s="451" t="s">
        <v>831</v>
      </c>
      <c r="I4" s="451" t="s">
        <v>63</v>
      </c>
      <c r="J4" s="326" t="s">
        <v>185</v>
      </c>
      <c r="K4" s="555" t="s">
        <v>1</v>
      </c>
      <c r="L4" s="555" t="s">
        <v>2</v>
      </c>
      <c r="M4" s="555" t="s">
        <v>839</v>
      </c>
      <c r="N4" s="555" t="s">
        <v>704</v>
      </c>
      <c r="O4" s="555" t="s">
        <v>840</v>
      </c>
      <c r="P4" s="555" t="s">
        <v>713</v>
      </c>
      <c r="Q4" s="555" t="s">
        <v>0</v>
      </c>
    </row>
    <row r="5" spans="1:17" s="266" customFormat="1" x14ac:dyDescent="0.25">
      <c r="A5" s="416" t="s">
        <v>577</v>
      </c>
      <c r="B5" s="416" t="s">
        <v>1</v>
      </c>
      <c r="C5" s="480" t="s">
        <v>306</v>
      </c>
      <c r="D5" s="420" t="s">
        <v>175</v>
      </c>
      <c r="E5" s="546">
        <v>41400</v>
      </c>
      <c r="F5" s="625">
        <f ca="1">TODAY()-E5</f>
        <v>1660</v>
      </c>
      <c r="G5" s="626">
        <f ca="1">F5/112</f>
        <v>14.821428571428571</v>
      </c>
      <c r="H5" s="543">
        <v>19</v>
      </c>
      <c r="I5" s="543">
        <v>11</v>
      </c>
      <c r="J5" s="420" t="s">
        <v>175</v>
      </c>
      <c r="K5" s="556" t="s">
        <v>860</v>
      </c>
      <c r="L5" s="595" t="s">
        <v>471</v>
      </c>
      <c r="M5" s="556"/>
      <c r="N5" s="556"/>
      <c r="O5" s="556"/>
      <c r="P5" s="556"/>
      <c r="Q5" s="556"/>
    </row>
    <row r="6" spans="1:17" s="288" customFormat="1" x14ac:dyDescent="0.25">
      <c r="A6" s="416" t="s">
        <v>443</v>
      </c>
      <c r="B6" s="416" t="s">
        <v>1</v>
      </c>
      <c r="C6" s="480" t="s">
        <v>307</v>
      </c>
      <c r="D6" s="420" t="s">
        <v>595</v>
      </c>
      <c r="E6" s="546">
        <v>41400</v>
      </c>
      <c r="F6" s="625">
        <f t="shared" ref="F6:F20" ca="1" si="0">TODAY()-E6</f>
        <v>1660</v>
      </c>
      <c r="G6" s="626">
        <f t="shared" ref="G6:G20" ca="1" si="1">F6/112</f>
        <v>14.821428571428571</v>
      </c>
      <c r="H6" s="348">
        <v>20</v>
      </c>
      <c r="I6" s="348">
        <v>2</v>
      </c>
      <c r="J6" s="420" t="s">
        <v>595</v>
      </c>
      <c r="K6" s="556" t="s">
        <v>860</v>
      </c>
      <c r="L6" s="388" t="s">
        <v>471</v>
      </c>
      <c r="M6" s="557"/>
      <c r="N6" s="557"/>
      <c r="O6" s="557"/>
      <c r="P6" s="557"/>
      <c r="Q6" s="557"/>
    </row>
    <row r="7" spans="1:17" s="272" customFormat="1" x14ac:dyDescent="0.25">
      <c r="A7" s="332" t="s">
        <v>452</v>
      </c>
      <c r="B7" s="285" t="s">
        <v>2</v>
      </c>
      <c r="C7" s="481" t="s">
        <v>315</v>
      </c>
      <c r="D7" s="287" t="s">
        <v>595</v>
      </c>
      <c r="E7" s="547">
        <v>41519</v>
      </c>
      <c r="F7" s="625">
        <f t="shared" ca="1" si="0"/>
        <v>1541</v>
      </c>
      <c r="G7" s="626">
        <f t="shared" ca="1" si="1"/>
        <v>13.758928571428571</v>
      </c>
      <c r="H7" s="544">
        <f>24-7</f>
        <v>17</v>
      </c>
      <c r="I7" s="544">
        <f>102-(5*7+1)</f>
        <v>66</v>
      </c>
      <c r="J7" s="287" t="s">
        <v>595</v>
      </c>
      <c r="K7" s="556"/>
      <c r="L7" s="556" t="s">
        <v>470</v>
      </c>
      <c r="M7" s="556" t="s">
        <v>465</v>
      </c>
      <c r="N7" s="556"/>
      <c r="O7" s="556" t="s">
        <v>470</v>
      </c>
      <c r="P7" s="556" t="s">
        <v>465</v>
      </c>
      <c r="Q7" s="556"/>
    </row>
    <row r="8" spans="1:17" s="264" customFormat="1" x14ac:dyDescent="0.25">
      <c r="A8" s="416" t="s">
        <v>445</v>
      </c>
      <c r="B8" s="285" t="s">
        <v>2</v>
      </c>
      <c r="C8" s="481" t="s">
        <v>313</v>
      </c>
      <c r="D8" s="287"/>
      <c r="E8" s="547">
        <v>41527</v>
      </c>
      <c r="F8" s="625">
        <f t="shared" ca="1" si="0"/>
        <v>1533</v>
      </c>
      <c r="G8" s="626">
        <f t="shared" ca="1" si="1"/>
        <v>13.6875</v>
      </c>
      <c r="H8" s="544">
        <f>24-7</f>
        <v>17</v>
      </c>
      <c r="I8" s="544">
        <f>41-(4*7)</f>
        <v>13</v>
      </c>
      <c r="J8" s="287"/>
      <c r="K8" s="556"/>
      <c r="L8" s="556" t="s">
        <v>464</v>
      </c>
      <c r="M8" s="556"/>
      <c r="N8" s="556" t="s">
        <v>860</v>
      </c>
      <c r="O8" s="556" t="s">
        <v>464</v>
      </c>
      <c r="P8" s="556" t="s">
        <v>573</v>
      </c>
      <c r="Q8" s="556"/>
    </row>
    <row r="9" spans="1:17" s="265" customFormat="1" x14ac:dyDescent="0.25">
      <c r="A9" s="416" t="s">
        <v>597</v>
      </c>
      <c r="B9" s="416" t="s">
        <v>2</v>
      </c>
      <c r="C9" s="480" t="s">
        <v>309</v>
      </c>
      <c r="D9" s="420"/>
      <c r="E9" s="548">
        <v>41539</v>
      </c>
      <c r="F9" s="625">
        <f t="shared" ca="1" si="0"/>
        <v>1521</v>
      </c>
      <c r="G9" s="626">
        <f t="shared" ca="1" si="1"/>
        <v>13.580357142857142</v>
      </c>
      <c r="H9" s="476">
        <f>24-7</f>
        <v>17</v>
      </c>
      <c r="I9" s="476">
        <v>40</v>
      </c>
      <c r="J9" s="420"/>
      <c r="K9" s="556"/>
      <c r="L9" s="598" t="s">
        <v>271</v>
      </c>
      <c r="M9" s="556" t="s">
        <v>464</v>
      </c>
      <c r="N9" s="556" t="s">
        <v>470</v>
      </c>
      <c r="O9" s="556" t="s">
        <v>470</v>
      </c>
      <c r="P9" s="556" t="s">
        <v>465</v>
      </c>
      <c r="Q9" s="556"/>
    </row>
    <row r="10" spans="1:17" s="289" customFormat="1" x14ac:dyDescent="0.25">
      <c r="A10" s="416" t="s">
        <v>444</v>
      </c>
      <c r="B10" s="416" t="s">
        <v>65</v>
      </c>
      <c r="C10" s="480" t="s">
        <v>312</v>
      </c>
      <c r="D10" s="420"/>
      <c r="E10" s="550">
        <v>41552</v>
      </c>
      <c r="F10" s="625">
        <f t="shared" ca="1" si="0"/>
        <v>1508</v>
      </c>
      <c r="G10" s="626">
        <f t="shared" ca="1" si="1"/>
        <v>13.464285714285714</v>
      </c>
      <c r="H10" s="348">
        <f>24-7</f>
        <v>17</v>
      </c>
      <c r="I10" s="348">
        <v>2</v>
      </c>
      <c r="J10" s="420"/>
      <c r="K10" s="556"/>
      <c r="L10" s="556" t="s">
        <v>573</v>
      </c>
      <c r="M10" s="596" t="s">
        <v>471</v>
      </c>
      <c r="N10" s="556" t="s">
        <v>465</v>
      </c>
      <c r="O10" s="556" t="s">
        <v>465</v>
      </c>
      <c r="P10" s="556" t="s">
        <v>465</v>
      </c>
      <c r="Q10" s="556"/>
    </row>
    <row r="11" spans="1:17" s="289" customFormat="1" ht="15.75" x14ac:dyDescent="0.25">
      <c r="A11" s="416" t="s">
        <v>448</v>
      </c>
      <c r="B11" s="416" t="s">
        <v>66</v>
      </c>
      <c r="C11" s="480" t="s">
        <v>310</v>
      </c>
      <c r="D11" s="420" t="s">
        <v>311</v>
      </c>
      <c r="E11" s="549">
        <v>41583</v>
      </c>
      <c r="F11" s="625">
        <f t="shared" ca="1" si="0"/>
        <v>1477</v>
      </c>
      <c r="G11" s="626">
        <f t="shared" ca="1" si="1"/>
        <v>13.1875</v>
      </c>
      <c r="H11" s="545">
        <f>23-6</f>
        <v>17</v>
      </c>
      <c r="I11" s="545">
        <v>46</v>
      </c>
      <c r="J11" s="420" t="s">
        <v>311</v>
      </c>
      <c r="K11" s="559"/>
      <c r="L11" s="597" t="s">
        <v>471</v>
      </c>
      <c r="M11" s="559" t="s">
        <v>465</v>
      </c>
      <c r="N11" s="559" t="s">
        <v>464</v>
      </c>
      <c r="O11" s="597" t="s">
        <v>471</v>
      </c>
      <c r="P11" s="597" t="s">
        <v>471</v>
      </c>
      <c r="Q11" s="559" t="s">
        <v>465</v>
      </c>
    </row>
    <row r="12" spans="1:17" s="272" customFormat="1" ht="15.75" x14ac:dyDescent="0.25">
      <c r="A12" s="332" t="s">
        <v>447</v>
      </c>
      <c r="B12" s="416" t="s">
        <v>65</v>
      </c>
      <c r="C12" s="480" t="s">
        <v>325</v>
      </c>
      <c r="D12" s="420" t="s">
        <v>308</v>
      </c>
      <c r="E12" s="550">
        <v>41653</v>
      </c>
      <c r="F12" s="625">
        <f t="shared" ca="1" si="0"/>
        <v>1407</v>
      </c>
      <c r="G12" s="626">
        <f t="shared" ca="1" si="1"/>
        <v>12.5625</v>
      </c>
      <c r="H12" s="348">
        <v>18</v>
      </c>
      <c r="I12" s="348">
        <v>109</v>
      </c>
      <c r="J12" s="420" t="s">
        <v>308</v>
      </c>
      <c r="K12" s="559"/>
      <c r="L12" s="559" t="s">
        <v>465</v>
      </c>
      <c r="M12" s="600" t="s">
        <v>272</v>
      </c>
      <c r="N12" s="559" t="s">
        <v>464</v>
      </c>
      <c r="O12" s="559"/>
      <c r="P12" s="559" t="s">
        <v>470</v>
      </c>
      <c r="Q12" s="559" t="s">
        <v>464</v>
      </c>
    </row>
    <row r="13" spans="1:17" s="288" customFormat="1" ht="15.75" x14ac:dyDescent="0.25">
      <c r="A13" s="416" t="s">
        <v>599</v>
      </c>
      <c r="B13" s="416" t="s">
        <v>67</v>
      </c>
      <c r="C13" s="480" t="s">
        <v>327</v>
      </c>
      <c r="D13" s="420" t="s">
        <v>336</v>
      </c>
      <c r="E13" s="547">
        <v>41664</v>
      </c>
      <c r="F13" s="625">
        <f t="shared" ca="1" si="0"/>
        <v>1396</v>
      </c>
      <c r="G13" s="626">
        <f t="shared" ca="1" si="1"/>
        <v>12.464285714285714</v>
      </c>
      <c r="H13" s="544">
        <f>23-6</f>
        <v>17</v>
      </c>
      <c r="I13" s="544">
        <v>14</v>
      </c>
      <c r="J13" s="420" t="s">
        <v>336</v>
      </c>
      <c r="K13" s="559"/>
      <c r="L13" s="597" t="s">
        <v>471</v>
      </c>
      <c r="M13" s="559" t="s">
        <v>465</v>
      </c>
      <c r="N13" s="559" t="s">
        <v>465</v>
      </c>
      <c r="O13" s="599" t="s">
        <v>271</v>
      </c>
      <c r="P13" s="559" t="s">
        <v>465</v>
      </c>
      <c r="Q13" s="559" t="s">
        <v>272</v>
      </c>
    </row>
    <row r="14" spans="1:17" s="289" customFormat="1" ht="15.75" x14ac:dyDescent="0.25">
      <c r="A14" s="332" t="s">
        <v>451</v>
      </c>
      <c r="B14" s="285" t="s">
        <v>65</v>
      </c>
      <c r="C14" s="481" t="s">
        <v>440</v>
      </c>
      <c r="D14" s="287"/>
      <c r="E14" s="550">
        <v>41686</v>
      </c>
      <c r="F14" s="625">
        <f t="shared" ca="1" si="0"/>
        <v>1374</v>
      </c>
      <c r="G14" s="626">
        <f t="shared" ca="1" si="1"/>
        <v>12.267857142857142</v>
      </c>
      <c r="H14" s="348">
        <v>17</v>
      </c>
      <c r="I14" s="348">
        <v>111</v>
      </c>
      <c r="J14" s="287"/>
      <c r="K14" s="559"/>
      <c r="L14" s="559" t="s">
        <v>573</v>
      </c>
      <c r="M14" s="599" t="s">
        <v>271</v>
      </c>
      <c r="N14" s="560" t="s">
        <v>465</v>
      </c>
      <c r="O14" s="599" t="s">
        <v>271</v>
      </c>
      <c r="P14" s="559" t="s">
        <v>573</v>
      </c>
      <c r="Q14" s="560" t="s">
        <v>465</v>
      </c>
    </row>
    <row r="15" spans="1:17" ht="15.75" x14ac:dyDescent="0.25">
      <c r="A15" s="416" t="s">
        <v>450</v>
      </c>
      <c r="B15" s="416" t="s">
        <v>66</v>
      </c>
      <c r="C15" s="480" t="s">
        <v>338</v>
      </c>
      <c r="D15" s="420" t="s">
        <v>308</v>
      </c>
      <c r="E15" s="547">
        <v>41722</v>
      </c>
      <c r="F15" s="625">
        <f t="shared" ca="1" si="0"/>
        <v>1338</v>
      </c>
      <c r="G15" s="626">
        <f t="shared" ca="1" si="1"/>
        <v>11.946428571428571</v>
      </c>
      <c r="H15" s="544">
        <f>23-5</f>
        <v>18</v>
      </c>
      <c r="I15" s="544">
        <v>20</v>
      </c>
      <c r="J15" s="420" t="s">
        <v>308</v>
      </c>
      <c r="K15" s="559"/>
      <c r="L15" s="559" t="s">
        <v>470</v>
      </c>
      <c r="M15" s="559" t="s">
        <v>470</v>
      </c>
      <c r="N15" s="597" t="s">
        <v>471</v>
      </c>
      <c r="O15" s="559" t="s">
        <v>465</v>
      </c>
      <c r="P15" s="559" t="s">
        <v>464</v>
      </c>
      <c r="Q15" s="559" t="s">
        <v>464</v>
      </c>
    </row>
    <row r="16" spans="1:17" s="4" customFormat="1" ht="15.75" x14ac:dyDescent="0.25">
      <c r="A16" s="332" t="s">
        <v>598</v>
      </c>
      <c r="B16" s="285" t="s">
        <v>65</v>
      </c>
      <c r="C16" s="481" t="s">
        <v>454</v>
      </c>
      <c r="D16" s="287"/>
      <c r="E16" s="549">
        <v>41737</v>
      </c>
      <c r="F16" s="625">
        <f t="shared" ca="1" si="0"/>
        <v>1323</v>
      </c>
      <c r="G16" s="626">
        <f t="shared" ca="1" si="1"/>
        <v>11.8125</v>
      </c>
      <c r="H16" s="545">
        <f>22-5</f>
        <v>17</v>
      </c>
      <c r="I16" s="545">
        <f>42-(7*6)</f>
        <v>0</v>
      </c>
      <c r="J16" s="287"/>
      <c r="K16" s="560"/>
      <c r="L16" s="559" t="s">
        <v>464</v>
      </c>
      <c r="M16" s="597" t="s">
        <v>471</v>
      </c>
      <c r="N16" s="559" t="s">
        <v>464</v>
      </c>
      <c r="O16" s="560"/>
      <c r="P16" s="559" t="s">
        <v>465</v>
      </c>
      <c r="Q16" s="559" t="s">
        <v>573</v>
      </c>
    </row>
    <row r="17" spans="1:17" s="288" customFormat="1" ht="15.75" x14ac:dyDescent="0.25">
      <c r="A17" s="416" t="s">
        <v>446</v>
      </c>
      <c r="B17" s="285" t="s">
        <v>65</v>
      </c>
      <c r="C17" s="481" t="s">
        <v>754</v>
      </c>
      <c r="D17" s="420" t="s">
        <v>308</v>
      </c>
      <c r="E17" s="549">
        <v>41747</v>
      </c>
      <c r="F17" s="625">
        <f t="shared" ca="1" si="0"/>
        <v>1313</v>
      </c>
      <c r="G17" s="626">
        <f t="shared" ca="1" si="1"/>
        <v>11.723214285714286</v>
      </c>
      <c r="H17" s="545">
        <f>22-5</f>
        <v>17</v>
      </c>
      <c r="I17" s="545">
        <v>57</v>
      </c>
      <c r="J17" s="420" t="s">
        <v>308</v>
      </c>
      <c r="K17" s="559"/>
      <c r="L17" s="559" t="s">
        <v>464</v>
      </c>
      <c r="M17" s="597" t="s">
        <v>471</v>
      </c>
      <c r="N17" s="559" t="s">
        <v>464</v>
      </c>
      <c r="O17" s="559"/>
      <c r="P17" s="559" t="s">
        <v>465</v>
      </c>
      <c r="Q17" s="559" t="s">
        <v>470</v>
      </c>
    </row>
    <row r="18" spans="1:17" s="289" customFormat="1" ht="14.25" customHeight="1" x14ac:dyDescent="0.25">
      <c r="A18" s="416" t="s">
        <v>449</v>
      </c>
      <c r="B18" s="416" t="s">
        <v>66</v>
      </c>
      <c r="C18" s="480" t="s">
        <v>600</v>
      </c>
      <c r="D18" s="420" t="s">
        <v>595</v>
      </c>
      <c r="E18" s="550">
        <v>41911</v>
      </c>
      <c r="F18" s="625">
        <f t="shared" ca="1" si="0"/>
        <v>1149</v>
      </c>
      <c r="G18" s="626">
        <f t="shared" ca="1" si="1"/>
        <v>10.258928571428571</v>
      </c>
      <c r="H18" s="348">
        <f>20-3</f>
        <v>17</v>
      </c>
      <c r="I18" s="348">
        <v>0</v>
      </c>
      <c r="J18" s="420" t="s">
        <v>595</v>
      </c>
      <c r="K18" s="560"/>
      <c r="L18" s="559" t="s">
        <v>465</v>
      </c>
      <c r="M18" s="599" t="s">
        <v>271</v>
      </c>
      <c r="N18" s="559" t="s">
        <v>464</v>
      </c>
      <c r="O18" s="559" t="s">
        <v>464</v>
      </c>
      <c r="P18" s="597" t="s">
        <v>471</v>
      </c>
      <c r="Q18" s="560"/>
    </row>
    <row r="19" spans="1:17" s="272" customFormat="1" ht="15.75" x14ac:dyDescent="0.25">
      <c r="A19" s="416" t="s">
        <v>633</v>
      </c>
      <c r="B19" s="416" t="s">
        <v>67</v>
      </c>
      <c r="C19" s="481" t="s">
        <v>634</v>
      </c>
      <c r="D19" s="287"/>
      <c r="E19" s="549">
        <v>41973</v>
      </c>
      <c r="F19" s="625">
        <f t="shared" ca="1" si="0"/>
        <v>1087</v>
      </c>
      <c r="G19" s="626">
        <f t="shared" ca="1" si="1"/>
        <v>9.7053571428571423</v>
      </c>
      <c r="H19" s="545">
        <f>20-3</f>
        <v>17</v>
      </c>
      <c r="I19" s="545">
        <v>0</v>
      </c>
      <c r="J19" s="287"/>
      <c r="K19" s="559"/>
      <c r="L19" s="559" t="s">
        <v>465</v>
      </c>
      <c r="M19" s="559" t="s">
        <v>470</v>
      </c>
      <c r="N19" s="559" t="s">
        <v>470</v>
      </c>
      <c r="O19" s="599" t="s">
        <v>271</v>
      </c>
      <c r="P19" s="559" t="s">
        <v>271</v>
      </c>
      <c r="Q19" s="558"/>
    </row>
    <row r="20" spans="1:17" s="289" customFormat="1" ht="15.75" x14ac:dyDescent="0.25">
      <c r="A20" s="331" t="s">
        <v>588</v>
      </c>
      <c r="B20" s="285" t="s">
        <v>2</v>
      </c>
      <c r="C20" s="481" t="s">
        <v>702</v>
      </c>
      <c r="D20" s="287"/>
      <c r="E20" s="549">
        <v>42106</v>
      </c>
      <c r="F20" s="625">
        <f t="shared" ca="1" si="0"/>
        <v>954</v>
      </c>
      <c r="G20" s="626">
        <f t="shared" ca="1" si="1"/>
        <v>8.5178571428571423</v>
      </c>
      <c r="H20" s="545">
        <v>18</v>
      </c>
      <c r="I20" s="545">
        <v>55</v>
      </c>
      <c r="J20" s="287"/>
      <c r="K20" s="558"/>
      <c r="L20" s="599" t="s">
        <v>271</v>
      </c>
      <c r="M20" s="600" t="s">
        <v>272</v>
      </c>
      <c r="N20" s="597" t="s">
        <v>471</v>
      </c>
      <c r="O20" s="559" t="s">
        <v>465</v>
      </c>
      <c r="P20" s="559" t="s">
        <v>470</v>
      </c>
      <c r="Q20" s="558" t="s">
        <v>465</v>
      </c>
    </row>
    <row r="21" spans="1:17" x14ac:dyDescent="0.25">
      <c r="D21" s="4"/>
      <c r="H21"/>
      <c r="J21" s="4"/>
      <c r="L21"/>
    </row>
    <row r="22" spans="1:17" x14ac:dyDescent="0.25">
      <c r="D22" s="541"/>
      <c r="H22"/>
      <c r="J22" s="541"/>
      <c r="L22"/>
    </row>
    <row r="23" spans="1:17" x14ac:dyDescent="0.25">
      <c r="D23" s="541"/>
      <c r="H23"/>
      <c r="J23" s="541"/>
      <c r="L23"/>
    </row>
    <row r="24" spans="1:17" s="284" customFormat="1" ht="15.75" x14ac:dyDescent="0.25">
      <c r="A24" s="416" t="s">
        <v>925</v>
      </c>
      <c r="B24" s="416" t="s">
        <v>67</v>
      </c>
      <c r="C24" s="418" t="s">
        <v>926</v>
      </c>
      <c r="D24" s="420" t="s">
        <v>595</v>
      </c>
      <c r="H24" s="545">
        <v>19</v>
      </c>
      <c r="I24" s="545">
        <v>0</v>
      </c>
      <c r="J24" s="420" t="s">
        <v>595</v>
      </c>
      <c r="K24" s="558"/>
      <c r="L24" s="559" t="s">
        <v>464</v>
      </c>
      <c r="M24" s="559" t="s">
        <v>470</v>
      </c>
      <c r="N24" s="599" t="s">
        <v>271</v>
      </c>
      <c r="O24" s="559" t="s">
        <v>464</v>
      </c>
      <c r="P24" s="599" t="s">
        <v>928</v>
      </c>
      <c r="Q24" s="558" t="s">
        <v>573</v>
      </c>
    </row>
    <row r="25" spans="1:17" s="272" customFormat="1" x14ac:dyDescent="0.25">
      <c r="A25" s="416" t="s">
        <v>774</v>
      </c>
      <c r="B25" s="285" t="s">
        <v>2</v>
      </c>
      <c r="C25" s="321" t="s">
        <v>314</v>
      </c>
      <c r="D25" s="287"/>
      <c r="E25" s="547"/>
      <c r="F25" s="544"/>
      <c r="G25" s="543"/>
      <c r="H25" s="544"/>
      <c r="I25" s="544"/>
      <c r="J25" s="287"/>
      <c r="K25" s="552"/>
      <c r="L25" s="552"/>
      <c r="M25" s="552"/>
      <c r="N25" s="552"/>
      <c r="O25" s="552"/>
      <c r="P25" s="552"/>
      <c r="Q25" s="552"/>
    </row>
    <row r="26" spans="1:17" s="265" customFormat="1" x14ac:dyDescent="0.25">
      <c r="A26" s="416" t="s">
        <v>718</v>
      </c>
      <c r="B26" s="416" t="s">
        <v>2</v>
      </c>
      <c r="C26" s="321" t="s">
        <v>711</v>
      </c>
      <c r="D26" s="287"/>
      <c r="E26" s="544"/>
      <c r="F26" s="544"/>
      <c r="G26" s="544"/>
      <c r="H26" s="544"/>
      <c r="I26" s="544"/>
      <c r="J26" s="287"/>
      <c r="K26" s="553"/>
      <c r="L26" s="553"/>
      <c r="M26" s="553"/>
      <c r="N26" s="553"/>
      <c r="O26" s="553"/>
      <c r="P26" s="553"/>
      <c r="Q26" s="553"/>
    </row>
    <row r="27" spans="1:17" s="284" customFormat="1" x14ac:dyDescent="0.25">
      <c r="A27" s="332" t="s">
        <v>773</v>
      </c>
      <c r="B27" s="285" t="s">
        <v>65</v>
      </c>
      <c r="C27" s="321" t="s">
        <v>765</v>
      </c>
      <c r="D27" s="420" t="s">
        <v>595</v>
      </c>
      <c r="E27" s="545"/>
      <c r="F27" s="545"/>
      <c r="G27" s="545"/>
      <c r="H27" s="545"/>
      <c r="I27" s="545"/>
      <c r="J27" s="420" t="s">
        <v>595</v>
      </c>
      <c r="K27" s="552"/>
      <c r="L27" s="552"/>
      <c r="M27" s="552"/>
      <c r="N27" s="552"/>
      <c r="O27" s="552"/>
      <c r="P27" s="552"/>
      <c r="Q27" s="552"/>
    </row>
    <row r="28" spans="1:17" s="288" customFormat="1" x14ac:dyDescent="0.25">
      <c r="A28" s="331" t="s">
        <v>719</v>
      </c>
      <c r="B28" s="285" t="s">
        <v>65</v>
      </c>
      <c r="C28" s="321" t="s">
        <v>441</v>
      </c>
      <c r="D28" s="287" t="s">
        <v>311</v>
      </c>
      <c r="E28" s="348"/>
      <c r="F28" s="348"/>
      <c r="G28" s="348"/>
      <c r="H28" s="348"/>
      <c r="I28" s="348"/>
      <c r="J28" s="287" t="s">
        <v>311</v>
      </c>
      <c r="K28" s="551"/>
      <c r="L28" s="551"/>
      <c r="M28" s="551"/>
      <c r="N28" s="551"/>
      <c r="O28" s="551"/>
      <c r="P28" s="551"/>
      <c r="Q28" s="551"/>
    </row>
    <row r="29" spans="1:17" s="284" customFormat="1" x14ac:dyDescent="0.25">
      <c r="A29" s="416" t="s">
        <v>853</v>
      </c>
      <c r="B29" s="416" t="s">
        <v>67</v>
      </c>
      <c r="C29" s="418" t="s">
        <v>852</v>
      </c>
      <c r="D29" s="420" t="s">
        <v>336</v>
      </c>
      <c r="E29" s="545"/>
      <c r="F29" s="545"/>
      <c r="G29" s="545"/>
      <c r="H29" s="545"/>
      <c r="I29" s="545"/>
      <c r="J29" s="420" t="s">
        <v>336</v>
      </c>
      <c r="K29" s="552"/>
      <c r="L29" s="552"/>
      <c r="M29" s="552"/>
      <c r="N29" s="552"/>
      <c r="O29" s="552"/>
      <c r="P29" s="552"/>
      <c r="Q29" s="552"/>
    </row>
    <row r="30" spans="1:17" x14ac:dyDescent="0.25">
      <c r="D30" s="541"/>
      <c r="H30"/>
      <c r="J30" s="541"/>
      <c r="L30"/>
    </row>
    <row r="31" spans="1:17" x14ac:dyDescent="0.25">
      <c r="C31" s="178"/>
      <c r="D31" s="541"/>
      <c r="H31"/>
      <c r="J31" s="541"/>
      <c r="L31"/>
    </row>
    <row r="32" spans="1:17" x14ac:dyDescent="0.25">
      <c r="C32" s="178"/>
      <c r="D32" s="541"/>
      <c r="H32"/>
      <c r="J32" s="541"/>
      <c r="L32"/>
    </row>
    <row r="33" spans="3:17" x14ac:dyDescent="0.25">
      <c r="C33" s="537"/>
      <c r="D33" s="541"/>
      <c r="H33"/>
      <c r="J33" s="541"/>
      <c r="K33" s="519">
        <v>0</v>
      </c>
      <c r="L33" s="520">
        <v>4</v>
      </c>
      <c r="M33" s="519">
        <v>3</v>
      </c>
      <c r="N33" s="520">
        <v>6</v>
      </c>
      <c r="O33" s="519">
        <v>4</v>
      </c>
      <c r="P33" s="520">
        <v>6.8</v>
      </c>
      <c r="Q33" s="519">
        <v>1</v>
      </c>
    </row>
    <row r="34" spans="3:17" x14ac:dyDescent="0.25">
      <c r="C34" s="538"/>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386"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83"/>
  <sheetViews>
    <sheetView workbookViewId="0">
      <pane xSplit="16" ySplit="2" topLeftCell="Q12" activePane="bottomRight" state="frozen"/>
      <selection pane="topRight" activeCell="R1" sqref="R1"/>
      <selection pane="bottomLeft" activeCell="A3" sqref="A3"/>
      <selection pane="bottomRight" activeCell="G26" sqref="G26"/>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66"/>
      <c r="V1" t="s">
        <v>824</v>
      </c>
      <c r="Y1" t="s">
        <v>825</v>
      </c>
      <c r="AC1" t="s">
        <v>826</v>
      </c>
      <c r="AG1" s="4" t="s">
        <v>827</v>
      </c>
      <c r="AK1" t="s">
        <v>828</v>
      </c>
      <c r="AO1" t="s">
        <v>823</v>
      </c>
      <c r="AV1" t="s">
        <v>829</v>
      </c>
      <c r="BC1" t="s">
        <v>596</v>
      </c>
      <c r="BH1" t="s">
        <v>830</v>
      </c>
      <c r="BM1" t="s">
        <v>772</v>
      </c>
      <c r="BR1" t="s">
        <v>972</v>
      </c>
      <c r="BW1" t="s">
        <v>766</v>
      </c>
      <c r="CB1" t="s">
        <v>738</v>
      </c>
      <c r="CF1" t="s">
        <v>67</v>
      </c>
    </row>
    <row r="2" spans="1:87" x14ac:dyDescent="0.25">
      <c r="A2" s="522" t="s">
        <v>182</v>
      </c>
      <c r="B2" s="522" t="s">
        <v>1019</v>
      </c>
      <c r="C2" s="522" t="s">
        <v>831</v>
      </c>
      <c r="D2" s="522" t="s">
        <v>63</v>
      </c>
      <c r="E2" s="523" t="s">
        <v>832</v>
      </c>
      <c r="F2" s="522" t="s">
        <v>833</v>
      </c>
      <c r="G2" s="525" t="s">
        <v>837</v>
      </c>
      <c r="H2" s="526" t="s">
        <v>838</v>
      </c>
      <c r="I2" s="526" t="s">
        <v>1021</v>
      </c>
      <c r="J2" s="526" t="s">
        <v>1</v>
      </c>
      <c r="K2" s="526" t="s">
        <v>2</v>
      </c>
      <c r="L2" s="526" t="s">
        <v>839</v>
      </c>
      <c r="M2" s="526" t="s">
        <v>66</v>
      </c>
      <c r="N2" s="526" t="s">
        <v>713</v>
      </c>
      <c r="O2" s="526" t="s">
        <v>840</v>
      </c>
      <c r="P2" s="526" t="s">
        <v>0</v>
      </c>
      <c r="Q2" s="527" t="s">
        <v>700</v>
      </c>
      <c r="R2" s="527" t="s">
        <v>994</v>
      </c>
      <c r="S2" s="527" t="s">
        <v>841</v>
      </c>
      <c r="T2" s="527" t="s">
        <v>842</v>
      </c>
      <c r="U2" s="527" t="s">
        <v>723</v>
      </c>
      <c r="V2" s="528" t="s">
        <v>843</v>
      </c>
      <c r="W2" s="528" t="s">
        <v>844</v>
      </c>
      <c r="X2" s="528" t="s">
        <v>843</v>
      </c>
      <c r="Y2" s="529" t="s">
        <v>843</v>
      </c>
      <c r="Z2" s="529" t="s">
        <v>844</v>
      </c>
      <c r="AA2" s="529" t="s">
        <v>843</v>
      </c>
      <c r="AB2" s="529" t="s">
        <v>65</v>
      </c>
      <c r="AC2" s="529" t="s">
        <v>843</v>
      </c>
      <c r="AD2" s="529" t="s">
        <v>844</v>
      </c>
      <c r="AE2" s="529" t="s">
        <v>843</v>
      </c>
      <c r="AF2" s="529" t="s">
        <v>65</v>
      </c>
      <c r="AG2" s="528" t="s">
        <v>843</v>
      </c>
      <c r="AH2" s="528" t="s">
        <v>844</v>
      </c>
      <c r="AI2" s="528" t="s">
        <v>65</v>
      </c>
      <c r="AJ2" s="528" t="s">
        <v>845</v>
      </c>
      <c r="AK2" s="528" t="s">
        <v>843</v>
      </c>
      <c r="AL2" s="528" t="s">
        <v>844</v>
      </c>
      <c r="AM2" s="528" t="s">
        <v>65</v>
      </c>
      <c r="AN2" s="528" t="s">
        <v>845</v>
      </c>
      <c r="AO2" s="528" t="s">
        <v>843</v>
      </c>
      <c r="AP2" s="528" t="s">
        <v>844</v>
      </c>
      <c r="AQ2" s="528" t="s">
        <v>843</v>
      </c>
      <c r="AR2" s="528" t="s">
        <v>65</v>
      </c>
      <c r="AS2" s="528" t="s">
        <v>845</v>
      </c>
      <c r="AT2" s="528" t="s">
        <v>846</v>
      </c>
      <c r="AU2" s="528" t="s">
        <v>845</v>
      </c>
      <c r="AV2" s="528" t="s">
        <v>843</v>
      </c>
      <c r="AW2" s="528" t="s">
        <v>844</v>
      </c>
      <c r="AX2" s="528" t="s">
        <v>843</v>
      </c>
      <c r="AY2" s="528" t="s">
        <v>65</v>
      </c>
      <c r="AZ2" s="528" t="s">
        <v>845</v>
      </c>
      <c r="BA2" s="528" t="s">
        <v>846</v>
      </c>
      <c r="BB2" s="528" t="s">
        <v>845</v>
      </c>
      <c r="BC2" s="529" t="s">
        <v>843</v>
      </c>
      <c r="BD2" s="529" t="s">
        <v>844</v>
      </c>
      <c r="BE2" s="529" t="s">
        <v>65</v>
      </c>
      <c r="BF2" s="529" t="s">
        <v>845</v>
      </c>
      <c r="BG2" s="529" t="s">
        <v>846</v>
      </c>
      <c r="BH2" s="529" t="s">
        <v>843</v>
      </c>
      <c r="BI2" s="529" t="s">
        <v>844</v>
      </c>
      <c r="BJ2" s="529" t="s">
        <v>65</v>
      </c>
      <c r="BK2" s="529" t="s">
        <v>845</v>
      </c>
      <c r="BL2" s="529" t="s">
        <v>846</v>
      </c>
      <c r="BM2" s="528" t="s">
        <v>843</v>
      </c>
      <c r="BN2" s="528" t="s">
        <v>844</v>
      </c>
      <c r="BO2" s="528" t="s">
        <v>65</v>
      </c>
      <c r="BP2" s="528" t="s">
        <v>845</v>
      </c>
      <c r="BQ2" s="528" t="s">
        <v>846</v>
      </c>
      <c r="BR2" s="528" t="s">
        <v>843</v>
      </c>
      <c r="BS2" s="528" t="s">
        <v>844</v>
      </c>
      <c r="BT2" s="528" t="s">
        <v>65</v>
      </c>
      <c r="BU2" s="528" t="s">
        <v>845</v>
      </c>
      <c r="BV2" s="528" t="s">
        <v>846</v>
      </c>
      <c r="BW2" s="528" t="s">
        <v>843</v>
      </c>
      <c r="BX2" s="528" t="s">
        <v>844</v>
      </c>
      <c r="BY2" s="528" t="s">
        <v>65</v>
      </c>
      <c r="BZ2" s="528" t="s">
        <v>845</v>
      </c>
      <c r="CA2" s="528" t="s">
        <v>846</v>
      </c>
      <c r="CB2" s="529" t="s">
        <v>65</v>
      </c>
      <c r="CC2" s="529" t="s">
        <v>845</v>
      </c>
      <c r="CD2" s="529" t="s">
        <v>846</v>
      </c>
      <c r="CE2" s="529" t="s">
        <v>845</v>
      </c>
      <c r="CF2" s="528" t="s">
        <v>845</v>
      </c>
      <c r="CG2" s="528" t="s">
        <v>846</v>
      </c>
      <c r="CH2" s="528" t="s">
        <v>845</v>
      </c>
      <c r="CI2" s="528" t="s">
        <v>65</v>
      </c>
    </row>
    <row r="3" spans="1:87" x14ac:dyDescent="0.25">
      <c r="A3" t="str">
        <f>PLANTILLA!D5</f>
        <v>D. Gehmacher</v>
      </c>
      <c r="C3" s="666">
        <f>PLANTILLA!E5</f>
        <v>29</v>
      </c>
      <c r="D3" s="371">
        <f ca="1">PLANTILLA!F5</f>
        <v>94</v>
      </c>
      <c r="E3" s="666"/>
      <c r="F3" s="317">
        <v>42468</v>
      </c>
      <c r="G3" s="530">
        <v>1</v>
      </c>
      <c r="H3" s="531">
        <f>PLANTILLA!I5</f>
        <v>18</v>
      </c>
      <c r="I3" s="531"/>
      <c r="J3" s="163">
        <f>PLANTILLA!V5</f>
        <v>16.666666666666668</v>
      </c>
      <c r="K3" s="163">
        <f>PLANTILLA!W5</f>
        <v>11.832727272727276</v>
      </c>
      <c r="L3" s="163">
        <f>PLANTILLA!X5</f>
        <v>2.0199999999999996</v>
      </c>
      <c r="M3" s="163">
        <f>PLANTILLA!Y5</f>
        <v>2.1199999999999992</v>
      </c>
      <c r="N3" s="163">
        <f>PLANTILLA!Z5</f>
        <v>1.0400000000000003</v>
      </c>
      <c r="O3" s="163">
        <f>PLANTILLA!AA5</f>
        <v>0.14055555555555557</v>
      </c>
      <c r="P3" s="163">
        <f>PLANTILLA!AB5</f>
        <v>17.849999999999998</v>
      </c>
      <c r="Q3" s="163">
        <f>((2*(N3+1))+(K3+1))/8</f>
        <v>2.1140909090909092</v>
      </c>
      <c r="R3" s="163">
        <f>1.66*(O3+(LOG(H3)*4/3)+G3)+0.55*(P3+(LOG(H3)*4/3)+G3)-7.6</f>
        <v>8.3596918705932968</v>
      </c>
      <c r="S3" s="163">
        <f>(0.5*O3+ 0.3*P3)/10</f>
        <v>0.54252777777777772</v>
      </c>
      <c r="T3" s="163">
        <f>(0.4*K3+0.3*P3)/10</f>
        <v>1.008809090909091</v>
      </c>
      <c r="U3" s="163">
        <f t="shared" ref="U3:U21" ca="1" si="0">IF(TODAY()-F3&gt;335,(P3+1+(LOG(H3)*4/3)),(P3+((TODAY()-F3)^0.5)/(336^0.5)+(LOG(H3)*4/3)))</f>
        <v>20.523696673471072</v>
      </c>
      <c r="V3" s="159">
        <f t="shared" ref="V3:V21" si="1">((J3+G3+(LOG(H3)*4/3))*0.597)+((K3+G3+(LOG(H3)*4/3))*0.276)</f>
        <v>15.549969923212977</v>
      </c>
      <c r="W3" s="159">
        <f t="shared" ref="W3:W21" si="2">((J3+G3+(LOG(H3)*4/3))*0.866)+((K3+G3+(LOG(H3)*4/3))*0.425)</f>
        <v>22.913984829693582</v>
      </c>
      <c r="X3" s="159">
        <f>V3</f>
        <v>15.549969923212977</v>
      </c>
      <c r="Y3" s="159">
        <f t="shared" ref="Y3:Y21" si="3">((K3+G3+(LOG(H3)*4/3))*0.516)</f>
        <v>7.4853147562383491</v>
      </c>
      <c r="Z3" s="159">
        <f t="shared" ref="Z3:Z21" si="4">(K3+G3+(LOG(H3)*4/3))*1</f>
        <v>14.50642394619835</v>
      </c>
      <c r="AA3" s="159">
        <f>Y3/2</f>
        <v>3.7426573781191745</v>
      </c>
      <c r="AB3" s="159">
        <f t="shared" ref="AB3:AB21" si="5">(L3+G3+(LOG(H3)*4/3))*0.238</f>
        <v>1.1170998082861157</v>
      </c>
      <c r="AC3" s="159">
        <f t="shared" ref="AC3:AC21" si="6">((K3+G3+(LOG(H3)*4/3))*0.378)</f>
        <v>5.4834282516629766</v>
      </c>
      <c r="AD3" s="159">
        <f t="shared" ref="AD3:AD21" si="7">(K3+G3+(LOG(H3)*4/3))*0.723</f>
        <v>10.488144513101407</v>
      </c>
      <c r="AE3" s="159">
        <f>AC3/2</f>
        <v>2.7417141258314883</v>
      </c>
      <c r="AF3" s="159">
        <f t="shared" ref="AF3:AF21" si="8">(L3+G3+(LOG(H3)*4/3))*0.385</f>
        <v>1.8070732192863637</v>
      </c>
      <c r="AG3" s="387">
        <f t="shared" ref="AG3:AG21" si="9">((K3+G3+(LOG(H3)*4/3))*0.92)</f>
        <v>13.345910030502482</v>
      </c>
      <c r="AH3" s="159">
        <f t="shared" ref="AH3:AH21" si="10">(K3+G3+(LOG(H3)*4/3))*0.414</f>
        <v>6.0056595137261164</v>
      </c>
      <c r="AI3" s="159">
        <f t="shared" ref="AI3:AI21" si="11">((L3+G3+(LOG(H3)*4/3))*0.167)</f>
        <v>0.78384734446966953</v>
      </c>
      <c r="AJ3" s="387">
        <f t="shared" ref="AJ3:AJ21" si="12">(M3+G3+(LOG(H3)*4/3))*0.588</f>
        <v>2.8186936440009913</v>
      </c>
      <c r="AK3" s="159">
        <f t="shared" ref="AK3:AK21" si="13">((K3+G3+(LOG(H3)*4/3))*0.754)</f>
        <v>10.937843655433555</v>
      </c>
      <c r="AL3" s="159">
        <f t="shared" ref="AL3:AL21" si="14">((K3+G3+(LOG(H3)*4/3))*0.708)</f>
        <v>10.270548153908431</v>
      </c>
      <c r="AM3" s="159">
        <f t="shared" ref="AM3:AM21" si="15">((P3+G3+(LOG(H3)*4/3))*0.167)</f>
        <v>3.4274573444696692</v>
      </c>
      <c r="AN3" s="159">
        <f t="shared" ref="AN3:AN21" si="16">((Q3+G3+(LOG(H3)*4/3))*0.288)</f>
        <v>1.3788828237778514</v>
      </c>
      <c r="AO3" s="159">
        <f t="shared" ref="AO3:AO21" si="17">((K3+G3+(LOG(H3)*4/3))*0.27)</f>
        <v>3.9167344654735547</v>
      </c>
      <c r="AP3" s="159">
        <f t="shared" ref="AP3:AP21" si="18">((K3+G3+(LOG(H3)*4/3))*0.594)</f>
        <v>8.6168158240418187</v>
      </c>
      <c r="AQ3" s="159">
        <f>AO3/2</f>
        <v>1.9583672327367774</v>
      </c>
      <c r="AR3" s="159">
        <f t="shared" ref="AR3:AR21" si="19">((L3+G3+(LOG(H3)*4/3))*0.944)</f>
        <v>4.430849659756694</v>
      </c>
      <c r="AS3" s="159">
        <f t="shared" ref="AS3:AS21" si="20">((N3+G3+(LOG(H3)*4/3))*0.13)</f>
        <v>0.48278056755123977</v>
      </c>
      <c r="AT3" s="159">
        <f t="shared" ref="AT3:AT21" si="21">((O3+G3+(LOG(H3)*4/3))*0.173)+((N3+G3+(LOG(H3)*4/3))*0.12)</f>
        <v>0.93250923643813599</v>
      </c>
      <c r="AU3" s="159">
        <f>AS3/2</f>
        <v>0.24139028377561988</v>
      </c>
      <c r="AV3" s="159">
        <f t="shared" ref="AV3:AV21" si="22">((K3+G3+(LOG(H3)*4/3))*0.189)</f>
        <v>2.7417141258314883</v>
      </c>
      <c r="AW3" s="159">
        <f t="shared" ref="AW3:AW21" si="23">((K3+G3+(LOG(H3)*4/3))*0.4)</f>
        <v>5.8025695784793401</v>
      </c>
      <c r="AX3" s="159">
        <f>AV3/2</f>
        <v>1.3708570629157442</v>
      </c>
      <c r="AY3" s="159">
        <f t="shared" ref="AY3:AY21" si="24">((L3+G3+(LOG(H3)*4/3))*1)</f>
        <v>4.6936966734710746</v>
      </c>
      <c r="AZ3" s="159">
        <f t="shared" ref="AZ3:AZ21" si="25">((N3+G3+(LOG(H3)*4/3))*0.253)</f>
        <v>0.93956525838818195</v>
      </c>
      <c r="BA3" s="159">
        <f t="shared" ref="BA3:BA21" si="26">((O3+G3+(LOG(H3)*4/3))*0.21)+((N3+G3+(LOG(H3)*4/3))*0.341)</f>
        <v>1.8573635337492289</v>
      </c>
      <c r="BB3" s="159">
        <f>AZ3/2</f>
        <v>0.46978262919409097</v>
      </c>
      <c r="BC3" s="159">
        <f t="shared" ref="BC3:BC21" si="27">((K3+G3+(LOG(H3)*4/3))*0.291)</f>
        <v>4.2213693683437192</v>
      </c>
      <c r="BD3" s="159">
        <f t="shared" ref="BD3:BD21" si="28">((K3+G3+(LOG(H3)*4/3))*0.348)</f>
        <v>5.0482355332770252</v>
      </c>
      <c r="BE3" s="159">
        <f t="shared" ref="BE3:BE21" si="29">((L3+G3+(LOG(H3)*4/3))*0.881)</f>
        <v>4.1351467693280171</v>
      </c>
      <c r="BF3" s="159">
        <f t="shared" ref="BF3:BF21" si="30">((M3+G3+(LOG(H3)*4/3))*0.574)+((N3+G3+(LOG(H3)*4/3))*0.315)</f>
        <v>3.9213963427157852</v>
      </c>
      <c r="BG3" s="159">
        <f t="shared" ref="BG3:BG21" si="31">((N3+G3+(LOG(H3)*4/3))*0.241)</f>
        <v>0.89500089830652907</v>
      </c>
      <c r="BH3" s="159">
        <f t="shared" ref="BH3:BH21" si="32">((K3+G3+(LOG(H3)*4/3))*0.485)</f>
        <v>7.0356156139061996</v>
      </c>
      <c r="BI3" s="159">
        <f t="shared" ref="BI3:BI21" si="33">((K3+G3+(LOG(H3)*4/3))*0.264)</f>
        <v>3.8296959217963646</v>
      </c>
      <c r="BJ3" s="159">
        <f t="shared" ref="BJ3:BJ21" si="34">((L3+G3+(LOG(H3)*4/3))*0.381)</f>
        <v>1.7882984325924793</v>
      </c>
      <c r="BK3" s="159">
        <f t="shared" ref="BK3:BK21" si="35">((M3+G3+(LOG(H3)*4/3))*0.673)+((N3+G3+(LOG(H3)*4/3))*0.201)</f>
        <v>3.9726108926137194</v>
      </c>
      <c r="BL3" s="159">
        <f t="shared" ref="BL3:BL21" si="36">((N3+G3+(LOG(H3)*4/3))*0.052)</f>
        <v>0.19311222702049588</v>
      </c>
      <c r="BM3" s="159">
        <f t="shared" ref="BM3:BM21" si="37">((K3+G3+(LOG(H3)*4/3))*0.18)</f>
        <v>2.6111563103157027</v>
      </c>
      <c r="BN3" s="159">
        <f t="shared" ref="BN3:BN21" si="38">(K3+G3+(LOG(H3)*4/3))*0.068</f>
        <v>0.98643682834148783</v>
      </c>
      <c r="BO3" s="159">
        <f t="shared" ref="BO3:BO21" si="39">((L3+G3+(LOG(H3)*4/3))*0.305)</f>
        <v>1.4315774854086778</v>
      </c>
      <c r="BP3" s="159">
        <f t="shared" ref="BP3:BP21" si="40">((M3+G3+(LOG(H3)*4/3))*1)+((N3+G3+(LOG(H3)*4/3))*0.286)</f>
        <v>5.8558139220838017</v>
      </c>
      <c r="BQ3" s="159">
        <f t="shared" ref="BQ3:BQ21" si="41">((N3+G3+(LOG(H3)*4/3))*0.135)</f>
        <v>0.50134905091859516</v>
      </c>
      <c r="BR3" s="159">
        <f t="shared" ref="BR3:BR21" si="42">((K3+G3+(LOG(H3)*4/3))*0.284)</f>
        <v>4.1198244007203311</v>
      </c>
      <c r="BS3" s="159">
        <f t="shared" ref="BS3:BS21" si="43">(K3+G3+(LOG(H3)*4/3))*0.244</f>
        <v>3.5395674428723973</v>
      </c>
      <c r="BT3" s="159">
        <f t="shared" ref="BT3:BT21" si="44">((L3+G3+(LOG(H3)*4/3))*0.455)</f>
        <v>2.1356319864293392</v>
      </c>
      <c r="BU3" s="159">
        <f t="shared" ref="BU3:BU21" si="45">((M3+G3+(LOG(H3)*4/3))*0.864)+((N3+G3+(LOG(H3)*4/3))*0.244)</f>
        <v>5.0478959142059496</v>
      </c>
      <c r="BV3" s="159">
        <f t="shared" ref="BV3:BV21" si="46">((N3+G3+(LOG(H3)*4/3))*0.121)</f>
        <v>0.44935729749000008</v>
      </c>
      <c r="BW3" s="159">
        <f t="shared" ref="BW3:BW21" si="47">((K3+G3+(LOG(H3)*4/3))*0.284)</f>
        <v>4.1198244007203311</v>
      </c>
      <c r="BX3" s="159">
        <f t="shared" ref="BX3:BX21" si="48">((K3+G3+(LOG(H3)*4/3))*0.244)</f>
        <v>3.5395674428723973</v>
      </c>
      <c r="BY3" s="159">
        <f t="shared" ref="BY3:BY21" si="49">((L3+G3+(LOG(H3)*4/3))*0.631)</f>
        <v>2.9617226009602482</v>
      </c>
      <c r="BZ3" s="159">
        <f t="shared" ref="BZ3:BZ21" si="50">((M3+G3+(LOG(H3)*4/3))*0.702)+((N3+G3+(LOG(H3)*4/3))*0.193)</f>
        <v>4.0819185227566113</v>
      </c>
      <c r="CA3" s="159">
        <f t="shared" ref="CA3:CA21" si="51">((N3+G3+(LOG(H3)*4/3))*0.148)</f>
        <v>0.54962710767371903</v>
      </c>
      <c r="CB3" s="159">
        <f t="shared" ref="CB3:CB21" si="52">((L3+G3+(LOG(H3)*4/3))*0.406)</f>
        <v>1.9056408494292565</v>
      </c>
      <c r="CC3" s="159">
        <f t="shared" ref="CC3:CC21" si="53">IF(E3="TEC",((M3+G3+(LOG(H3)*4/3))*0.15)+((N3+G3+(LOG(H3)*4/3))*0.324)+((O3+G3+(LOG(H3)*4/3))*0.127),(((M3+G3+(LOG(H3)*4/3))*0.144)+((N3+G3+(LOG(H3)*4/3))*0.25)+((O3+G3+(LOG(H3)*4/3))*0.127)))</f>
        <v>1.9761265224339855</v>
      </c>
      <c r="CD3" s="159">
        <f t="shared" ref="CD3:CD21" si="54">((N3+G3+(LOG(H3)*4/3))*0.543)+((O3+G3+(LOG(H3)*4/3))*0.583)</f>
        <v>3.6572463432173192</v>
      </c>
      <c r="CE3" s="159">
        <f>CC3</f>
        <v>1.9761265224339855</v>
      </c>
      <c r="CF3" s="159">
        <f t="shared" ref="CF3:CF21" si="55">((O3+1+(LOG(H3)*4/3))*0.26)+((M3+G3+(LOG(H3)*4/3))*0.221)+((N3+G3+(LOG(H3)*4/3))*0.142)</f>
        <v>2.3184574720169238</v>
      </c>
      <c r="CG3" s="159">
        <f t="shared" ref="CG3:CG21" si="56">((O3+G3+(LOG(H3)*4/3))*1)+((N3+G3+(LOG(H3)*4/3))*0.369)</f>
        <v>4.1846063015374568</v>
      </c>
      <c r="CH3" s="159">
        <f>CF3</f>
        <v>2.3184574720169238</v>
      </c>
      <c r="CI3" s="159">
        <f>((L3+G3+(LOG(H3)*4/3))*0.25)</f>
        <v>1.1734241683677686</v>
      </c>
    </row>
    <row r="4" spans="1:87" x14ac:dyDescent="0.25">
      <c r="A4" t="str">
        <f>PLANTILLA!D6</f>
        <v>T. Hammond</v>
      </c>
      <c r="B4" t="s">
        <v>1020</v>
      </c>
      <c r="C4" s="666">
        <f>PLANTILLA!E6</f>
        <v>33</v>
      </c>
      <c r="D4" s="666">
        <f ca="1">PLANTILLA!F6</f>
        <v>103</v>
      </c>
      <c r="E4" s="666" t="str">
        <f>PLANTILLA!G6</f>
        <v>CAB</v>
      </c>
      <c r="F4" s="317">
        <v>41400</v>
      </c>
      <c r="G4" s="530">
        <v>1.5</v>
      </c>
      <c r="H4" s="531">
        <f>PLANTILLA!I6</f>
        <v>7.8</v>
      </c>
      <c r="I4" s="531"/>
      <c r="J4" s="163">
        <f>PLANTILLA!V6</f>
        <v>10.3</v>
      </c>
      <c r="K4" s="163">
        <f>PLANTILLA!W6</f>
        <v>10.794999999999998</v>
      </c>
      <c r="L4" s="163">
        <f>PLANTILLA!X6</f>
        <v>4.6100000000000012</v>
      </c>
      <c r="M4" s="163">
        <f>PLANTILLA!Y6</f>
        <v>4.99</v>
      </c>
      <c r="N4" s="163">
        <f>PLANTILLA!Z6</f>
        <v>6.5444444444444434</v>
      </c>
      <c r="O4" s="163">
        <f>PLANTILLA!AA6</f>
        <v>3.99</v>
      </c>
      <c r="P4" s="163">
        <f>PLANTILLA!AB6</f>
        <v>15.778888888888888</v>
      </c>
      <c r="Q4" s="163">
        <f t="shared" ref="Q4:Q21" si="57">((2*(N4+1))+(K4+1))/8</f>
        <v>3.3604861111111104</v>
      </c>
      <c r="R4" s="163">
        <f t="shared" ref="R4:R21" si="58">1.66*(O4+(LOG(H4)*4/3)+G4)+0.55*(P4+(LOG(H4)*4/3)+G4)-7.6</f>
        <v>13.645494318150172</v>
      </c>
      <c r="S4" s="163">
        <f t="shared" ref="S4:S21" si="59">(0.5*O4+ 0.3*P4)/10</f>
        <v>0.67286666666666661</v>
      </c>
      <c r="T4" s="163">
        <f t="shared" ref="T4:T21" si="60">(0.4*K4+0.3*P4)/10</f>
        <v>0.90516666666666656</v>
      </c>
      <c r="U4" s="163">
        <f t="shared" ca="1" si="0"/>
        <v>17.968348359142858</v>
      </c>
      <c r="V4" s="159">
        <f t="shared" si="1"/>
        <v>11.476418117531718</v>
      </c>
      <c r="W4" s="159">
        <f t="shared" si="2"/>
        <v>16.97976717609788</v>
      </c>
      <c r="X4" s="159">
        <f t="shared" ref="X4:X21" si="61">V4</f>
        <v>11.476418117531718</v>
      </c>
      <c r="Y4" s="159">
        <f t="shared" si="3"/>
        <v>6.9579810866510501</v>
      </c>
      <c r="Z4" s="159">
        <f t="shared" si="4"/>
        <v>13.484459470253972</v>
      </c>
      <c r="AA4" s="159">
        <f t="shared" ref="AA4:AA21" si="62">Y4/2</f>
        <v>3.478990543325525</v>
      </c>
      <c r="AB4" s="159">
        <f t="shared" si="5"/>
        <v>1.7372713539204461</v>
      </c>
      <c r="AC4" s="159">
        <f t="shared" si="6"/>
        <v>5.0971256797560018</v>
      </c>
      <c r="AD4" s="159">
        <f t="shared" si="7"/>
        <v>9.7492641969936216</v>
      </c>
      <c r="AE4" s="159">
        <f t="shared" ref="AE4:AE21" si="63">AC4/2</f>
        <v>2.5485628398780009</v>
      </c>
      <c r="AF4" s="159">
        <f t="shared" si="8"/>
        <v>2.8102918960477803</v>
      </c>
      <c r="AG4" s="387">
        <f t="shared" si="9"/>
        <v>12.405702712633655</v>
      </c>
      <c r="AH4" s="159">
        <f t="shared" si="10"/>
        <v>5.5825662206851439</v>
      </c>
      <c r="AI4" s="159">
        <f t="shared" si="11"/>
        <v>1.219009731532414</v>
      </c>
      <c r="AJ4" s="387">
        <f t="shared" si="12"/>
        <v>4.5155221685093361</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1" si="64">AO4/2</f>
        <v>1.8204020284842863</v>
      </c>
      <c r="AR4" s="159">
        <f t="shared" si="19"/>
        <v>6.8906897399197522</v>
      </c>
      <c r="AS4" s="159">
        <f t="shared" si="20"/>
        <v>1.2004075089107944</v>
      </c>
      <c r="AT4" s="159">
        <f t="shared" si="21"/>
        <v>2.2636149581177474</v>
      </c>
      <c r="AU4" s="159">
        <f t="shared" ref="AU4:AU21" si="65">AS4/2</f>
        <v>0.6002037544553972</v>
      </c>
      <c r="AV4" s="159">
        <f t="shared" si="22"/>
        <v>2.5485628398780009</v>
      </c>
      <c r="AW4" s="159">
        <f t="shared" si="23"/>
        <v>5.3937837881015893</v>
      </c>
      <c r="AX4" s="159">
        <f t="shared" ref="AX4:AX21" si="66">AV4/2</f>
        <v>1.2742814199390005</v>
      </c>
      <c r="AY4" s="159">
        <f t="shared" si="24"/>
        <v>7.299459470253975</v>
      </c>
      <c r="AZ4" s="159">
        <f t="shared" si="25"/>
        <v>2.3361776904186997</v>
      </c>
      <c r="BA4" s="159">
        <f t="shared" si="26"/>
        <v>4.5514477236654951</v>
      </c>
      <c r="BB4" s="159">
        <f t="shared" ref="BB4:BB21" si="67">AZ4/2</f>
        <v>1.1680888452093499</v>
      </c>
      <c r="BC4" s="159">
        <f t="shared" si="27"/>
        <v>3.9239777058439054</v>
      </c>
      <c r="BD4" s="159">
        <f t="shared" si="28"/>
        <v>4.6925918956483823</v>
      </c>
      <c r="BE4" s="159">
        <f t="shared" si="29"/>
        <v>6.4308237932937518</v>
      </c>
      <c r="BF4" s="159">
        <f t="shared" si="30"/>
        <v>7.3166894690557829</v>
      </c>
      <c r="BG4" s="159">
        <f t="shared" si="31"/>
        <v>2.2253708434423185</v>
      </c>
      <c r="BH4" s="159">
        <f t="shared" si="32"/>
        <v>6.5399628430731767</v>
      </c>
      <c r="BI4" s="159">
        <f t="shared" si="33"/>
        <v>3.5598973001470489</v>
      </c>
      <c r="BJ4" s="159">
        <f t="shared" si="34"/>
        <v>2.7810940581667647</v>
      </c>
      <c r="BK4" s="159">
        <f t="shared" si="35"/>
        <v>7.0242909103353073</v>
      </c>
      <c r="BL4" s="159">
        <f t="shared" si="36"/>
        <v>0.48016300356431774</v>
      </c>
      <c r="BM4" s="159">
        <f t="shared" si="37"/>
        <v>2.427202704645715</v>
      </c>
      <c r="BN4" s="159">
        <f t="shared" si="38"/>
        <v>0.91694324397727012</v>
      </c>
      <c r="BO4" s="159">
        <f t="shared" si="39"/>
        <v>2.2263351384274621</v>
      </c>
      <c r="BP4" s="159">
        <f t="shared" si="40"/>
        <v>10.32035598985772</v>
      </c>
      <c r="BQ4" s="159">
        <f t="shared" si="41"/>
        <v>1.2465770284842865</v>
      </c>
      <c r="BR4" s="159">
        <f t="shared" si="42"/>
        <v>3.8295864895521277</v>
      </c>
      <c r="BS4" s="159">
        <f t="shared" si="43"/>
        <v>3.2902081107419692</v>
      </c>
      <c r="BT4" s="159">
        <f t="shared" si="44"/>
        <v>3.3212540589655588</v>
      </c>
      <c r="BU4" s="159">
        <f t="shared" si="45"/>
        <v>8.8881255374858483</v>
      </c>
      <c r="BV4" s="159">
        <f t="shared" si="46"/>
        <v>1.1173023736785086</v>
      </c>
      <c r="BW4" s="159">
        <f t="shared" si="47"/>
        <v>3.8295864895521277</v>
      </c>
      <c r="BX4" s="159">
        <f t="shared" si="48"/>
        <v>3.2902081107419692</v>
      </c>
      <c r="BY4" s="159">
        <f t="shared" si="49"/>
        <v>4.605958925730258</v>
      </c>
      <c r="BZ4" s="159">
        <f t="shared" si="50"/>
        <v>7.1731240036550838</v>
      </c>
      <c r="CA4" s="159">
        <f t="shared" si="51"/>
        <v>1.3666177793753658</v>
      </c>
      <c r="CB4" s="159">
        <f t="shared" si="52"/>
        <v>2.9635805449231141</v>
      </c>
      <c r="CC4" s="159">
        <f t="shared" si="53"/>
        <v>4.2626094951134315</v>
      </c>
      <c r="CD4" s="159">
        <f t="shared" si="54"/>
        <v>8.9081346968393085</v>
      </c>
      <c r="CE4" s="159">
        <f t="shared" ref="CE4:CE21" si="68">CC4</f>
        <v>4.2626094951134315</v>
      </c>
      <c r="CF4" s="159">
        <f t="shared" si="55"/>
        <v>4.6150343610793367</v>
      </c>
      <c r="CG4" s="159">
        <f t="shared" si="56"/>
        <v>10.08677001477769</v>
      </c>
      <c r="CH4" s="159">
        <f t="shared" ref="CH4:CH21" si="69">CF4</f>
        <v>4.6150343610793367</v>
      </c>
      <c r="CI4" s="159">
        <f t="shared" ref="CI4:CI21" si="70">((L4+G4+(LOG(H4)*4/3))*0.25)</f>
        <v>1.8248648675634938</v>
      </c>
    </row>
    <row r="5" spans="1:87" x14ac:dyDescent="0.25">
      <c r="A5" t="str">
        <f>PLANTILLA!D8</f>
        <v>D. Toh</v>
      </c>
      <c r="B5" t="s">
        <v>1020</v>
      </c>
      <c r="C5" s="666">
        <f>PLANTILLA!E8</f>
        <v>31</v>
      </c>
      <c r="D5" s="666">
        <f ca="1">PLANTILLA!F8</f>
        <v>39</v>
      </c>
      <c r="E5" s="666" t="str">
        <f>PLANTILLA!G8</f>
        <v>CAB</v>
      </c>
      <c r="F5" s="317">
        <v>41519</v>
      </c>
      <c r="G5" s="530">
        <v>1.5</v>
      </c>
      <c r="H5" s="531">
        <f>PLANTILLA!I8</f>
        <v>7.5</v>
      </c>
      <c r="I5" s="371"/>
      <c r="J5" s="163">
        <f>PLANTILLA!V8</f>
        <v>0</v>
      </c>
      <c r="K5" s="163">
        <f>PLANTILLA!W8</f>
        <v>11</v>
      </c>
      <c r="L5" s="163">
        <f>PLANTILLA!X8</f>
        <v>6.1594444444444418</v>
      </c>
      <c r="M5" s="163">
        <f>PLANTILLA!Y8</f>
        <v>5.98</v>
      </c>
      <c r="N5" s="163">
        <f>PLANTILLA!Z8</f>
        <v>7.7227777777777789</v>
      </c>
      <c r="O5" s="163">
        <f>PLANTILLA!AA8</f>
        <v>4.383333333333332</v>
      </c>
      <c r="P5" s="163">
        <f>PLANTILLA!AB8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2.1006338853607431</v>
      </c>
      <c r="AC5" s="159">
        <f t="shared" si="6"/>
        <v>5.1660308767494172</v>
      </c>
      <c r="AD5" s="159">
        <f t="shared" si="7"/>
        <v>9.8810590579095994</v>
      </c>
      <c r="AE5" s="159">
        <f t="shared" si="63"/>
        <v>2.5830154383747086</v>
      </c>
      <c r="AF5" s="159">
        <f t="shared" si="8"/>
        <v>3.3980842263188493</v>
      </c>
      <c r="AG5" s="387">
        <f t="shared" si="9"/>
        <v>12.57340848309382</v>
      </c>
      <c r="AH5" s="159">
        <f t="shared" si="10"/>
        <v>5.6580338173922184</v>
      </c>
      <c r="AI5" s="159">
        <f t="shared" si="11"/>
        <v>1.4739741968707738</v>
      </c>
      <c r="AJ5" s="387">
        <f t="shared" si="12"/>
        <v>5.0842880304990929</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8.3319259990779049</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8.826192795633375</v>
      </c>
      <c r="AZ5" s="159">
        <f t="shared" si="25"/>
        <v>2.6285501106285785</v>
      </c>
      <c r="BA5" s="159">
        <f t="shared" si="26"/>
        <v>5.0233455637273252</v>
      </c>
      <c r="BB5" s="159">
        <f t="shared" si="67"/>
        <v>1.3142750553142892</v>
      </c>
      <c r="BC5" s="159">
        <f t="shared" si="27"/>
        <v>3.9770237701959794</v>
      </c>
      <c r="BD5" s="159">
        <f t="shared" si="28"/>
        <v>4.7560284262137484</v>
      </c>
      <c r="BE5" s="159">
        <f t="shared" si="29"/>
        <v>7.7758758529530034</v>
      </c>
      <c r="BF5" s="159">
        <f t="shared" si="30"/>
        <v>8.2359342842069623</v>
      </c>
      <c r="BG5" s="159">
        <f t="shared" si="31"/>
        <v>2.5038757970809775</v>
      </c>
      <c r="BH5" s="159">
        <f t="shared" si="32"/>
        <v>6.6283729503266331</v>
      </c>
      <c r="BI5" s="159">
        <f t="shared" si="33"/>
        <v>3.6080215647138787</v>
      </c>
      <c r="BJ5" s="159">
        <f t="shared" si="34"/>
        <v>3.3627794551363159</v>
      </c>
      <c r="BK5" s="159">
        <f t="shared" si="35"/>
        <v>7.907556392272463</v>
      </c>
      <c r="BL5" s="159">
        <f t="shared" si="36"/>
        <v>0.54025535870626906</v>
      </c>
      <c r="BM5" s="159">
        <f t="shared" si="37"/>
        <v>2.4600147032140081</v>
      </c>
      <c r="BN5" s="159">
        <f t="shared" si="38"/>
        <v>0.92933888788084762</v>
      </c>
      <c r="BO5" s="159">
        <f t="shared" si="39"/>
        <v>2.6919888026681793</v>
      </c>
      <c r="BP5" s="159">
        <f t="shared" si="40"/>
        <v>11.618152824073414</v>
      </c>
      <c r="BQ5" s="159">
        <f t="shared" si="41"/>
        <v>1.4025860274105064</v>
      </c>
      <c r="BR5" s="159">
        <f t="shared" si="42"/>
        <v>3.8813565317376568</v>
      </c>
      <c r="BS5" s="159">
        <f t="shared" si="43"/>
        <v>3.3346865976900997</v>
      </c>
      <c r="BT5" s="159">
        <f t="shared" si="44"/>
        <v>4.0159177220131861</v>
      </c>
      <c r="BU5" s="159">
        <f t="shared" si="45"/>
        <v>10.005834950895117</v>
      </c>
      <c r="BV5" s="159">
        <f t="shared" si="46"/>
        <v>1.2571326616049723</v>
      </c>
      <c r="BW5" s="159">
        <f t="shared" si="47"/>
        <v>3.8813565317376568</v>
      </c>
      <c r="BX5" s="159">
        <f t="shared" si="48"/>
        <v>3.3346865976900997</v>
      </c>
      <c r="BY5" s="159">
        <f t="shared" si="49"/>
        <v>5.5693276540446597</v>
      </c>
      <c r="BZ5" s="159">
        <f t="shared" si="50"/>
        <v>8.0751958854252077</v>
      </c>
      <c r="CA5" s="159">
        <f t="shared" si="51"/>
        <v>1.5376498670870735</v>
      </c>
      <c r="CB5" s="159">
        <f t="shared" si="52"/>
        <v>3.5834342750271504</v>
      </c>
      <c r="CC5" s="159">
        <f t="shared" si="53"/>
        <v>4.7378736687472127</v>
      </c>
      <c r="CD5" s="159">
        <f t="shared" si="54"/>
        <v>9.7517103101054055</v>
      </c>
      <c r="CE5" s="159">
        <f t="shared" si="68"/>
        <v>4.7378736687472127</v>
      </c>
      <c r="CF5" s="159">
        <f t="shared" si="55"/>
        <v>5.0892653339018166</v>
      </c>
      <c r="CG5" s="159">
        <f t="shared" si="56"/>
        <v>10.883816826110982</v>
      </c>
      <c r="CH5" s="159">
        <f t="shared" si="69"/>
        <v>5.0892653339018166</v>
      </c>
      <c r="CI5" s="159">
        <f t="shared" si="70"/>
        <v>2.2065481989083437</v>
      </c>
    </row>
    <row r="6" spans="1:87" x14ac:dyDescent="0.25">
      <c r="A6" t="str">
        <f>PLANTILLA!D9</f>
        <v>E. Toney</v>
      </c>
      <c r="B6" t="s">
        <v>1020</v>
      </c>
      <c r="C6" s="666">
        <f>PLANTILLA!E9</f>
        <v>30</v>
      </c>
      <c r="D6" s="666">
        <f ca="1">PLANTILLA!F9</f>
        <v>105</v>
      </c>
      <c r="E6" s="666"/>
      <c r="F6" s="317">
        <v>41539</v>
      </c>
      <c r="G6" s="530">
        <v>1.5</v>
      </c>
      <c r="H6" s="531">
        <f>PLANTILLA!I9</f>
        <v>12.1</v>
      </c>
      <c r="I6" s="371"/>
      <c r="J6" s="163">
        <f>PLANTILLA!V9</f>
        <v>0</v>
      </c>
      <c r="K6" s="163">
        <f>PLANTILLA!W9</f>
        <v>12.060000000000004</v>
      </c>
      <c r="L6" s="163">
        <f>PLANTILLA!X9</f>
        <v>13.020999999999999</v>
      </c>
      <c r="M6" s="163">
        <f>PLANTILLA!Y9</f>
        <v>9.7100000000000062</v>
      </c>
      <c r="N6" s="163">
        <f>PLANTILLA!Z9</f>
        <v>9.6</v>
      </c>
      <c r="O6" s="163">
        <f>PLANTILLA!AA9</f>
        <v>3.6816666666666658</v>
      </c>
      <c r="P6" s="163">
        <f>PLANTILLA!AB9</f>
        <v>16.627777777777773</v>
      </c>
      <c r="Q6" s="163">
        <f t="shared" si="57"/>
        <v>4.2825000000000006</v>
      </c>
      <c r="R6" s="163">
        <f t="shared" si="58"/>
        <v>14.162452002310248</v>
      </c>
      <c r="S6" s="163">
        <f t="shared" si="59"/>
        <v>0.68291666666666639</v>
      </c>
      <c r="T6" s="163">
        <f t="shared" si="60"/>
        <v>0.98123333333333329</v>
      </c>
      <c r="U6" s="163">
        <f t="shared" ca="1" si="0"/>
        <v>19.071491604866374</v>
      </c>
      <c r="V6" s="159">
        <f t="shared" si="1"/>
        <v>5.8984221710483489</v>
      </c>
      <c r="W6" s="159">
        <f t="shared" si="2"/>
        <v>8.9258345507713841</v>
      </c>
      <c r="X6" s="159">
        <f t="shared" si="61"/>
        <v>5.8984221710483489</v>
      </c>
      <c r="Y6" s="159">
        <f t="shared" si="3"/>
        <v>7.7419163347777191</v>
      </c>
      <c r="Z6" s="159">
        <f t="shared" si="4"/>
        <v>15.003713827088603</v>
      </c>
      <c r="AA6" s="159">
        <f t="shared" si="62"/>
        <v>3.8709581673888596</v>
      </c>
      <c r="AB6" s="159">
        <f t="shared" si="5"/>
        <v>3.7996018908470863</v>
      </c>
      <c r="AC6" s="159">
        <f t="shared" si="6"/>
        <v>5.6714038266394917</v>
      </c>
      <c r="AD6" s="159">
        <f t="shared" si="7"/>
        <v>10.84768509698506</v>
      </c>
      <c r="AE6" s="159">
        <f t="shared" si="63"/>
        <v>2.8357019133197459</v>
      </c>
      <c r="AF6" s="159">
        <f t="shared" si="8"/>
        <v>6.1464148234291107</v>
      </c>
      <c r="AG6" s="387">
        <f t="shared" si="9"/>
        <v>13.803416720921515</v>
      </c>
      <c r="AH6" s="159">
        <f t="shared" si="10"/>
        <v>6.2115375244146813</v>
      </c>
      <c r="AI6" s="159">
        <f t="shared" si="11"/>
        <v>2.6661072091237958</v>
      </c>
      <c r="AJ6" s="387">
        <f t="shared" si="12"/>
        <v>7.4403837303281</v>
      </c>
      <c r="AK6" s="159">
        <f t="shared" si="13"/>
        <v>11.312800225624807</v>
      </c>
      <c r="AL6" s="159">
        <f t="shared" si="14"/>
        <v>10.62262938957873</v>
      </c>
      <c r="AM6" s="159">
        <f t="shared" si="15"/>
        <v>3.2684390980126845</v>
      </c>
      <c r="AN6" s="159">
        <f t="shared" si="16"/>
        <v>2.0811495822015167</v>
      </c>
      <c r="AO6" s="159">
        <f t="shared" si="17"/>
        <v>4.0510027333139229</v>
      </c>
      <c r="AP6" s="159">
        <f t="shared" si="18"/>
        <v>8.9122060132906302</v>
      </c>
      <c r="AQ6" s="159">
        <f t="shared" si="64"/>
        <v>2.0255013666569615</v>
      </c>
      <c r="AR6" s="159">
        <f t="shared" si="19"/>
        <v>15.070689852771636</v>
      </c>
      <c r="AS6" s="159">
        <f t="shared" si="20"/>
        <v>1.6306827975215179</v>
      </c>
      <c r="AT6" s="159">
        <f t="shared" si="21"/>
        <v>2.6514364846702927</v>
      </c>
      <c r="AU6" s="159">
        <f t="shared" si="65"/>
        <v>0.81534139876075895</v>
      </c>
      <c r="AV6" s="159">
        <f t="shared" si="22"/>
        <v>2.8357019133197459</v>
      </c>
      <c r="AW6" s="159">
        <f t="shared" si="23"/>
        <v>6.001485530835442</v>
      </c>
      <c r="AX6" s="159">
        <f t="shared" si="66"/>
        <v>1.4178509566598729</v>
      </c>
      <c r="AY6" s="159">
        <f t="shared" si="24"/>
        <v>15.964713827088598</v>
      </c>
      <c r="AZ6" s="159">
        <f t="shared" si="25"/>
        <v>3.1735595982534157</v>
      </c>
      <c r="BA6" s="159">
        <f t="shared" si="26"/>
        <v>5.6687363187258182</v>
      </c>
      <c r="BB6" s="159">
        <f t="shared" si="67"/>
        <v>1.5867797991267079</v>
      </c>
      <c r="BC6" s="159">
        <f t="shared" si="27"/>
        <v>4.3660807236827832</v>
      </c>
      <c r="BD6" s="159">
        <f t="shared" si="28"/>
        <v>5.2212924118268331</v>
      </c>
      <c r="BE6" s="159">
        <f t="shared" si="29"/>
        <v>14.064912881665055</v>
      </c>
      <c r="BF6" s="159">
        <f t="shared" si="30"/>
        <v>11.214501592281767</v>
      </c>
      <c r="BG6" s="159">
        <f t="shared" si="31"/>
        <v>3.0230350323283521</v>
      </c>
      <c r="BH6" s="159">
        <f t="shared" si="32"/>
        <v>7.2768012061379723</v>
      </c>
      <c r="BI6" s="159">
        <f t="shared" si="33"/>
        <v>3.9609804503513915</v>
      </c>
      <c r="BJ6" s="159">
        <f t="shared" si="34"/>
        <v>6.0825559681207562</v>
      </c>
      <c r="BK6" s="159">
        <f t="shared" si="35"/>
        <v>11.037235884875441</v>
      </c>
      <c r="BL6" s="159">
        <f t="shared" si="36"/>
        <v>0.65227311900860707</v>
      </c>
      <c r="BM6" s="159">
        <f t="shared" si="37"/>
        <v>2.7006684888759485</v>
      </c>
      <c r="BN6" s="159">
        <f t="shared" si="38"/>
        <v>1.0202525402420251</v>
      </c>
      <c r="BO6" s="159">
        <f t="shared" si="39"/>
        <v>4.8692377172620223</v>
      </c>
      <c r="BP6" s="159">
        <f t="shared" si="40"/>
        <v>16.241215981635946</v>
      </c>
      <c r="BQ6" s="159">
        <f t="shared" si="41"/>
        <v>1.6934013666569609</v>
      </c>
      <c r="BR6" s="159">
        <f t="shared" si="42"/>
        <v>4.2610547268931631</v>
      </c>
      <c r="BS6" s="159">
        <f t="shared" si="43"/>
        <v>3.6609061738096189</v>
      </c>
      <c r="BT6" s="159">
        <f t="shared" si="44"/>
        <v>7.2639447913253123</v>
      </c>
      <c r="BU6" s="159">
        <f t="shared" si="45"/>
        <v>13.993474920414174</v>
      </c>
      <c r="BV6" s="159">
        <f t="shared" si="46"/>
        <v>1.5177893730777203</v>
      </c>
      <c r="BW6" s="159">
        <f t="shared" si="47"/>
        <v>4.2610547268931631</v>
      </c>
      <c r="BX6" s="159">
        <f t="shared" si="48"/>
        <v>3.6609061738096189</v>
      </c>
      <c r="BY6" s="159">
        <f t="shared" si="49"/>
        <v>10.073734424892905</v>
      </c>
      <c r="BZ6" s="159">
        <f t="shared" si="50"/>
        <v>11.303843875244299</v>
      </c>
      <c r="CA6" s="159">
        <f t="shared" si="51"/>
        <v>1.8564696464091126</v>
      </c>
      <c r="CB6" s="159">
        <f t="shared" si="52"/>
        <v>6.481673813797971</v>
      </c>
      <c r="CC6" s="159">
        <f t="shared" si="53"/>
        <v>5.7994865705798277</v>
      </c>
      <c r="CD6" s="159">
        <f t="shared" si="54"/>
        <v>10.673833435968429</v>
      </c>
      <c r="CE6" s="159">
        <f t="shared" si="68"/>
        <v>5.7994865705798277</v>
      </c>
      <c r="CF6" s="159">
        <f t="shared" si="55"/>
        <v>6.1702770476095319</v>
      </c>
      <c r="CG6" s="159">
        <f t="shared" si="56"/>
        <v>11.254010895950959</v>
      </c>
      <c r="CH6" s="159">
        <f t="shared" si="69"/>
        <v>6.1702770476095319</v>
      </c>
      <c r="CI6" s="159">
        <f t="shared" si="70"/>
        <v>3.9911784567721496</v>
      </c>
    </row>
    <row r="7" spans="1:87" x14ac:dyDescent="0.25">
      <c r="A7" t="str">
        <f>PLANTILLA!D10</f>
        <v>B. Bartolache</v>
      </c>
      <c r="B7" t="s">
        <v>1020</v>
      </c>
      <c r="C7" s="666">
        <f>PLANTILLA!E10</f>
        <v>30</v>
      </c>
      <c r="D7" s="666">
        <f ca="1">PLANTILLA!F10</f>
        <v>90</v>
      </c>
      <c r="E7" s="666"/>
      <c r="F7" s="317">
        <v>41527</v>
      </c>
      <c r="G7" s="530">
        <v>1.5</v>
      </c>
      <c r="H7" s="531">
        <f>PLANTILLA!I10</f>
        <v>9.1999999999999993</v>
      </c>
      <c r="I7" s="371"/>
      <c r="J7" s="163">
        <f>PLANTILLA!V10</f>
        <v>0</v>
      </c>
      <c r="K7" s="163">
        <f>PLANTILLA!W10</f>
        <v>11.649999999999997</v>
      </c>
      <c r="L7" s="163">
        <f>PLANTILLA!X10</f>
        <v>6.6275000000000022</v>
      </c>
      <c r="M7" s="163">
        <f>PLANTILLA!Y10</f>
        <v>7.3600000000000012</v>
      </c>
      <c r="N7" s="163">
        <f>PLANTILLA!Z10</f>
        <v>9.0199999999999978</v>
      </c>
      <c r="O7" s="163">
        <f>PLANTILLA!AA10</f>
        <v>4.6199999999999966</v>
      </c>
      <c r="P7" s="163">
        <f>PLANTILLA!AB10</f>
        <v>15.6</v>
      </c>
      <c r="Q7" s="163">
        <f t="shared" si="57"/>
        <v>4.0862499999999988</v>
      </c>
      <c r="R7" s="163">
        <f t="shared" si="58"/>
        <v>14.804161464578231</v>
      </c>
      <c r="S7" s="163">
        <f t="shared" si="59"/>
        <v>0.69899999999999984</v>
      </c>
      <c r="T7" s="163">
        <f t="shared" si="60"/>
        <v>0.93399999999999994</v>
      </c>
      <c r="U7" s="163">
        <f t="shared" ca="1" si="0"/>
        <v>17.885050436460741</v>
      </c>
      <c r="V7" s="159">
        <f t="shared" si="1"/>
        <v>5.6467490310302253</v>
      </c>
      <c r="W7" s="159">
        <f t="shared" si="2"/>
        <v>8.5467501134708144</v>
      </c>
      <c r="X7" s="159">
        <f t="shared" si="61"/>
        <v>5.6467490310302253</v>
      </c>
      <c r="Y7" s="159">
        <f t="shared" si="3"/>
        <v>7.4484860252137404</v>
      </c>
      <c r="Z7" s="159">
        <f t="shared" si="4"/>
        <v>14.435050436460736</v>
      </c>
      <c r="AA7" s="159">
        <f t="shared" si="62"/>
        <v>3.7242430126068702</v>
      </c>
      <c r="AB7" s="159">
        <f t="shared" si="5"/>
        <v>2.2401870038776561</v>
      </c>
      <c r="AC7" s="159">
        <f t="shared" si="6"/>
        <v>5.4564490649821584</v>
      </c>
      <c r="AD7" s="159">
        <f t="shared" si="7"/>
        <v>10.436541465561112</v>
      </c>
      <c r="AE7" s="159">
        <f t="shared" si="63"/>
        <v>2.7282245324910792</v>
      </c>
      <c r="AF7" s="159">
        <f t="shared" si="8"/>
        <v>3.6238319180373852</v>
      </c>
      <c r="AG7" s="387">
        <f t="shared" si="9"/>
        <v>13.280246401543877</v>
      </c>
      <c r="AH7" s="159">
        <f t="shared" si="10"/>
        <v>5.9761108806947449</v>
      </c>
      <c r="AI7" s="159">
        <f t="shared" si="11"/>
        <v>1.5718959228889438</v>
      </c>
      <c r="AJ7" s="387">
        <f t="shared" si="12"/>
        <v>5.9652896566389151</v>
      </c>
      <c r="AK7" s="159">
        <f t="shared" si="13"/>
        <v>10.884028029091395</v>
      </c>
      <c r="AL7" s="159">
        <f t="shared" si="14"/>
        <v>10.2200157090142</v>
      </c>
      <c r="AM7" s="159">
        <f t="shared" si="15"/>
        <v>3.0703034228889439</v>
      </c>
      <c r="AN7" s="159">
        <f t="shared" si="16"/>
        <v>1.9789345257006927</v>
      </c>
      <c r="AO7" s="159">
        <f t="shared" si="17"/>
        <v>3.8974636178443989</v>
      </c>
      <c r="AP7" s="159">
        <f t="shared" si="18"/>
        <v>8.5744199592576766</v>
      </c>
      <c r="AQ7" s="159">
        <f t="shared" si="64"/>
        <v>1.9487318089221994</v>
      </c>
      <c r="AR7" s="159">
        <f t="shared" si="19"/>
        <v>8.8854476120189396</v>
      </c>
      <c r="AS7" s="159">
        <f t="shared" si="20"/>
        <v>1.534656556739896</v>
      </c>
      <c r="AT7" s="159">
        <f t="shared" si="21"/>
        <v>2.6976797778829957</v>
      </c>
      <c r="AU7" s="159">
        <f t="shared" si="65"/>
        <v>0.76732827836994799</v>
      </c>
      <c r="AV7" s="159">
        <f t="shared" si="22"/>
        <v>2.7282245324910792</v>
      </c>
      <c r="AW7" s="159">
        <f t="shared" si="23"/>
        <v>5.7740201745842947</v>
      </c>
      <c r="AX7" s="159">
        <f t="shared" si="66"/>
        <v>1.3641122662455396</v>
      </c>
      <c r="AY7" s="159">
        <f t="shared" si="24"/>
        <v>9.4125504364607409</v>
      </c>
      <c r="AZ7" s="159">
        <f t="shared" si="25"/>
        <v>2.9866777604245667</v>
      </c>
      <c r="BA7" s="159">
        <f t="shared" si="26"/>
        <v>5.5805827904898662</v>
      </c>
      <c r="BB7" s="159">
        <f t="shared" si="67"/>
        <v>1.4933388802122833</v>
      </c>
      <c r="BC7" s="159">
        <f t="shared" si="27"/>
        <v>4.2005996770100742</v>
      </c>
      <c r="BD7" s="159">
        <f t="shared" si="28"/>
        <v>5.023397551888336</v>
      </c>
      <c r="BE7" s="159">
        <f t="shared" si="29"/>
        <v>8.2924569345219119</v>
      </c>
      <c r="BF7" s="159">
        <f t="shared" si="30"/>
        <v>9.5418498380135972</v>
      </c>
      <c r="BG7" s="159">
        <f t="shared" si="31"/>
        <v>2.8450171551870378</v>
      </c>
      <c r="BH7" s="159">
        <f t="shared" si="32"/>
        <v>7.000999461683457</v>
      </c>
      <c r="BI7" s="159">
        <f t="shared" si="33"/>
        <v>3.8108533152256348</v>
      </c>
      <c r="BJ7" s="159">
        <f t="shared" si="34"/>
        <v>3.5861817162915424</v>
      </c>
      <c r="BK7" s="159">
        <f t="shared" si="35"/>
        <v>9.2004340814666872</v>
      </c>
      <c r="BL7" s="159">
        <f t="shared" si="36"/>
        <v>0.61386262269595826</v>
      </c>
      <c r="BM7" s="159">
        <f t="shared" si="37"/>
        <v>2.5983090785629326</v>
      </c>
      <c r="BN7" s="159">
        <f t="shared" si="38"/>
        <v>0.9815834296793301</v>
      </c>
      <c r="BO7" s="159">
        <f t="shared" si="39"/>
        <v>2.8708278831205258</v>
      </c>
      <c r="BP7" s="159">
        <f t="shared" si="40"/>
        <v>13.521294861288512</v>
      </c>
      <c r="BQ7" s="159">
        <f t="shared" si="41"/>
        <v>1.5936818089221996</v>
      </c>
      <c r="BR7" s="159">
        <f t="shared" si="42"/>
        <v>4.0995543239548491</v>
      </c>
      <c r="BS7" s="159">
        <f t="shared" si="43"/>
        <v>3.5221523064964195</v>
      </c>
      <c r="BT7" s="159">
        <f t="shared" si="44"/>
        <v>4.2827104485896372</v>
      </c>
      <c r="BU7" s="159">
        <f t="shared" si="45"/>
        <v>11.6457558835985</v>
      </c>
      <c r="BV7" s="159">
        <f t="shared" si="46"/>
        <v>1.4284111028117492</v>
      </c>
      <c r="BW7" s="159">
        <f t="shared" si="47"/>
        <v>4.0995543239548491</v>
      </c>
      <c r="BX7" s="159">
        <f t="shared" si="48"/>
        <v>3.5221523064964195</v>
      </c>
      <c r="BY7" s="159">
        <f t="shared" si="49"/>
        <v>5.9393193254067276</v>
      </c>
      <c r="BZ7" s="159">
        <f t="shared" si="50"/>
        <v>9.4002001406323608</v>
      </c>
      <c r="CA7" s="159">
        <f t="shared" si="51"/>
        <v>1.7471474645961891</v>
      </c>
      <c r="CB7" s="159">
        <f t="shared" si="52"/>
        <v>3.8214954772030612</v>
      </c>
      <c r="CC7" s="159">
        <f t="shared" si="53"/>
        <v>5.3525912773960451</v>
      </c>
      <c r="CD7" s="159">
        <f t="shared" si="54"/>
        <v>10.727286791454791</v>
      </c>
      <c r="CE7" s="159">
        <f t="shared" si="68"/>
        <v>5.3525912773960451</v>
      </c>
      <c r="CF7" s="159">
        <f t="shared" si="55"/>
        <v>5.7136864219150398</v>
      </c>
      <c r="CG7" s="159">
        <f t="shared" si="56"/>
        <v>11.761114047514749</v>
      </c>
      <c r="CH7" s="159">
        <f t="shared" si="69"/>
        <v>5.7136864219150398</v>
      </c>
      <c r="CI7" s="159">
        <f t="shared" si="70"/>
        <v>2.3531376091151852</v>
      </c>
    </row>
    <row r="8" spans="1:87" x14ac:dyDescent="0.25">
      <c r="A8" t="str">
        <f>PLANTILLA!D11</f>
        <v>F. Lasprilla</v>
      </c>
      <c r="B8" t="s">
        <v>1020</v>
      </c>
      <c r="C8" s="666">
        <f>PLANTILLA!E11</f>
        <v>27</v>
      </c>
      <c r="D8" s="666">
        <f ca="1">PLANTILLA!F11</f>
        <v>1</v>
      </c>
      <c r="E8" s="666"/>
      <c r="F8" s="317">
        <v>42106</v>
      </c>
      <c r="G8" s="530">
        <v>1.5</v>
      </c>
      <c r="H8" s="531">
        <f>PLANTILLA!I11</f>
        <v>4.9000000000000004</v>
      </c>
      <c r="I8" s="371"/>
      <c r="J8" s="163">
        <f>PLANTILLA!V11</f>
        <v>0</v>
      </c>
      <c r="K8" s="163">
        <f>PLANTILLA!W11</f>
        <v>9.5796666666666663</v>
      </c>
      <c r="L8" s="163">
        <f>PLANTILLA!X11</f>
        <v>7.7107222222222234</v>
      </c>
      <c r="M8" s="163">
        <f>PLANTILLA!Y11</f>
        <v>6.129999999999999</v>
      </c>
      <c r="N8" s="163">
        <f>PLANTILLA!Z11</f>
        <v>8.8633333333333315</v>
      </c>
      <c r="O8" s="163">
        <f>PLANTILLA!AA11</f>
        <v>3.2566666666666673</v>
      </c>
      <c r="P8" s="163">
        <f>PLANTILLA!AB11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2.4111741116179375</v>
      </c>
      <c r="AC8" s="159">
        <f t="shared" si="6"/>
        <v>4.5359728243343707</v>
      </c>
      <c r="AD8" s="159">
        <f t="shared" si="7"/>
        <v>8.6759480211474873</v>
      </c>
      <c r="AE8" s="159">
        <f t="shared" si="63"/>
        <v>2.2679864121671853</v>
      </c>
      <c r="AF8" s="159">
        <f t="shared" si="8"/>
        <v>3.9004287099701931</v>
      </c>
      <c r="AG8" s="387">
        <f t="shared" si="9"/>
        <v>11.039933858168311</v>
      </c>
      <c r="AH8" s="159">
        <f t="shared" si="10"/>
        <v>4.9679702361757396</v>
      </c>
      <c r="AI8" s="159">
        <f t="shared" si="11"/>
        <v>1.6918742715974604</v>
      </c>
      <c r="AJ8" s="387">
        <f t="shared" si="12"/>
        <v>5.0275537267423536</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9.5636485771736677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10.130983662260242</v>
      </c>
      <c r="AZ8" s="159">
        <f t="shared" si="25"/>
        <v>2.8547494776629514</v>
      </c>
      <c r="BA8" s="159">
        <f t="shared" si="26"/>
        <v>5.0398607201276144</v>
      </c>
      <c r="BB8" s="159">
        <f t="shared" si="67"/>
        <v>1.4273747388314757</v>
      </c>
      <c r="BC8" s="159">
        <f t="shared" si="27"/>
        <v>3.4919790790510632</v>
      </c>
      <c r="BD8" s="159">
        <f t="shared" si="28"/>
        <v>4.1759749811332298</v>
      </c>
      <c r="BE8" s="159">
        <f t="shared" si="29"/>
        <v>8.9253966064512724</v>
      </c>
      <c r="BF8" s="159">
        <f t="shared" si="30"/>
        <v>8.4621824201937965</v>
      </c>
      <c r="BG8" s="159">
        <f t="shared" si="31"/>
        <v>2.7193463403824953</v>
      </c>
      <c r="BH8" s="159">
        <f t="shared" si="32"/>
        <v>5.819965131751772</v>
      </c>
      <c r="BI8" s="159">
        <f t="shared" si="33"/>
        <v>3.1679810201700369</v>
      </c>
      <c r="BJ8" s="159">
        <f t="shared" si="34"/>
        <v>3.8599047753211524</v>
      </c>
      <c r="BK8" s="159">
        <f t="shared" si="35"/>
        <v>8.0223284985932271</v>
      </c>
      <c r="BL8" s="159">
        <f t="shared" si="36"/>
        <v>0.58674692821531016</v>
      </c>
      <c r="BM8" s="159">
        <f t="shared" si="37"/>
        <v>2.1599870592068431</v>
      </c>
      <c r="BN8" s="159">
        <f t="shared" si="38"/>
        <v>0.81599511125591861</v>
      </c>
      <c r="BO8" s="159">
        <f t="shared" si="39"/>
        <v>3.0899500169893739</v>
      </c>
      <c r="BP8" s="159">
        <f t="shared" si="40"/>
        <v>11.777369545222223</v>
      </c>
      <c r="BQ8" s="159">
        <f t="shared" si="41"/>
        <v>1.5232852944051323</v>
      </c>
      <c r="BR8" s="159">
        <f t="shared" si="42"/>
        <v>3.4079795823041303</v>
      </c>
      <c r="BS8" s="159">
        <f t="shared" si="43"/>
        <v>2.927982458035943</v>
      </c>
      <c r="BT8" s="159">
        <f t="shared" si="44"/>
        <v>4.6095975663284099</v>
      </c>
      <c r="BU8" s="159">
        <f t="shared" si="45"/>
        <v>10.140623008895457</v>
      </c>
      <c r="BV8" s="159">
        <f t="shared" si="46"/>
        <v>1.3653149675779332</v>
      </c>
      <c r="BW8" s="159">
        <f t="shared" si="47"/>
        <v>3.4079795823041303</v>
      </c>
      <c r="BX8" s="159">
        <f t="shared" si="48"/>
        <v>2.927982458035943</v>
      </c>
      <c r="BY8" s="159">
        <f t="shared" si="49"/>
        <v>6.3926506908862128</v>
      </c>
      <c r="BZ8" s="159">
        <f t="shared" si="50"/>
        <v>8.1800173221673589</v>
      </c>
      <c r="CA8" s="159">
        <f t="shared" si="51"/>
        <v>1.6699720264589597</v>
      </c>
      <c r="CB8" s="159">
        <f t="shared" si="52"/>
        <v>4.1131793668776586</v>
      </c>
      <c r="CC8" s="159">
        <f t="shared" si="53"/>
        <v>4.7731062102598072</v>
      </c>
      <c r="CD8" s="159">
        <f t="shared" si="54"/>
        <v>9.4366410481494754</v>
      </c>
      <c r="CE8" s="159">
        <f t="shared" si="68"/>
        <v>4.7731062102598072</v>
      </c>
      <c r="CF8" s="159">
        <f t="shared" si="55"/>
        <v>4.8378795438103515</v>
      </c>
      <c r="CG8" s="159">
        <f t="shared" si="56"/>
        <v>9.8405745780787139</v>
      </c>
      <c r="CH8" s="159">
        <f t="shared" si="69"/>
        <v>4.8378795438103515</v>
      </c>
      <c r="CI8" s="159">
        <f t="shared" si="70"/>
        <v>2.5327459155650605</v>
      </c>
    </row>
    <row r="9" spans="1:87" x14ac:dyDescent="0.25">
      <c r="A9" t="str">
        <f>PLANTILLA!D7</f>
        <v>B. Pinczehelyi</v>
      </c>
      <c r="C9" s="666">
        <f>PLANTILLA!E7</f>
        <v>29</v>
      </c>
      <c r="D9" s="666">
        <f ca="1">PLANTILLA!F7</f>
        <v>106</v>
      </c>
      <c r="E9" s="666" t="str">
        <f>PLANTILLA!G7</f>
        <v>CAB</v>
      </c>
      <c r="F9" s="317">
        <v>41400</v>
      </c>
      <c r="G9" s="530">
        <v>1</v>
      </c>
      <c r="H9" s="531">
        <f>PLANTILLA!I7</f>
        <v>14</v>
      </c>
      <c r="I9" s="371"/>
      <c r="J9" s="163">
        <f>PLANTILLA!V7</f>
        <v>0</v>
      </c>
      <c r="K9" s="163">
        <f>PLANTILLA!W7</f>
        <v>14.200000000000003</v>
      </c>
      <c r="L9" s="163">
        <f>PLANTILLA!X7</f>
        <v>9.283333333333335</v>
      </c>
      <c r="M9" s="163">
        <f>PLANTILLA!Y7</f>
        <v>14.249999999999996</v>
      </c>
      <c r="N9" s="163">
        <f>PLANTILLA!Z7</f>
        <v>9.4199999999999982</v>
      </c>
      <c r="O9" s="163">
        <f>PLANTILLA!AA7</f>
        <v>1.1428571428571428</v>
      </c>
      <c r="P9" s="163">
        <f>PLANTILLA!AB7</f>
        <v>9.4</v>
      </c>
      <c r="Q9" s="163">
        <f>((2*(N9+1))+(K9+1))/8</f>
        <v>4.5049999999999999</v>
      </c>
      <c r="R9" s="163">
        <f t="shared" si="58"/>
        <v>5.0544001356080663</v>
      </c>
      <c r="S9" s="163">
        <f>(0.5*O9+ 0.3*P9)/10</f>
        <v>0.33914285714285713</v>
      </c>
      <c r="T9" s="163">
        <f>(0.4*K9+0.3*P9)/10</f>
        <v>0.8500000000000002</v>
      </c>
      <c r="U9" s="163">
        <f t="shared" ca="1" si="0"/>
        <v>11.928170714237652</v>
      </c>
      <c r="V9" s="159">
        <f t="shared" si="1"/>
        <v>6.1262930335294694</v>
      </c>
      <c r="W9" s="159">
        <f t="shared" si="2"/>
        <v>9.2988683920808075</v>
      </c>
      <c r="X9" s="159">
        <f>V9</f>
        <v>6.1262930335294694</v>
      </c>
      <c r="Y9" s="159">
        <f t="shared" si="3"/>
        <v>8.6317360885466297</v>
      </c>
      <c r="Z9" s="159">
        <f t="shared" si="4"/>
        <v>16.728170714237653</v>
      </c>
      <c r="AA9" s="159">
        <f>Y9/2</f>
        <v>4.3158680442733148</v>
      </c>
      <c r="AB9" s="159">
        <f t="shared" si="5"/>
        <v>2.8111379633218943</v>
      </c>
      <c r="AC9" s="159">
        <f t="shared" si="6"/>
        <v>6.3232485299818331</v>
      </c>
      <c r="AD9" s="159">
        <f t="shared" si="7"/>
        <v>12.094467426393823</v>
      </c>
      <c r="AE9" s="159">
        <f>AC9/2</f>
        <v>3.1616242649909165</v>
      </c>
      <c r="AF9" s="159">
        <f t="shared" si="8"/>
        <v>4.5474290583148296</v>
      </c>
      <c r="AG9" s="387">
        <f t="shared" si="9"/>
        <v>15.389917057098641</v>
      </c>
      <c r="AH9" s="159">
        <f t="shared" si="10"/>
        <v>6.925462675694388</v>
      </c>
      <c r="AI9" s="159">
        <f t="shared" si="11"/>
        <v>1.9725211759443546</v>
      </c>
      <c r="AJ9" s="387">
        <f t="shared" si="12"/>
        <v>9.865564379971735</v>
      </c>
      <c r="AK9" s="159">
        <f t="shared" si="13"/>
        <v>12.61304071853519</v>
      </c>
      <c r="AL9" s="159">
        <f t="shared" si="14"/>
        <v>11.843544865680258</v>
      </c>
      <c r="AM9" s="159">
        <f t="shared" si="15"/>
        <v>1.9920045092776879</v>
      </c>
      <c r="AN9" s="159">
        <f t="shared" si="16"/>
        <v>2.0255531657004431</v>
      </c>
      <c r="AO9" s="159">
        <f t="shared" si="17"/>
        <v>4.5166060928441665</v>
      </c>
      <c r="AP9" s="159">
        <f t="shared" si="18"/>
        <v>9.9365334042571654</v>
      </c>
      <c r="AQ9" s="159">
        <f>AO9/2</f>
        <v>2.2583030464220832</v>
      </c>
      <c r="AR9" s="159">
        <f t="shared" si="19"/>
        <v>11.150059820907009</v>
      </c>
      <c r="AS9" s="159">
        <f t="shared" si="20"/>
        <v>1.5532621928508943</v>
      </c>
      <c r="AT9" s="159">
        <f t="shared" si="21"/>
        <v>2.0688683049859167</v>
      </c>
      <c r="AU9" s="159">
        <f>AS9/2</f>
        <v>0.77663109642544714</v>
      </c>
      <c r="AV9" s="159">
        <f t="shared" si="22"/>
        <v>3.1616242649909165</v>
      </c>
      <c r="AW9" s="159">
        <f t="shared" si="23"/>
        <v>6.6912682856950614</v>
      </c>
      <c r="AX9" s="159">
        <f>AV9/2</f>
        <v>1.5808121324954583</v>
      </c>
      <c r="AY9" s="159">
        <f t="shared" si="24"/>
        <v>11.811504047570985</v>
      </c>
      <c r="AZ9" s="159">
        <f t="shared" si="25"/>
        <v>3.0228871907021251</v>
      </c>
      <c r="BA9" s="159">
        <f t="shared" si="26"/>
        <v>4.8452420635449451</v>
      </c>
      <c r="BB9" s="159">
        <f>AZ9/2</f>
        <v>1.5114435953510625</v>
      </c>
      <c r="BC9" s="159">
        <f t="shared" si="27"/>
        <v>4.8678976778431569</v>
      </c>
      <c r="BD9" s="159">
        <f t="shared" si="28"/>
        <v>5.8214034085547031</v>
      </c>
      <c r="BE9" s="159">
        <f t="shared" si="29"/>
        <v>10.405935065910038</v>
      </c>
      <c r="BF9" s="159">
        <f t="shared" si="30"/>
        <v>13.394343764957267</v>
      </c>
      <c r="BG9" s="159">
        <f t="shared" si="31"/>
        <v>2.8795091421312731</v>
      </c>
      <c r="BH9" s="159">
        <f t="shared" si="32"/>
        <v>8.1131627964052608</v>
      </c>
      <c r="BI9" s="159">
        <f t="shared" si="33"/>
        <v>4.4162370685587407</v>
      </c>
      <c r="BJ9" s="159">
        <f t="shared" si="34"/>
        <v>4.5001830421245455</v>
      </c>
      <c r="BK9" s="159">
        <f t="shared" si="35"/>
        <v>13.693291204243705</v>
      </c>
      <c r="BL9" s="159">
        <f t="shared" si="36"/>
        <v>0.62130487714035765</v>
      </c>
      <c r="BM9" s="159">
        <f t="shared" si="37"/>
        <v>3.0110707285627774</v>
      </c>
      <c r="BN9" s="159">
        <f t="shared" si="38"/>
        <v>1.1375156085681604</v>
      </c>
      <c r="BO9" s="159">
        <f t="shared" si="39"/>
        <v>3.6025087345091502</v>
      </c>
      <c r="BP9" s="159">
        <f t="shared" si="40"/>
        <v>20.195347538509612</v>
      </c>
      <c r="BQ9" s="159">
        <f t="shared" si="41"/>
        <v>1.6130030464220826</v>
      </c>
      <c r="BR9" s="159">
        <f t="shared" si="42"/>
        <v>4.7508004828434931</v>
      </c>
      <c r="BS9" s="159">
        <f t="shared" si="43"/>
        <v>4.0816736542739873</v>
      </c>
      <c r="BT9" s="159">
        <f t="shared" si="44"/>
        <v>5.3742343416447982</v>
      </c>
      <c r="BU9" s="159">
        <f t="shared" si="45"/>
        <v>17.411693151375314</v>
      </c>
      <c r="BV9" s="159">
        <f t="shared" si="46"/>
        <v>1.4457286564227554</v>
      </c>
      <c r="BW9" s="159">
        <f t="shared" si="47"/>
        <v>4.7508004828434931</v>
      </c>
      <c r="BX9" s="159">
        <f t="shared" si="48"/>
        <v>4.0816736542739873</v>
      </c>
      <c r="BY9" s="159">
        <f t="shared" si="49"/>
        <v>7.4530590540172916</v>
      </c>
      <c r="BZ9" s="159">
        <f t="shared" si="50"/>
        <v>14.084272789242693</v>
      </c>
      <c r="CA9" s="159">
        <f t="shared" si="51"/>
        <v>1.7683292657071719</v>
      </c>
      <c r="CB9" s="159">
        <f t="shared" si="52"/>
        <v>4.7954706433138199</v>
      </c>
      <c r="CC9" s="159">
        <f t="shared" si="53"/>
        <v>5.8693197992606718</v>
      </c>
      <c r="CD9" s="159">
        <f t="shared" si="54"/>
        <v>8.6280659385173077</v>
      </c>
      <c r="CE9" s="159">
        <f>CC9</f>
        <v>5.8693197992606718</v>
      </c>
      <c r="CF9" s="159">
        <f t="shared" si="55"/>
        <v>6.3590832121129122</v>
      </c>
      <c r="CG9" s="159">
        <f t="shared" si="56"/>
        <v>8.0799028506484856</v>
      </c>
      <c r="CH9" s="159">
        <f>CF9</f>
        <v>6.3590832121129122</v>
      </c>
      <c r="CI9" s="159">
        <f>((L9+G9+(LOG(H9)*4/3))*0.25)</f>
        <v>2.9528760118927462</v>
      </c>
    </row>
    <row r="10" spans="1:87" x14ac:dyDescent="0.25">
      <c r="A10" t="str">
        <f>PLANTILLA!D12</f>
        <v>E. Romweber</v>
      </c>
      <c r="B10" t="s">
        <v>1020</v>
      </c>
      <c r="C10" s="666">
        <f>PLANTILLA!E12</f>
        <v>30</v>
      </c>
      <c r="D10" s="666">
        <f ca="1">PLANTILLA!F12</f>
        <v>67</v>
      </c>
      <c r="E10" s="666" t="str">
        <f>PLANTILLA!G12</f>
        <v>IMP</v>
      </c>
      <c r="F10" s="317">
        <v>41583</v>
      </c>
      <c r="G10" s="530">
        <v>1.5</v>
      </c>
      <c r="H10" s="531">
        <f>PLANTILLA!I12</f>
        <v>12.2</v>
      </c>
      <c r="I10" s="371"/>
      <c r="J10" s="163">
        <f>PLANTILLA!V12</f>
        <v>0</v>
      </c>
      <c r="K10" s="163">
        <f>PLANTILLA!W12</f>
        <v>11.99</v>
      </c>
      <c r="L10" s="163">
        <f>PLANTILLA!X12</f>
        <v>12.399111111111115</v>
      </c>
      <c r="M10" s="163">
        <f>PLANTILLA!Y12</f>
        <v>13.05</v>
      </c>
      <c r="N10" s="163">
        <f>PLANTILLA!Z12</f>
        <v>10.91</v>
      </c>
      <c r="O10" s="163">
        <f>PLANTILLA!AA12</f>
        <v>7.7700000000000005</v>
      </c>
      <c r="P10" s="163">
        <f>PLANTILLA!AB12</f>
        <v>17.13</v>
      </c>
      <c r="Q10" s="163">
        <f t="shared" si="57"/>
        <v>4.6012500000000003</v>
      </c>
      <c r="R10" s="163">
        <f t="shared" si="58"/>
        <v>21.235840301054928</v>
      </c>
      <c r="S10" s="163">
        <f t="shared" si="59"/>
        <v>0.90239999999999987</v>
      </c>
      <c r="T10" s="163">
        <f t="shared" si="60"/>
        <v>0.99349999999999983</v>
      </c>
      <c r="U10" s="163">
        <f t="shared" ca="1" si="0"/>
        <v>19.578479774232996</v>
      </c>
      <c r="V10" s="159">
        <f t="shared" si="1"/>
        <v>5.8832628429054079</v>
      </c>
      <c r="W10" s="159">
        <f t="shared" si="2"/>
        <v>8.9022373885348003</v>
      </c>
      <c r="X10" s="159">
        <f t="shared" si="61"/>
        <v>5.8832628429054079</v>
      </c>
      <c r="Y10" s="159">
        <f t="shared" si="3"/>
        <v>7.7082555635042276</v>
      </c>
      <c r="Z10" s="159">
        <f t="shared" si="4"/>
        <v>14.938479774232999</v>
      </c>
      <c r="AA10" s="159">
        <f t="shared" si="62"/>
        <v>3.8541277817521138</v>
      </c>
      <c r="AB10" s="159">
        <f t="shared" si="5"/>
        <v>3.6527266307118982</v>
      </c>
      <c r="AC10" s="159">
        <f t="shared" si="6"/>
        <v>5.6467453546600739</v>
      </c>
      <c r="AD10" s="159">
        <f t="shared" si="7"/>
        <v>10.800520876770458</v>
      </c>
      <c r="AE10" s="159">
        <f t="shared" si="63"/>
        <v>2.8233726773300369</v>
      </c>
      <c r="AF10" s="159">
        <f t="shared" si="8"/>
        <v>5.9088224908574833</v>
      </c>
      <c r="AG10" s="387">
        <f t="shared" si="9"/>
        <v>13.743401392294359</v>
      </c>
      <c r="AH10" s="159">
        <f t="shared" si="10"/>
        <v>6.1845306265324611</v>
      </c>
      <c r="AI10" s="159">
        <f t="shared" si="11"/>
        <v>2.5630476778524667</v>
      </c>
      <c r="AJ10" s="387">
        <f t="shared" si="12"/>
        <v>9.4071061072490014</v>
      </c>
      <c r="AK10" s="159">
        <f t="shared" si="13"/>
        <v>11.263613749771681</v>
      </c>
      <c r="AL10" s="159">
        <f t="shared" si="14"/>
        <v>10.576443680156963</v>
      </c>
      <c r="AM10" s="159">
        <f t="shared" si="15"/>
        <v>3.3531061222969103</v>
      </c>
      <c r="AN10" s="159">
        <f t="shared" si="16"/>
        <v>2.1743221749791033</v>
      </c>
      <c r="AO10" s="159">
        <f t="shared" si="17"/>
        <v>4.0333895390429095</v>
      </c>
      <c r="AP10" s="159">
        <f t="shared" si="18"/>
        <v>8.8734569858944017</v>
      </c>
      <c r="AQ10" s="159">
        <f t="shared" si="64"/>
        <v>2.0166947695214548</v>
      </c>
      <c r="AR10" s="159">
        <f t="shared" si="19"/>
        <v>14.488125795764841</v>
      </c>
      <c r="AS10" s="159">
        <f t="shared" si="20"/>
        <v>1.8016023706502897</v>
      </c>
      <c r="AT10" s="159">
        <f t="shared" si="21"/>
        <v>3.5173145738502676</v>
      </c>
      <c r="AU10" s="159">
        <f t="shared" si="65"/>
        <v>0.90080118532514486</v>
      </c>
      <c r="AV10" s="159">
        <f t="shared" si="22"/>
        <v>2.8233726773300369</v>
      </c>
      <c r="AW10" s="159">
        <f t="shared" si="23"/>
        <v>5.9753919096932</v>
      </c>
      <c r="AX10" s="159">
        <f t="shared" si="66"/>
        <v>1.4116863386650185</v>
      </c>
      <c r="AY10" s="159">
        <f t="shared" si="24"/>
        <v>15.347590885344111</v>
      </c>
      <c r="AZ10" s="159">
        <f t="shared" si="25"/>
        <v>3.5061953828809482</v>
      </c>
      <c r="BA10" s="159">
        <f t="shared" si="26"/>
        <v>6.9766223556023821</v>
      </c>
      <c r="BB10" s="159">
        <f t="shared" si="67"/>
        <v>1.7530976914404741</v>
      </c>
      <c r="BC10" s="159">
        <f t="shared" si="27"/>
        <v>4.3470976143018021</v>
      </c>
      <c r="BD10" s="159">
        <f t="shared" si="28"/>
        <v>5.1985909614330827</v>
      </c>
      <c r="BE10" s="159">
        <f t="shared" si="29"/>
        <v>13.521227569988161</v>
      </c>
      <c r="BF10" s="159">
        <f t="shared" si="30"/>
        <v>13.548548519293133</v>
      </c>
      <c r="BG10" s="159">
        <f t="shared" si="31"/>
        <v>3.3398936255901521</v>
      </c>
      <c r="BH10" s="159">
        <f t="shared" si="32"/>
        <v>7.2451626905030038</v>
      </c>
      <c r="BI10" s="159">
        <f t="shared" si="33"/>
        <v>3.9437586603975117</v>
      </c>
      <c r="BJ10" s="159">
        <f t="shared" si="34"/>
        <v>5.8474321273161065</v>
      </c>
      <c r="BK10" s="159">
        <f t="shared" si="35"/>
        <v>13.552531322679641</v>
      </c>
      <c r="BL10" s="159">
        <f t="shared" si="36"/>
        <v>0.72064094826011582</v>
      </c>
      <c r="BM10" s="159">
        <f t="shared" si="37"/>
        <v>2.6889263593619397</v>
      </c>
      <c r="BN10" s="159">
        <f t="shared" si="38"/>
        <v>1.0158166246478439</v>
      </c>
      <c r="BO10" s="159">
        <f t="shared" si="39"/>
        <v>4.6810152200299537</v>
      </c>
      <c r="BP10" s="159">
        <f t="shared" si="40"/>
        <v>19.962004989663633</v>
      </c>
      <c r="BQ10" s="159">
        <f t="shared" si="41"/>
        <v>1.8708947695214546</v>
      </c>
      <c r="BR10" s="159">
        <f t="shared" si="42"/>
        <v>4.2425282558821715</v>
      </c>
      <c r="BS10" s="159">
        <f t="shared" si="43"/>
        <v>3.6449890649128518</v>
      </c>
      <c r="BT10" s="159">
        <f t="shared" si="44"/>
        <v>6.9831538528315704</v>
      </c>
      <c r="BU10" s="159">
        <f t="shared" si="45"/>
        <v>17.20415558985016</v>
      </c>
      <c r="BV10" s="159">
        <f t="shared" si="46"/>
        <v>1.6768760526821926</v>
      </c>
      <c r="BW10" s="159">
        <f t="shared" si="47"/>
        <v>4.2425282558821715</v>
      </c>
      <c r="BX10" s="159">
        <f t="shared" si="48"/>
        <v>3.6449890649128518</v>
      </c>
      <c r="BY10" s="159">
        <f t="shared" si="49"/>
        <v>9.6843298486521334</v>
      </c>
      <c r="BZ10" s="159">
        <f t="shared" si="50"/>
        <v>13.905619397938533</v>
      </c>
      <c r="CA10" s="159">
        <f t="shared" si="51"/>
        <v>2.0510550065864832</v>
      </c>
      <c r="CB10" s="159">
        <f t="shared" si="52"/>
        <v>6.2311218994497093</v>
      </c>
      <c r="CC10" s="159">
        <f t="shared" si="53"/>
        <v>7.1296479623753912</v>
      </c>
      <c r="CD10" s="159">
        <f t="shared" si="54"/>
        <v>13.774028225786353</v>
      </c>
      <c r="CE10" s="159">
        <f t="shared" si="68"/>
        <v>7.1296479623753912</v>
      </c>
      <c r="CF10" s="159">
        <f t="shared" si="55"/>
        <v>8.1603728993471574</v>
      </c>
      <c r="CG10" s="159">
        <f t="shared" si="56"/>
        <v>15.832258810924973</v>
      </c>
      <c r="CH10" s="159">
        <f t="shared" si="69"/>
        <v>8.1603728993471574</v>
      </c>
      <c r="CI10" s="159">
        <f t="shared" si="70"/>
        <v>3.8368977213360278</v>
      </c>
    </row>
    <row r="11" spans="1:87" x14ac:dyDescent="0.25">
      <c r="A11" t="str">
        <f>PLANTILLA!D13</f>
        <v>K. Helms</v>
      </c>
      <c r="B11" t="s">
        <v>1020</v>
      </c>
      <c r="C11" s="666">
        <f>PLANTILLA!E13</f>
        <v>30</v>
      </c>
      <c r="D11" s="666">
        <f ca="1">PLANTILLA!F13</f>
        <v>14</v>
      </c>
      <c r="E11" s="666" t="str">
        <f>PLANTILLA!G13</f>
        <v>TEC</v>
      </c>
      <c r="F11" s="317">
        <v>41722</v>
      </c>
      <c r="G11" s="530">
        <v>1.5</v>
      </c>
      <c r="H11" s="531">
        <f>PLANTILLA!I13</f>
        <v>10.199999999999999</v>
      </c>
      <c r="I11" s="371"/>
      <c r="J11" s="163">
        <f>PLANTILLA!V13</f>
        <v>0</v>
      </c>
      <c r="K11" s="163">
        <f>PLANTILLA!W13</f>
        <v>7.11</v>
      </c>
      <c r="L11" s="163">
        <f>PLANTILLA!X13</f>
        <v>10.250000000000004</v>
      </c>
      <c r="M11" s="163">
        <f>PLANTILLA!Y13</f>
        <v>13.305</v>
      </c>
      <c r="N11" s="163">
        <f>PLANTILLA!Z13</f>
        <v>10.359999999999998</v>
      </c>
      <c r="O11" s="163">
        <f>PLANTILLA!AA13</f>
        <v>5.4050000000000002</v>
      </c>
      <c r="P11" s="163">
        <f>PLANTILLA!AB13</f>
        <v>17.300000000000004</v>
      </c>
      <c r="Q11" s="163">
        <f t="shared" si="57"/>
        <v>3.8537499999999993</v>
      </c>
      <c r="R11" s="163">
        <f t="shared" si="58"/>
        <v>17.174308506125115</v>
      </c>
      <c r="S11" s="163">
        <f t="shared" si="59"/>
        <v>0.78925000000000023</v>
      </c>
      <c r="T11" s="163">
        <f t="shared" si="60"/>
        <v>0.80340000000000023</v>
      </c>
      <c r="U11" s="163">
        <f t="shared" ca="1" si="0"/>
        <v>19.644800229015893</v>
      </c>
      <c r="V11" s="159">
        <f t="shared" si="1"/>
        <v>4.4458705999308723</v>
      </c>
      <c r="W11" s="159">
        <f t="shared" si="2"/>
        <v>6.694387095659514</v>
      </c>
      <c r="X11" s="159">
        <f t="shared" si="61"/>
        <v>4.4458705999308723</v>
      </c>
      <c r="Y11" s="159">
        <f t="shared" si="3"/>
        <v>5.1366769181721992</v>
      </c>
      <c r="Z11" s="159">
        <f t="shared" si="4"/>
        <v>9.9548002290158895</v>
      </c>
      <c r="AA11" s="159">
        <f t="shared" si="62"/>
        <v>2.5683384590860996</v>
      </c>
      <c r="AB11" s="159">
        <f t="shared" si="5"/>
        <v>3.1165624545057824</v>
      </c>
      <c r="AC11" s="159">
        <f t="shared" si="6"/>
        <v>3.7629144865680062</v>
      </c>
      <c r="AD11" s="159">
        <f t="shared" si="7"/>
        <v>7.1973205655784875</v>
      </c>
      <c r="AE11" s="159">
        <f t="shared" si="63"/>
        <v>1.8814572432840031</v>
      </c>
      <c r="AF11" s="159">
        <f t="shared" si="8"/>
        <v>5.0414980881711191</v>
      </c>
      <c r="AG11" s="387">
        <f t="shared" si="9"/>
        <v>9.1584162106946181</v>
      </c>
      <c r="AH11" s="159">
        <f t="shared" si="10"/>
        <v>4.1212872948125776</v>
      </c>
      <c r="AI11" s="159">
        <f t="shared" si="11"/>
        <v>2.1868316382456543</v>
      </c>
      <c r="AJ11" s="387">
        <f t="shared" si="12"/>
        <v>9.4960825346613422</v>
      </c>
      <c r="AK11" s="159">
        <f t="shared" si="13"/>
        <v>7.5059193726779805</v>
      </c>
      <c r="AL11" s="159">
        <f t="shared" si="14"/>
        <v>7.047998562143249</v>
      </c>
      <c r="AM11" s="159">
        <f t="shared" si="15"/>
        <v>3.3641816382456544</v>
      </c>
      <c r="AN11" s="159">
        <f t="shared" si="16"/>
        <v>1.9291824659565762</v>
      </c>
      <c r="AO11" s="159">
        <f t="shared" si="17"/>
        <v>2.6877960618342902</v>
      </c>
      <c r="AP11" s="159">
        <f t="shared" si="18"/>
        <v>5.9131513360354377</v>
      </c>
      <c r="AQ11" s="159">
        <f t="shared" si="64"/>
        <v>1.3438980309171451</v>
      </c>
      <c r="AR11" s="159">
        <f t="shared" si="19"/>
        <v>12.361491416191003</v>
      </c>
      <c r="AS11" s="159">
        <f t="shared" si="20"/>
        <v>1.7166240297720654</v>
      </c>
      <c r="AT11" s="159">
        <f t="shared" si="21"/>
        <v>3.0117914671016552</v>
      </c>
      <c r="AU11" s="159">
        <f t="shared" si="65"/>
        <v>0.8583120148860327</v>
      </c>
      <c r="AV11" s="159">
        <f t="shared" si="22"/>
        <v>1.8814572432840031</v>
      </c>
      <c r="AW11" s="159">
        <f t="shared" si="23"/>
        <v>3.981920091606356</v>
      </c>
      <c r="AX11" s="159">
        <f t="shared" si="66"/>
        <v>0.94072862164200155</v>
      </c>
      <c r="AY11" s="159">
        <f t="shared" si="24"/>
        <v>13.094800229015894</v>
      </c>
      <c r="AZ11" s="159">
        <f t="shared" si="25"/>
        <v>3.3408144579410197</v>
      </c>
      <c r="BA11" s="159">
        <f t="shared" si="26"/>
        <v>6.2352949261877546</v>
      </c>
      <c r="BB11" s="159">
        <f t="shared" si="67"/>
        <v>1.6704072289705099</v>
      </c>
      <c r="BC11" s="159">
        <f t="shared" si="27"/>
        <v>2.8968468666436236</v>
      </c>
      <c r="BD11" s="159">
        <f t="shared" si="28"/>
        <v>3.4642704796975292</v>
      </c>
      <c r="BE11" s="159">
        <f t="shared" si="29"/>
        <v>11.536519001763002</v>
      </c>
      <c r="BF11" s="159">
        <f t="shared" si="30"/>
        <v>13.429497403595125</v>
      </c>
      <c r="BG11" s="159">
        <f t="shared" si="31"/>
        <v>3.182356855192829</v>
      </c>
      <c r="BH11" s="159">
        <f t="shared" si="32"/>
        <v>4.8280781110727062</v>
      </c>
      <c r="BI11" s="159">
        <f t="shared" si="33"/>
        <v>2.6280672604601949</v>
      </c>
      <c r="BJ11" s="159">
        <f t="shared" si="34"/>
        <v>4.9891188872550556</v>
      </c>
      <c r="BK11" s="159">
        <f t="shared" si="35"/>
        <v>13.522980400159886</v>
      </c>
      <c r="BL11" s="159">
        <f t="shared" si="36"/>
        <v>0.68664961190882612</v>
      </c>
      <c r="BM11" s="159">
        <f t="shared" si="37"/>
        <v>1.7918640412228601</v>
      </c>
      <c r="BN11" s="159">
        <f t="shared" si="38"/>
        <v>0.67692641557308053</v>
      </c>
      <c r="BO11" s="159">
        <f t="shared" si="39"/>
        <v>3.9939140698498474</v>
      </c>
      <c r="BP11" s="159">
        <f t="shared" si="40"/>
        <v>19.926373094514432</v>
      </c>
      <c r="BQ11" s="159">
        <f t="shared" si="41"/>
        <v>1.7826480309171449</v>
      </c>
      <c r="BR11" s="159">
        <f t="shared" si="42"/>
        <v>2.8271632650405123</v>
      </c>
      <c r="BS11" s="159">
        <f t="shared" si="43"/>
        <v>2.4289712558798771</v>
      </c>
      <c r="BT11" s="159">
        <f t="shared" si="44"/>
        <v>5.958134104202232</v>
      </c>
      <c r="BU11" s="159">
        <f t="shared" si="45"/>
        <v>17.175398653749603</v>
      </c>
      <c r="BV11" s="159">
        <f t="shared" si="46"/>
        <v>1.5977808277109224</v>
      </c>
      <c r="BW11" s="159">
        <f t="shared" si="47"/>
        <v>2.8271632650405123</v>
      </c>
      <c r="BX11" s="159">
        <f t="shared" si="48"/>
        <v>2.4289712558798771</v>
      </c>
      <c r="BY11" s="159">
        <f t="shared" si="49"/>
        <v>8.2628189445090285</v>
      </c>
      <c r="BZ11" s="159">
        <f t="shared" si="50"/>
        <v>13.885686204969218</v>
      </c>
      <c r="CA11" s="159">
        <f t="shared" si="51"/>
        <v>1.9543104338943513</v>
      </c>
      <c r="CB11" s="159">
        <f t="shared" si="52"/>
        <v>5.3164888929804528</v>
      </c>
      <c r="CC11" s="159">
        <f t="shared" si="53"/>
        <v>7.7485499376385487</v>
      </c>
      <c r="CD11" s="159">
        <f t="shared" si="54"/>
        <v>11.97984005787189</v>
      </c>
      <c r="CE11" s="159">
        <f t="shared" si="68"/>
        <v>7.7485499376385487</v>
      </c>
      <c r="CF11" s="159">
        <f t="shared" si="55"/>
        <v>7.4591355426768988</v>
      </c>
      <c r="CG11" s="159">
        <f t="shared" si="56"/>
        <v>13.122371513522751</v>
      </c>
      <c r="CH11" s="159">
        <f t="shared" si="69"/>
        <v>7.4591355426768988</v>
      </c>
      <c r="CI11" s="159">
        <f t="shared" si="70"/>
        <v>3.2737000572539734</v>
      </c>
    </row>
    <row r="12" spans="1:87" x14ac:dyDescent="0.25">
      <c r="A12" t="str">
        <f>PLANTILLA!D14</f>
        <v>S. Zobbe</v>
      </c>
      <c r="B12" t="s">
        <v>1020</v>
      </c>
      <c r="C12" s="666">
        <f>PLANTILLA!E14</f>
        <v>27</v>
      </c>
      <c r="D12" s="666">
        <f ca="1">PLANTILLA!F14</f>
        <v>29</v>
      </c>
      <c r="E12" s="666" t="str">
        <f>PLANTILLA!G14</f>
        <v>CAB</v>
      </c>
      <c r="F12" s="317">
        <v>41911</v>
      </c>
      <c r="G12" s="530">
        <v>1.5</v>
      </c>
      <c r="H12" s="531">
        <f>PLANTILLA!I14</f>
        <v>8.6</v>
      </c>
      <c r="I12" s="371"/>
      <c r="J12" s="163">
        <f>PLANTILLA!V14</f>
        <v>0</v>
      </c>
      <c r="K12" s="163">
        <f>PLANTILLA!W14</f>
        <v>8.1199999999999992</v>
      </c>
      <c r="L12" s="163">
        <f>PLANTILLA!X14</f>
        <v>11.958412698412697</v>
      </c>
      <c r="M12" s="163">
        <f>PLANTILLA!Y14</f>
        <v>12.13</v>
      </c>
      <c r="N12" s="163">
        <f>PLANTILLA!Z14</f>
        <v>10.24</v>
      </c>
      <c r="O12" s="163">
        <f>PLANTILLA!AA14</f>
        <v>7.4766666666666666</v>
      </c>
      <c r="P12" s="163">
        <f>PLANTILLA!AB14</f>
        <v>15.270000000000001</v>
      </c>
      <c r="Q12" s="163">
        <f t="shared" si="57"/>
        <v>3.95</v>
      </c>
      <c r="R12" s="163">
        <f t="shared" si="58"/>
        <v>19.278422102997716</v>
      </c>
      <c r="S12" s="163">
        <f t="shared" si="59"/>
        <v>0.8319333333333333</v>
      </c>
      <c r="T12" s="163">
        <f t="shared" si="60"/>
        <v>0.78290000000000004</v>
      </c>
      <c r="U12" s="163">
        <f t="shared" ca="1" si="0"/>
        <v>17.515997934991425</v>
      </c>
      <c r="V12" s="159">
        <f t="shared" si="1"/>
        <v>4.6383761972475135</v>
      </c>
      <c r="W12" s="159">
        <f t="shared" si="2"/>
        <v>6.9960833340739281</v>
      </c>
      <c r="X12" s="159">
        <f t="shared" si="61"/>
        <v>4.6383761972475135</v>
      </c>
      <c r="Y12" s="159">
        <f t="shared" si="3"/>
        <v>5.6068549344555745</v>
      </c>
      <c r="Z12" s="159">
        <f t="shared" si="4"/>
        <v>10.865997934991423</v>
      </c>
      <c r="AA12" s="159">
        <f t="shared" si="62"/>
        <v>2.8034274672277872</v>
      </c>
      <c r="AB12" s="159">
        <f t="shared" si="5"/>
        <v>3.4996497307501806</v>
      </c>
      <c r="AC12" s="159">
        <f t="shared" si="6"/>
        <v>4.1073472194267575</v>
      </c>
      <c r="AD12" s="159">
        <f t="shared" si="7"/>
        <v>7.8561165069987986</v>
      </c>
      <c r="AE12" s="159">
        <f t="shared" si="63"/>
        <v>2.0536736097133788</v>
      </c>
      <c r="AF12" s="159">
        <f t="shared" si="8"/>
        <v>5.6611980938605866</v>
      </c>
      <c r="AG12" s="387">
        <f t="shared" si="9"/>
        <v>9.9967181001921102</v>
      </c>
      <c r="AH12" s="159">
        <f t="shared" si="10"/>
        <v>4.4985231450864491</v>
      </c>
      <c r="AI12" s="159">
        <f t="shared" si="11"/>
        <v>2.4556365757784886</v>
      </c>
      <c r="AJ12" s="387">
        <f t="shared" si="12"/>
        <v>8.7470867857749575</v>
      </c>
      <c r="AK12" s="159">
        <f t="shared" si="13"/>
        <v>8.1929624429835322</v>
      </c>
      <c r="AL12" s="159">
        <f t="shared" si="14"/>
        <v>7.6931265379739271</v>
      </c>
      <c r="AM12" s="159">
        <f t="shared" si="15"/>
        <v>3.0086716551435684</v>
      </c>
      <c r="AN12" s="159">
        <f t="shared" si="16"/>
        <v>1.92844740527753</v>
      </c>
      <c r="AO12" s="159">
        <f t="shared" si="17"/>
        <v>2.9338194424476844</v>
      </c>
      <c r="AP12" s="159">
        <f t="shared" si="18"/>
        <v>6.4544027733849054</v>
      </c>
      <c r="AQ12" s="159">
        <f t="shared" si="64"/>
        <v>1.4669097212238422</v>
      </c>
      <c r="AR12" s="159">
        <f t="shared" si="19"/>
        <v>13.88096363793349</v>
      </c>
      <c r="AS12" s="159">
        <f t="shared" si="20"/>
        <v>1.6881797315488851</v>
      </c>
      <c r="AT12" s="159">
        <f t="shared" si="21"/>
        <v>3.3268407282858203</v>
      </c>
      <c r="AU12" s="159">
        <f t="shared" si="65"/>
        <v>0.84408986577444256</v>
      </c>
      <c r="AV12" s="159">
        <f t="shared" si="22"/>
        <v>2.0536736097133788</v>
      </c>
      <c r="AW12" s="159">
        <f t="shared" si="23"/>
        <v>4.3463991739965691</v>
      </c>
      <c r="AX12" s="159">
        <f t="shared" si="66"/>
        <v>1.0268368048566894</v>
      </c>
      <c r="AY12" s="159">
        <f t="shared" si="24"/>
        <v>14.704410633404121</v>
      </c>
      <c r="AZ12" s="159">
        <f t="shared" si="25"/>
        <v>3.2854574775528302</v>
      </c>
      <c r="BA12" s="159">
        <f t="shared" si="26"/>
        <v>6.5749848621802744</v>
      </c>
      <c r="BB12" s="159">
        <f t="shared" si="67"/>
        <v>1.6427287387764151</v>
      </c>
      <c r="BC12" s="159">
        <f t="shared" si="27"/>
        <v>3.1620053990825041</v>
      </c>
      <c r="BD12" s="159">
        <f t="shared" si="28"/>
        <v>3.7813672813770149</v>
      </c>
      <c r="BE12" s="159">
        <f t="shared" si="29"/>
        <v>12.95458576802903</v>
      </c>
      <c r="BF12" s="159">
        <f t="shared" si="30"/>
        <v>12.629412164207375</v>
      </c>
      <c r="BG12" s="159">
        <f t="shared" si="31"/>
        <v>3.1296255023329329</v>
      </c>
      <c r="BH12" s="159">
        <f t="shared" si="32"/>
        <v>5.27000899847084</v>
      </c>
      <c r="BI12" s="159">
        <f t="shared" si="33"/>
        <v>2.8686234548377358</v>
      </c>
      <c r="BJ12" s="159">
        <f t="shared" si="34"/>
        <v>5.6023804513269706</v>
      </c>
      <c r="BK12" s="159">
        <f t="shared" si="35"/>
        <v>12.621732195182506</v>
      </c>
      <c r="BL12" s="159">
        <f t="shared" si="36"/>
        <v>0.675271892619554</v>
      </c>
      <c r="BM12" s="159">
        <f t="shared" si="37"/>
        <v>1.9558796282984561</v>
      </c>
      <c r="BN12" s="159">
        <f t="shared" si="38"/>
        <v>0.73888785957941683</v>
      </c>
      <c r="BO12" s="159">
        <f t="shared" si="39"/>
        <v>4.4848452431882571</v>
      </c>
      <c r="BP12" s="159">
        <f t="shared" si="40"/>
        <v>18.589993344398973</v>
      </c>
      <c r="BQ12" s="159">
        <f t="shared" si="41"/>
        <v>1.7531097212238425</v>
      </c>
      <c r="BR12" s="159">
        <f t="shared" si="42"/>
        <v>3.0859434135375641</v>
      </c>
      <c r="BS12" s="159">
        <f t="shared" si="43"/>
        <v>2.6513034961379072</v>
      </c>
      <c r="BT12" s="159">
        <f t="shared" si="44"/>
        <v>6.6905068381988757</v>
      </c>
      <c r="BU12" s="159">
        <f t="shared" si="45"/>
        <v>16.0214457119705</v>
      </c>
      <c r="BV12" s="159">
        <f t="shared" si="46"/>
        <v>1.5713057501339622</v>
      </c>
      <c r="BW12" s="159">
        <f t="shared" si="47"/>
        <v>3.0859434135375641</v>
      </c>
      <c r="BX12" s="159">
        <f t="shared" si="48"/>
        <v>2.6513034961379072</v>
      </c>
      <c r="BY12" s="159">
        <f t="shared" si="49"/>
        <v>9.2784831096780014</v>
      </c>
      <c r="BZ12" s="159">
        <f t="shared" si="50"/>
        <v>12.949248151817326</v>
      </c>
      <c r="CA12" s="159">
        <f t="shared" si="51"/>
        <v>1.9219276943787307</v>
      </c>
      <c r="CB12" s="159">
        <f t="shared" si="52"/>
        <v>5.9699907171620739</v>
      </c>
      <c r="CC12" s="159">
        <f t="shared" si="53"/>
        <v>6.6869215907971986</v>
      </c>
      <c r="CD12" s="159">
        <f t="shared" si="54"/>
        <v>13.011210341467009</v>
      </c>
      <c r="CE12" s="159">
        <f t="shared" si="68"/>
        <v>6.6869215907971986</v>
      </c>
      <c r="CF12" s="159">
        <f t="shared" si="55"/>
        <v>7.6595000468329903</v>
      </c>
      <c r="CG12" s="159">
        <f t="shared" si="56"/>
        <v>15.014497839669925</v>
      </c>
      <c r="CH12" s="159">
        <f t="shared" si="69"/>
        <v>7.6595000468329903</v>
      </c>
      <c r="CI12" s="159">
        <f t="shared" si="70"/>
        <v>3.6761026583510303</v>
      </c>
    </row>
    <row r="13" spans="1:87" x14ac:dyDescent="0.25">
      <c r="A13" t="str">
        <f>PLANTILLA!D15</f>
        <v>S. Buschelman</v>
      </c>
      <c r="B13" t="s">
        <v>1020</v>
      </c>
      <c r="C13" s="666">
        <f>PLANTILLA!E15</f>
        <v>29</v>
      </c>
      <c r="D13" s="666">
        <f ca="1">PLANTILLA!F15</f>
        <v>26</v>
      </c>
      <c r="E13" s="666" t="str">
        <f>PLANTILLA!G15</f>
        <v>TEC</v>
      </c>
      <c r="F13" s="317">
        <v>41747</v>
      </c>
      <c r="G13" s="530">
        <v>1.5</v>
      </c>
      <c r="H13" s="531">
        <f>PLANTILLA!I15</f>
        <v>10.4</v>
      </c>
      <c r="I13" s="371"/>
      <c r="J13" s="163">
        <f>PLANTILLA!V15</f>
        <v>0</v>
      </c>
      <c r="K13" s="163">
        <f>PLANTILLA!W15</f>
        <v>9.1936666666666653</v>
      </c>
      <c r="L13" s="163">
        <f>PLANTILLA!X15</f>
        <v>13.499999999999998</v>
      </c>
      <c r="M13" s="163">
        <f>PLANTILLA!Y15</f>
        <v>12.725000000000001</v>
      </c>
      <c r="N13" s="163">
        <f>PLANTILLA!Z15</f>
        <v>9.6733333333333356</v>
      </c>
      <c r="O13" s="163">
        <f>PLANTILLA!AA15</f>
        <v>5.0296666666666656</v>
      </c>
      <c r="P13" s="163">
        <f>PLANTILLA!AB15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3.8927385796708123</v>
      </c>
      <c r="AC13" s="159">
        <f t="shared" si="6"/>
        <v>4.5547908030065845</v>
      </c>
      <c r="AD13" s="159">
        <f t="shared" si="7"/>
        <v>8.7119411390840238</v>
      </c>
      <c r="AE13" s="159">
        <f t="shared" si="63"/>
        <v>2.2773954015032922</v>
      </c>
      <c r="AF13" s="159">
        <f t="shared" si="8"/>
        <v>6.2970771141733737</v>
      </c>
      <c r="AG13" s="387">
        <f t="shared" si="9"/>
        <v>11.085734229539836</v>
      </c>
      <c r="AH13" s="159">
        <f t="shared" si="10"/>
        <v>4.988580403292926</v>
      </c>
      <c r="AI13" s="159">
        <f t="shared" si="11"/>
        <v>2.7314594235505281</v>
      </c>
      <c r="AJ13" s="387">
        <f t="shared" si="12"/>
        <v>9.1616541380102436</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15.440105963064063</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16.356044452398372</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14.409675162562966</v>
      </c>
      <c r="BF13" s="159">
        <f t="shared" si="30"/>
        <v>12.890273518182155</v>
      </c>
      <c r="BG13" s="159">
        <f t="shared" si="31"/>
        <v>3.0195800463613418</v>
      </c>
      <c r="BH13" s="159">
        <f t="shared" si="32"/>
        <v>5.8441098927465438</v>
      </c>
      <c r="BI13" s="159">
        <f t="shared" si="33"/>
        <v>3.1811237354331703</v>
      </c>
      <c r="BJ13" s="159">
        <f t="shared" si="34"/>
        <v>6.2316529363637798</v>
      </c>
      <c r="BK13" s="159">
        <f t="shared" si="35"/>
        <v>13.004447851396181</v>
      </c>
      <c r="BL13" s="159">
        <f t="shared" si="36"/>
        <v>0.65152764485804882</v>
      </c>
      <c r="BM13" s="159">
        <f t="shared" si="37"/>
        <v>2.1689480014317071</v>
      </c>
      <c r="BN13" s="159">
        <f t="shared" si="38"/>
        <v>0.81938035609642268</v>
      </c>
      <c r="BO13" s="159">
        <f t="shared" si="39"/>
        <v>4.9885935579815035</v>
      </c>
      <c r="BP13" s="159">
        <f t="shared" si="40"/>
        <v>19.164446499117645</v>
      </c>
      <c r="BQ13" s="159">
        <f t="shared" si="41"/>
        <v>1.6914660010737808</v>
      </c>
      <c r="BR13" s="159">
        <f t="shared" si="42"/>
        <v>3.4221179578144709</v>
      </c>
      <c r="BS13" s="159">
        <f t="shared" si="43"/>
        <v>2.9401295130518696</v>
      </c>
      <c r="BT13" s="159">
        <f t="shared" si="44"/>
        <v>7.4420002258412596</v>
      </c>
      <c r="BU13" s="159">
        <f t="shared" si="45"/>
        <v>16.519190586590732</v>
      </c>
      <c r="BV13" s="159">
        <f t="shared" si="46"/>
        <v>1.5160547120735368</v>
      </c>
      <c r="BW13" s="159">
        <f t="shared" si="47"/>
        <v>3.4221179578144709</v>
      </c>
      <c r="BX13" s="159">
        <f t="shared" si="48"/>
        <v>2.9401295130518696</v>
      </c>
      <c r="BY13" s="159">
        <f t="shared" si="49"/>
        <v>10.320664049463373</v>
      </c>
      <c r="BZ13" s="159">
        <f t="shared" si="50"/>
        <v>13.35606311822988</v>
      </c>
      <c r="CA13" s="159">
        <f t="shared" si="51"/>
        <v>1.8543479122882929</v>
      </c>
      <c r="CB13" s="159">
        <f t="shared" si="52"/>
        <v>6.6405540476737395</v>
      </c>
      <c r="CC13" s="159">
        <f t="shared" si="53"/>
        <v>7.3981603825580899</v>
      </c>
      <c r="CD13" s="159">
        <f t="shared" si="54"/>
        <v>11.400821720067237</v>
      </c>
      <c r="CE13" s="159">
        <f t="shared" si="68"/>
        <v>7.3981603825580899</v>
      </c>
      <c r="CF13" s="159">
        <f t="shared" si="55"/>
        <v>7.1428673605108539</v>
      </c>
      <c r="CG13" s="159">
        <f t="shared" si="56"/>
        <v>12.509051522000039</v>
      </c>
      <c r="CH13" s="159">
        <f t="shared" si="69"/>
        <v>7.1428673605108539</v>
      </c>
      <c r="CI13" s="159">
        <f t="shared" si="70"/>
        <v>4.089011113099593</v>
      </c>
    </row>
    <row r="14" spans="1:87" x14ac:dyDescent="0.25">
      <c r="A14" t="str">
        <f>PLANTILLA!D16</f>
        <v>C. Rojas</v>
      </c>
      <c r="B14" t="s">
        <v>1020</v>
      </c>
      <c r="C14" s="666">
        <f>PLANTILLA!E16</f>
        <v>31</v>
      </c>
      <c r="D14" s="666">
        <f ca="1">PLANTILLA!F16</f>
        <v>60</v>
      </c>
      <c r="E14" s="666" t="str">
        <f>PLANTILLA!G16</f>
        <v>TEC</v>
      </c>
      <c r="F14" s="317">
        <v>41653</v>
      </c>
      <c r="G14" s="530">
        <v>1.5</v>
      </c>
      <c r="H14" s="531">
        <f>PLANTILLA!I16</f>
        <v>10.9</v>
      </c>
      <c r="I14" s="371"/>
      <c r="J14" s="163">
        <f>PLANTILLA!V16</f>
        <v>0</v>
      </c>
      <c r="K14" s="163">
        <f>PLANTILLA!W16</f>
        <v>8.6075555555555585</v>
      </c>
      <c r="L14" s="163">
        <f>PLANTILLA!X16</f>
        <v>14.09516031746031</v>
      </c>
      <c r="M14" s="163">
        <f>PLANTILLA!Y16</f>
        <v>9.99</v>
      </c>
      <c r="N14" s="163">
        <f>PLANTILLA!Z16</f>
        <v>10.09</v>
      </c>
      <c r="O14" s="163">
        <f>PLANTILLA!AA16</f>
        <v>4.3999999999999995</v>
      </c>
      <c r="P14" s="163">
        <f>PLANTILLA!AB16</f>
        <v>16.544444444444441</v>
      </c>
      <c r="Q14" s="163">
        <f t="shared" si="57"/>
        <v>3.9734444444444446</v>
      </c>
      <c r="R14" s="163">
        <f t="shared" si="58"/>
        <v>15.175394525042813</v>
      </c>
      <c r="S14" s="163">
        <f t="shared" si="59"/>
        <v>0.71633333333333327</v>
      </c>
      <c r="T14" s="163">
        <f t="shared" si="60"/>
        <v>0.84063555555555569</v>
      </c>
      <c r="U14" s="163">
        <f t="shared" ca="1" si="0"/>
        <v>18.92767977503194</v>
      </c>
      <c r="V14" s="159">
        <f t="shared" si="1"/>
        <v>4.8927497769362205</v>
      </c>
      <c r="W14" s="159">
        <f t="shared" si="2"/>
        <v>7.3804679228995713</v>
      </c>
      <c r="X14" s="159">
        <f t="shared" si="61"/>
        <v>4.8927497769362205</v>
      </c>
      <c r="Y14" s="159">
        <f t="shared" si="3"/>
        <v>5.9292480972498174</v>
      </c>
      <c r="Z14" s="159">
        <f t="shared" si="4"/>
        <v>11.490790886143056</v>
      </c>
      <c r="AA14" s="159">
        <f t="shared" si="62"/>
        <v>2.9646240486249087</v>
      </c>
      <c r="AB14" s="159">
        <f t="shared" si="5"/>
        <v>4.0408581642353782</v>
      </c>
      <c r="AC14" s="159">
        <f t="shared" si="6"/>
        <v>4.3435189549620752</v>
      </c>
      <c r="AD14" s="159">
        <f t="shared" si="7"/>
        <v>8.3078418106814294</v>
      </c>
      <c r="AE14" s="159">
        <f t="shared" si="63"/>
        <v>2.1717594774810376</v>
      </c>
      <c r="AF14" s="159">
        <f t="shared" si="8"/>
        <v>6.5366823244984067</v>
      </c>
      <c r="AG14" s="387">
        <f t="shared" si="9"/>
        <v>10.571527615251613</v>
      </c>
      <c r="AH14" s="159">
        <f t="shared" si="10"/>
        <v>4.7571874268632248</v>
      </c>
      <c r="AI14" s="159">
        <f t="shared" si="11"/>
        <v>2.8353920732239843</v>
      </c>
      <c r="AJ14" s="387">
        <f t="shared" si="12"/>
        <v>7.5694623743854486</v>
      </c>
      <c r="AK14" s="159">
        <f t="shared" si="13"/>
        <v>8.6640563281518652</v>
      </c>
      <c r="AL14" s="159">
        <f t="shared" si="14"/>
        <v>8.1354799473892836</v>
      </c>
      <c r="AM14" s="159">
        <f t="shared" si="15"/>
        <v>3.2444225224303342</v>
      </c>
      <c r="AN14" s="159">
        <f t="shared" si="16"/>
        <v>1.9747237752091993</v>
      </c>
      <c r="AO14" s="159">
        <f t="shared" si="17"/>
        <v>3.1025135392586254</v>
      </c>
      <c r="AP14" s="159">
        <f t="shared" si="18"/>
        <v>6.8255297863689748</v>
      </c>
      <c r="AQ14" s="159">
        <f t="shared" si="64"/>
        <v>1.5512567696293127</v>
      </c>
      <c r="AR14" s="159">
        <f t="shared" si="19"/>
        <v>16.027605491757129</v>
      </c>
      <c r="AS14" s="159">
        <f t="shared" si="20"/>
        <v>1.6865205929763747</v>
      </c>
      <c r="AT14" s="159">
        <f t="shared" si="21"/>
        <v>2.8167879518621364</v>
      </c>
      <c r="AU14" s="159">
        <f t="shared" si="65"/>
        <v>0.84326029648818734</v>
      </c>
      <c r="AV14" s="159">
        <f t="shared" si="22"/>
        <v>2.1717594774810376</v>
      </c>
      <c r="AW14" s="159">
        <f t="shared" si="23"/>
        <v>4.5963163544572225</v>
      </c>
      <c r="AX14" s="159">
        <f t="shared" si="66"/>
        <v>1.0858797387405188</v>
      </c>
      <c r="AY14" s="159">
        <f t="shared" si="24"/>
        <v>16.978395648047808</v>
      </c>
      <c r="AZ14" s="159">
        <f t="shared" si="25"/>
        <v>3.2822285386386367</v>
      </c>
      <c r="BA14" s="159">
        <f t="shared" si="26"/>
        <v>5.9533526671537116</v>
      </c>
      <c r="BB14" s="159">
        <f t="shared" si="67"/>
        <v>1.6411142693193184</v>
      </c>
      <c r="BC14" s="159">
        <f t="shared" si="27"/>
        <v>3.3438201478676293</v>
      </c>
      <c r="BD14" s="159">
        <f t="shared" si="28"/>
        <v>3.9987952283777832</v>
      </c>
      <c r="BE14" s="159">
        <f t="shared" si="29"/>
        <v>14.95796656593012</v>
      </c>
      <c r="BF14" s="159">
        <f t="shared" si="30"/>
        <v>11.475806208892285</v>
      </c>
      <c r="BG14" s="159">
        <f t="shared" si="31"/>
        <v>3.126549714671587</v>
      </c>
      <c r="BH14" s="159">
        <f t="shared" si="32"/>
        <v>5.5730335797793824</v>
      </c>
      <c r="BI14" s="159">
        <f t="shared" si="33"/>
        <v>3.0335687939417668</v>
      </c>
      <c r="BJ14" s="159">
        <f t="shared" si="34"/>
        <v>6.4687687419062154</v>
      </c>
      <c r="BK14" s="159">
        <f t="shared" si="35"/>
        <v>11.271307678933473</v>
      </c>
      <c r="BL14" s="159">
        <f t="shared" si="36"/>
        <v>0.67460823719054985</v>
      </c>
      <c r="BM14" s="159">
        <f t="shared" si="37"/>
        <v>2.06834235950575</v>
      </c>
      <c r="BN14" s="159">
        <f t="shared" si="38"/>
        <v>0.78137378025772786</v>
      </c>
      <c r="BO14" s="159">
        <f t="shared" si="39"/>
        <v>5.1784106726545813</v>
      </c>
      <c r="BP14" s="159">
        <f t="shared" si="40"/>
        <v>16.583580635135522</v>
      </c>
      <c r="BQ14" s="159">
        <f t="shared" si="41"/>
        <v>1.7513867696293124</v>
      </c>
      <c r="BR14" s="159">
        <f t="shared" si="42"/>
        <v>3.2633846116646277</v>
      </c>
      <c r="BS14" s="159">
        <f t="shared" si="43"/>
        <v>2.8037529762189055</v>
      </c>
      <c r="BT14" s="159">
        <f t="shared" si="44"/>
        <v>7.7251700198617526</v>
      </c>
      <c r="BU14" s="159">
        <f t="shared" si="45"/>
        <v>14.287944746290947</v>
      </c>
      <c r="BV14" s="159">
        <f t="shared" si="46"/>
        <v>1.5697614750010871</v>
      </c>
      <c r="BW14" s="159">
        <f t="shared" si="47"/>
        <v>3.2633846116646277</v>
      </c>
      <c r="BX14" s="159">
        <f t="shared" si="48"/>
        <v>2.8037529762189055</v>
      </c>
      <c r="BY14" s="159">
        <f t="shared" si="49"/>
        <v>10.713367653918167</v>
      </c>
      <c r="BZ14" s="159">
        <f t="shared" si="50"/>
        <v>11.54084562087581</v>
      </c>
      <c r="CA14" s="159">
        <f t="shared" si="51"/>
        <v>1.9200388289269497</v>
      </c>
      <c r="CB14" s="159">
        <f t="shared" si="52"/>
        <v>6.8932286331074106</v>
      </c>
      <c r="CC14" s="159">
        <f t="shared" si="53"/>
        <v>7.0592844336830858</v>
      </c>
      <c r="CD14" s="159">
        <f t="shared" si="54"/>
        <v>11.290592982241522</v>
      </c>
      <c r="CE14" s="159">
        <f t="shared" si="68"/>
        <v>7.0592844336830858</v>
      </c>
      <c r="CF14" s="159">
        <f t="shared" si="55"/>
        <v>6.4508256109560111</v>
      </c>
      <c r="CG14" s="159">
        <f t="shared" si="56"/>
        <v>12.070359167574285</v>
      </c>
      <c r="CH14" s="159">
        <f t="shared" si="69"/>
        <v>6.4508256109560111</v>
      </c>
      <c r="CI14" s="159">
        <f t="shared" si="70"/>
        <v>4.2445989120119521</v>
      </c>
    </row>
    <row r="15" spans="1:87" x14ac:dyDescent="0.25">
      <c r="A15" t="str">
        <f>PLANTILLA!D17</f>
        <v>E. Gross</v>
      </c>
      <c r="B15" t="s">
        <v>1020</v>
      </c>
      <c r="C15" s="666">
        <f>PLANTILLA!E17</f>
        <v>30</v>
      </c>
      <c r="D15" s="666">
        <f ca="1">PLANTILLA!F17</f>
        <v>54</v>
      </c>
      <c r="E15" s="666"/>
      <c r="F15" s="317">
        <v>41552</v>
      </c>
      <c r="G15" s="530">
        <v>1.5</v>
      </c>
      <c r="H15" s="531">
        <f>PLANTILLA!I17</f>
        <v>9</v>
      </c>
      <c r="I15" s="371"/>
      <c r="J15" s="163">
        <f>PLANTILLA!V17</f>
        <v>0</v>
      </c>
      <c r="K15" s="163">
        <f>PLANTILLA!W17</f>
        <v>10.349999999999996</v>
      </c>
      <c r="L15" s="163">
        <f>PLANTILLA!X17</f>
        <v>12.749777777777778</v>
      </c>
      <c r="M15" s="163">
        <f>PLANTILLA!Y17</f>
        <v>5.1199999999999983</v>
      </c>
      <c r="N15" s="163">
        <f>PLANTILLA!Z17</f>
        <v>9.24</v>
      </c>
      <c r="O15" s="163">
        <f>PLANTILLA!AA17</f>
        <v>2.98</v>
      </c>
      <c r="P15" s="163">
        <f>PLANTILLA!AB17</f>
        <v>16.959999999999997</v>
      </c>
      <c r="Q15" s="163">
        <f t="shared" si="57"/>
        <v>3.9787499999999998</v>
      </c>
      <c r="R15" s="163">
        <f t="shared" si="58"/>
        <v>12.801634594481213</v>
      </c>
      <c r="S15" s="163">
        <f t="shared" si="59"/>
        <v>0.65779999999999994</v>
      </c>
      <c r="T15" s="163">
        <f t="shared" si="60"/>
        <v>0.92279999999999984</v>
      </c>
      <c r="U15" s="163">
        <f t="shared" ca="1" si="0"/>
        <v>19.232323345919099</v>
      </c>
      <c r="V15" s="159">
        <f t="shared" si="1"/>
        <v>5.2768382809873735</v>
      </c>
      <c r="W15" s="159">
        <f t="shared" si="2"/>
        <v>7.9778194395815554</v>
      </c>
      <c r="X15" s="159">
        <f t="shared" si="61"/>
        <v>5.2768382809873735</v>
      </c>
      <c r="Y15" s="159">
        <f t="shared" si="3"/>
        <v>6.7711188464942538</v>
      </c>
      <c r="Z15" s="159">
        <f t="shared" si="4"/>
        <v>13.122323345919096</v>
      </c>
      <c r="AA15" s="159">
        <f t="shared" si="62"/>
        <v>3.3855594232471269</v>
      </c>
      <c r="AB15" s="159">
        <f t="shared" si="5"/>
        <v>3.6942600674398567</v>
      </c>
      <c r="AC15" s="159">
        <f t="shared" si="6"/>
        <v>4.9602382247574184</v>
      </c>
      <c r="AD15" s="159">
        <f t="shared" si="7"/>
        <v>9.4874397790995051</v>
      </c>
      <c r="AE15" s="159">
        <f t="shared" si="63"/>
        <v>2.4801191123787092</v>
      </c>
      <c r="AF15" s="159">
        <f t="shared" si="8"/>
        <v>5.9760089326232979</v>
      </c>
      <c r="AG15" s="387">
        <f t="shared" si="9"/>
        <v>12.072537478245568</v>
      </c>
      <c r="AH15" s="159">
        <f t="shared" si="10"/>
        <v>5.4326418652105053</v>
      </c>
      <c r="AI15" s="159">
        <f t="shared" si="11"/>
        <v>2.5921908876573787</v>
      </c>
      <c r="AJ15" s="387">
        <f t="shared" si="12"/>
        <v>4.6406861274004294</v>
      </c>
      <c r="AK15" s="159">
        <f t="shared" si="13"/>
        <v>9.8942318028229987</v>
      </c>
      <c r="AL15" s="159">
        <f t="shared" si="14"/>
        <v>9.2906049289107191</v>
      </c>
      <c r="AM15" s="159">
        <f t="shared" si="15"/>
        <v>3.2952979987684898</v>
      </c>
      <c r="AN15" s="159">
        <f t="shared" si="16"/>
        <v>1.9443091236247005</v>
      </c>
      <c r="AO15" s="159">
        <f t="shared" si="17"/>
        <v>3.5430273033981563</v>
      </c>
      <c r="AP15" s="159">
        <f t="shared" si="18"/>
        <v>7.7946600674759425</v>
      </c>
      <c r="AQ15" s="159">
        <f t="shared" si="64"/>
        <v>1.7715136516990782</v>
      </c>
      <c r="AR15" s="159">
        <f t="shared" si="19"/>
        <v>14.652863460769852</v>
      </c>
      <c r="AS15" s="159">
        <f t="shared" si="20"/>
        <v>1.561602034969483</v>
      </c>
      <c r="AT15" s="159">
        <f t="shared" si="21"/>
        <v>2.4366307403542962</v>
      </c>
      <c r="AU15" s="159">
        <f t="shared" si="65"/>
        <v>0.78080101748474151</v>
      </c>
      <c r="AV15" s="159">
        <f t="shared" si="22"/>
        <v>2.4801191123787092</v>
      </c>
      <c r="AW15" s="159">
        <f t="shared" si="23"/>
        <v>5.2489293383676383</v>
      </c>
      <c r="AX15" s="159">
        <f t="shared" si="66"/>
        <v>1.2400595561893546</v>
      </c>
      <c r="AY15" s="159">
        <f t="shared" si="24"/>
        <v>15.522101123696878</v>
      </c>
      <c r="AZ15" s="159">
        <f t="shared" si="25"/>
        <v>3.0391178065175324</v>
      </c>
      <c r="BA15" s="159">
        <f t="shared" si="26"/>
        <v>5.3041901636014241</v>
      </c>
      <c r="BB15" s="159">
        <f t="shared" si="67"/>
        <v>1.5195589032587662</v>
      </c>
      <c r="BC15" s="159">
        <f t="shared" si="27"/>
        <v>3.8185960936624568</v>
      </c>
      <c r="BD15" s="159">
        <f t="shared" si="28"/>
        <v>4.5665685243798446</v>
      </c>
      <c r="BE15" s="159">
        <f t="shared" si="29"/>
        <v>13.67497108997695</v>
      </c>
      <c r="BF15" s="159">
        <f t="shared" si="30"/>
        <v>8.3140754545220776</v>
      </c>
      <c r="BG15" s="159">
        <f t="shared" si="31"/>
        <v>2.8949699263665032</v>
      </c>
      <c r="BH15" s="159">
        <f t="shared" si="32"/>
        <v>6.364326822770761</v>
      </c>
      <c r="BI15" s="159">
        <f t="shared" si="33"/>
        <v>3.4642933633226414</v>
      </c>
      <c r="BJ15" s="159">
        <f t="shared" si="34"/>
        <v>5.9139205281285108</v>
      </c>
      <c r="BK15" s="159">
        <f t="shared" si="35"/>
        <v>7.7260106043332932</v>
      </c>
      <c r="BL15" s="159">
        <f t="shared" si="36"/>
        <v>0.62464081398779314</v>
      </c>
      <c r="BM15" s="159">
        <f t="shared" si="37"/>
        <v>2.3620182022654372</v>
      </c>
      <c r="BN15" s="159">
        <f t="shared" si="38"/>
        <v>0.89231798752249858</v>
      </c>
      <c r="BO15" s="159">
        <f t="shared" si="39"/>
        <v>4.734240842727548</v>
      </c>
      <c r="BP15" s="159">
        <f t="shared" si="40"/>
        <v>11.327847822851961</v>
      </c>
      <c r="BQ15" s="159">
        <f t="shared" si="41"/>
        <v>1.6216636516990786</v>
      </c>
      <c r="BR15" s="159">
        <f t="shared" si="42"/>
        <v>3.7267398302410228</v>
      </c>
      <c r="BS15" s="159">
        <f t="shared" si="43"/>
        <v>3.2018468964042595</v>
      </c>
      <c r="BT15" s="159">
        <f t="shared" si="44"/>
        <v>7.06255601128208</v>
      </c>
      <c r="BU15" s="159">
        <f t="shared" si="45"/>
        <v>9.7499742672783611</v>
      </c>
      <c r="BV15" s="159">
        <f t="shared" si="46"/>
        <v>1.453491124856211</v>
      </c>
      <c r="BW15" s="159">
        <f t="shared" si="47"/>
        <v>3.7267398302410228</v>
      </c>
      <c r="BX15" s="159">
        <f t="shared" si="48"/>
        <v>3.2018468964042595</v>
      </c>
      <c r="BY15" s="159">
        <f t="shared" si="49"/>
        <v>9.7944458090527302</v>
      </c>
      <c r="BZ15" s="159">
        <f t="shared" si="50"/>
        <v>7.8587893945975926</v>
      </c>
      <c r="CA15" s="159">
        <f t="shared" si="51"/>
        <v>1.7778238551960266</v>
      </c>
      <c r="CB15" s="159">
        <f t="shared" si="52"/>
        <v>6.3019730562209331</v>
      </c>
      <c r="CC15" s="159">
        <f t="shared" si="53"/>
        <v>4.8701204632238513</v>
      </c>
      <c r="CD15" s="159">
        <f t="shared" si="54"/>
        <v>9.8762960875049082</v>
      </c>
      <c r="CE15" s="159">
        <f t="shared" si="68"/>
        <v>4.8701204632238513</v>
      </c>
      <c r="CF15" s="159">
        <f t="shared" si="55"/>
        <v>4.8155574445075988</v>
      </c>
      <c r="CG15" s="159">
        <f t="shared" si="56"/>
        <v>10.184870660563249</v>
      </c>
      <c r="CH15" s="159">
        <f t="shared" si="69"/>
        <v>4.8155574445075988</v>
      </c>
      <c r="CI15" s="159">
        <f t="shared" si="70"/>
        <v>3.8805252809242194</v>
      </c>
    </row>
    <row r="16" spans="1:87" x14ac:dyDescent="0.25">
      <c r="A16" t="str">
        <f>PLANTILLA!D18</f>
        <v>L. Bauman</v>
      </c>
      <c r="B16" t="s">
        <v>1020</v>
      </c>
      <c r="C16" s="666">
        <f>PLANTILLA!E18</f>
        <v>30</v>
      </c>
      <c r="D16" s="666">
        <f ca="1">PLANTILLA!F18</f>
        <v>29</v>
      </c>
      <c r="E16" s="666"/>
      <c r="F16" s="317">
        <v>41686</v>
      </c>
      <c r="G16" s="530">
        <v>1.5</v>
      </c>
      <c r="H16" s="531">
        <f>PLANTILLA!I18</f>
        <v>8</v>
      </c>
      <c r="I16" s="371"/>
      <c r="J16" s="163">
        <f>PLANTILLA!V18</f>
        <v>0</v>
      </c>
      <c r="K16" s="163">
        <f>PLANTILLA!W18</f>
        <v>5.2811111111111115</v>
      </c>
      <c r="L16" s="163">
        <f>PLANTILLA!X18</f>
        <v>14.193842857142847</v>
      </c>
      <c r="M16" s="163">
        <f>PLANTILLA!Y18</f>
        <v>3.4924999999999993</v>
      </c>
      <c r="N16" s="163">
        <f>PLANTILLA!Z18</f>
        <v>9.1400000000000041</v>
      </c>
      <c r="O16" s="163">
        <f>PLANTILLA!AA18</f>
        <v>7.4318888888888894</v>
      </c>
      <c r="P16" s="163">
        <f>PLANTILLA!AB18</f>
        <v>16.07</v>
      </c>
      <c r="Q16" s="163">
        <f t="shared" si="57"/>
        <v>3.3201388888888901</v>
      </c>
      <c r="R16" s="163">
        <f t="shared" si="58"/>
        <v>19.551540717225151</v>
      </c>
      <c r="S16" s="163">
        <f t="shared" si="59"/>
        <v>0.85369444444444442</v>
      </c>
      <c r="T16" s="163">
        <f t="shared" si="60"/>
        <v>0.69334444444444443</v>
      </c>
      <c r="U16" s="163">
        <f t="shared" ca="1" si="0"/>
        <v>18.274119982655925</v>
      </c>
      <c r="V16" s="159">
        <f t="shared" si="1"/>
        <v>3.8182834115252895</v>
      </c>
      <c r="W16" s="159">
        <f t="shared" si="2"/>
        <v>5.7354911198310212</v>
      </c>
      <c r="X16" s="159">
        <f t="shared" si="61"/>
        <v>3.8182834115252895</v>
      </c>
      <c r="Y16" s="159">
        <f t="shared" si="3"/>
        <v>4.1203792443837912</v>
      </c>
      <c r="Z16" s="159">
        <f t="shared" si="4"/>
        <v>7.9852310937670365</v>
      </c>
      <c r="AA16" s="159">
        <f t="shared" si="62"/>
        <v>2.0601896221918956</v>
      </c>
      <c r="AB16" s="159">
        <f t="shared" si="5"/>
        <v>4.0217151558721076</v>
      </c>
      <c r="AC16" s="159">
        <f t="shared" si="6"/>
        <v>3.0184173534439398</v>
      </c>
      <c r="AD16" s="159">
        <f t="shared" si="7"/>
        <v>5.7733220807935668</v>
      </c>
      <c r="AE16" s="159">
        <f t="shared" si="63"/>
        <v>1.5092086767219699</v>
      </c>
      <c r="AF16" s="159">
        <f t="shared" si="8"/>
        <v>6.5057156933225277</v>
      </c>
      <c r="AG16" s="387">
        <f t="shared" si="9"/>
        <v>7.3464126062656741</v>
      </c>
      <c r="AH16" s="159">
        <f t="shared" si="10"/>
        <v>3.3058856728195529</v>
      </c>
      <c r="AI16" s="159">
        <f t="shared" si="11"/>
        <v>2.821959794246395</v>
      </c>
      <c r="AJ16" s="387">
        <f t="shared" si="12"/>
        <v>3.6436125498016834</v>
      </c>
      <c r="AK16" s="159">
        <f t="shared" si="13"/>
        <v>6.0208642447003458</v>
      </c>
      <c r="AL16" s="159">
        <f t="shared" si="14"/>
        <v>5.6535436143870612</v>
      </c>
      <c r="AM16" s="159">
        <f t="shared" si="15"/>
        <v>3.1352780371035398</v>
      </c>
      <c r="AN16" s="159">
        <f t="shared" si="16"/>
        <v>1.7349865550049064</v>
      </c>
      <c r="AO16" s="159">
        <f t="shared" si="17"/>
        <v>2.1560123953171</v>
      </c>
      <c r="AP16" s="159">
        <f t="shared" si="18"/>
        <v>4.7432272696976199</v>
      </c>
      <c r="AQ16" s="159">
        <f t="shared" si="64"/>
        <v>1.07800619765855</v>
      </c>
      <c r="AR16" s="159">
        <f t="shared" si="19"/>
        <v>15.951676920770041</v>
      </c>
      <c r="AS16" s="159">
        <f t="shared" si="20"/>
        <v>1.5397355977452709</v>
      </c>
      <c r="AT16" s="159">
        <f t="shared" si="21"/>
        <v>3.174823932695964</v>
      </c>
      <c r="AU16" s="159">
        <f t="shared" si="65"/>
        <v>0.76986779887263546</v>
      </c>
      <c r="AV16" s="159">
        <f t="shared" si="22"/>
        <v>1.5092086767219699</v>
      </c>
      <c r="AW16" s="159">
        <f t="shared" si="23"/>
        <v>3.1940924375068147</v>
      </c>
      <c r="AX16" s="159">
        <f t="shared" si="66"/>
        <v>0.75460433836098495</v>
      </c>
      <c r="AY16" s="159">
        <f t="shared" si="24"/>
        <v>16.897962839798772</v>
      </c>
      <c r="AZ16" s="159">
        <f t="shared" si="25"/>
        <v>2.9965623556119501</v>
      </c>
      <c r="BA16" s="159">
        <f t="shared" si="26"/>
        <v>6.1674067771100827</v>
      </c>
      <c r="BB16" s="159">
        <f t="shared" si="67"/>
        <v>1.498281177805975</v>
      </c>
      <c r="BC16" s="159">
        <f t="shared" si="27"/>
        <v>2.3237022482862075</v>
      </c>
      <c r="BD16" s="159">
        <f t="shared" si="28"/>
        <v>2.7788604206309286</v>
      </c>
      <c r="BE16" s="159">
        <f t="shared" si="29"/>
        <v>14.887105261862718</v>
      </c>
      <c r="BF16" s="159">
        <f t="shared" si="30"/>
        <v>7.2877576645811182</v>
      </c>
      <c r="BG16" s="159">
        <f t="shared" si="31"/>
        <v>2.854432915820079</v>
      </c>
      <c r="BH16" s="159">
        <f t="shared" si="32"/>
        <v>3.8728370804770127</v>
      </c>
      <c r="BI16" s="159">
        <f t="shared" si="33"/>
        <v>2.1081010087544976</v>
      </c>
      <c r="BJ16" s="159">
        <f t="shared" si="34"/>
        <v>6.438123841963332</v>
      </c>
      <c r="BK16" s="159">
        <f t="shared" si="35"/>
        <v>6.550993364841279</v>
      </c>
      <c r="BL16" s="159">
        <f t="shared" si="36"/>
        <v>0.61589423909810825</v>
      </c>
      <c r="BM16" s="159">
        <f t="shared" si="37"/>
        <v>1.4373415968780665</v>
      </c>
      <c r="BN16" s="159">
        <f t="shared" si="38"/>
        <v>0.54299571437615857</v>
      </c>
      <c r="BO16" s="159">
        <f t="shared" si="39"/>
        <v>5.1538786661386258</v>
      </c>
      <c r="BP16" s="159">
        <f t="shared" si="40"/>
        <v>9.5840382976955212</v>
      </c>
      <c r="BQ16" s="159">
        <f t="shared" si="41"/>
        <v>1.5989561976585505</v>
      </c>
      <c r="BR16" s="159">
        <f t="shared" si="42"/>
        <v>2.2678056306298382</v>
      </c>
      <c r="BS16" s="159">
        <f t="shared" si="43"/>
        <v>1.9483963868791569</v>
      </c>
      <c r="BT16" s="159">
        <f t="shared" si="44"/>
        <v>7.6885730921084416</v>
      </c>
      <c r="BU16" s="159">
        <f t="shared" si="45"/>
        <v>8.2438449407827648</v>
      </c>
      <c r="BV16" s="159">
        <f t="shared" si="46"/>
        <v>1.4331385179013674</v>
      </c>
      <c r="BW16" s="159">
        <f t="shared" si="47"/>
        <v>2.2678056306298382</v>
      </c>
      <c r="BX16" s="159">
        <f t="shared" si="48"/>
        <v>1.9483963868791569</v>
      </c>
      <c r="BY16" s="159">
        <f t="shared" si="49"/>
        <v>10.662614551913025</v>
      </c>
      <c r="BZ16" s="159">
        <f t="shared" si="50"/>
        <v>6.6359423844770529</v>
      </c>
      <c r="CA16" s="159">
        <f t="shared" si="51"/>
        <v>1.7529297574330773</v>
      </c>
      <c r="CB16" s="159">
        <f t="shared" si="52"/>
        <v>6.8605729129583022</v>
      </c>
      <c r="CC16" s="159">
        <f t="shared" si="53"/>
        <v>5.1406163998526271</v>
      </c>
      <c r="CD16" s="159">
        <f t="shared" si="54"/>
        <v>12.340650322692795</v>
      </c>
      <c r="CE16" s="159">
        <f t="shared" si="68"/>
        <v>5.1406163998526271</v>
      </c>
      <c r="CF16" s="159">
        <f t="shared" si="55"/>
        <v>5.5566803603057524</v>
      </c>
      <c r="CG16" s="159">
        <f t="shared" si="56"/>
        <v>14.506489145144851</v>
      </c>
      <c r="CH16" s="159">
        <f t="shared" si="69"/>
        <v>5.5566803603057524</v>
      </c>
      <c r="CI16" s="159">
        <f t="shared" si="70"/>
        <v>4.2244907099496931</v>
      </c>
    </row>
    <row r="17" spans="1:87" x14ac:dyDescent="0.25">
      <c r="A17" t="str">
        <f>PLANTILLA!D19</f>
        <v>W. Gelifini</v>
      </c>
      <c r="B17" t="s">
        <v>1020</v>
      </c>
      <c r="C17" s="666">
        <f>PLANTILLA!E19</f>
        <v>28</v>
      </c>
      <c r="D17" s="666">
        <f ca="1">PLANTILLA!F19</f>
        <v>91</v>
      </c>
      <c r="E17" s="666"/>
      <c r="F17" s="317">
        <v>41737</v>
      </c>
      <c r="G17" s="530">
        <v>1.5</v>
      </c>
      <c r="H17" s="531">
        <f>PLANTILLA!I19</f>
        <v>4</v>
      </c>
      <c r="I17" s="371"/>
      <c r="J17" s="163">
        <f>PLANTILLA!V19</f>
        <v>0</v>
      </c>
      <c r="K17" s="163">
        <f>PLANTILLA!W19</f>
        <v>5.6315555555555523</v>
      </c>
      <c r="L17" s="163">
        <f>PLANTILLA!X19</f>
        <v>9.8263388888888876</v>
      </c>
      <c r="M17" s="163">
        <f>PLANTILLA!Y19</f>
        <v>7.0526666666666671</v>
      </c>
      <c r="N17" s="163">
        <f>PLANTILLA!Z19</f>
        <v>9.2666666666666639</v>
      </c>
      <c r="O17" s="163">
        <f>PLANTILLA!AA19</f>
        <v>3.5417777777777766</v>
      </c>
      <c r="P17" s="163">
        <f>PLANTILLA!AB19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2.8867223594702955</v>
      </c>
      <c r="AC17" s="159">
        <f t="shared" si="6"/>
        <v>2.9991662356292919</v>
      </c>
      <c r="AD17" s="159">
        <f t="shared" si="7"/>
        <v>5.7365004983068202</v>
      </c>
      <c r="AE17" s="159">
        <f t="shared" si="63"/>
        <v>1.4995831178146459</v>
      </c>
      <c r="AF17" s="159">
        <f t="shared" si="8"/>
        <v>4.6696979344372425</v>
      </c>
      <c r="AG17" s="387">
        <f t="shared" si="9"/>
        <v>7.2995580338067425</v>
      </c>
      <c r="AH17" s="159">
        <f t="shared" si="10"/>
        <v>3.2848011152130336</v>
      </c>
      <c r="AI17" s="159">
        <f t="shared" si="11"/>
        <v>2.0255572858468041</v>
      </c>
      <c r="AJ17" s="387">
        <f t="shared" si="12"/>
        <v>5.5009830332011225</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11.449856753529239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12.129085543992838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10.685724364257691</v>
      </c>
      <c r="BF17" s="159">
        <f t="shared" si="30"/>
        <v>9.0143724430540768</v>
      </c>
      <c r="BG17" s="159">
        <f t="shared" si="31"/>
        <v>2.7882286105467182</v>
      </c>
      <c r="BH17" s="159">
        <f t="shared" si="32"/>
        <v>3.8481365721698584</v>
      </c>
      <c r="BI17" s="159">
        <f t="shared" si="33"/>
        <v>2.0946557836141086</v>
      </c>
      <c r="BJ17" s="159">
        <f t="shared" si="34"/>
        <v>4.6211815922612711</v>
      </c>
      <c r="BK17" s="159">
        <f t="shared" si="35"/>
        <v>8.621645243227519</v>
      </c>
      <c r="BL17" s="159">
        <f t="shared" si="36"/>
        <v>0.60160949273207198</v>
      </c>
      <c r="BM17" s="159">
        <f t="shared" si="37"/>
        <v>1.4281743979187103</v>
      </c>
      <c r="BN17" s="159">
        <f t="shared" si="38"/>
        <v>0.53953255032484615</v>
      </c>
      <c r="BO17" s="159">
        <f t="shared" si="39"/>
        <v>3.6993710909178157</v>
      </c>
      <c r="BP17" s="159">
        <f t="shared" si="40"/>
        <v>12.664265531797014</v>
      </c>
      <c r="BQ17" s="159">
        <f t="shared" si="41"/>
        <v>1.561870798439033</v>
      </c>
      <c r="BR17" s="159">
        <f t="shared" si="42"/>
        <v>2.2533418278272985</v>
      </c>
      <c r="BS17" s="159">
        <f t="shared" si="43"/>
        <v>1.9359697394009185</v>
      </c>
      <c r="BT17" s="159">
        <f t="shared" si="44"/>
        <v>5.5187339225167413</v>
      </c>
      <c r="BU17" s="159">
        <f t="shared" si="45"/>
        <v>10.906013960521843</v>
      </c>
      <c r="BV17" s="159">
        <f t="shared" si="46"/>
        <v>1.3998990119342443</v>
      </c>
      <c r="BW17" s="159">
        <f t="shared" si="47"/>
        <v>2.2533418278272985</v>
      </c>
      <c r="BX17" s="159">
        <f t="shared" si="48"/>
        <v>1.9359697394009185</v>
      </c>
      <c r="BY17" s="159">
        <f t="shared" si="49"/>
        <v>7.6534529782594811</v>
      </c>
      <c r="BZ17" s="159">
        <f t="shared" si="50"/>
        <v>8.800396922984703</v>
      </c>
      <c r="CA17" s="159">
        <f t="shared" si="51"/>
        <v>1.7122731716220509</v>
      </c>
      <c r="CB17" s="159">
        <f t="shared" si="52"/>
        <v>4.9244087308610922</v>
      </c>
      <c r="CC17" s="159">
        <f t="shared" si="53"/>
        <v>4.9817874517536023</v>
      </c>
      <c r="CD17" s="159">
        <f t="shared" si="54"/>
        <v>9.6895491780914895</v>
      </c>
      <c r="CE17" s="159">
        <f t="shared" si="68"/>
        <v>4.9817874517536023</v>
      </c>
      <c r="CF17" s="159">
        <f t="shared" si="55"/>
        <v>5.0999793883519828</v>
      </c>
      <c r="CG17" s="159">
        <f t="shared" si="56"/>
        <v>10.113637948615082</v>
      </c>
      <c r="CH17" s="159">
        <f t="shared" si="69"/>
        <v>5.0999793883519828</v>
      </c>
      <c r="CI17" s="159">
        <f t="shared" si="70"/>
        <v>3.0322713859982096</v>
      </c>
    </row>
    <row r="18" spans="1:87" x14ac:dyDescent="0.25">
      <c r="A18" t="str">
        <f>PLANTILLA!D20</f>
        <v>M. Amico</v>
      </c>
      <c r="B18" t="s">
        <v>1020</v>
      </c>
      <c r="C18" s="666">
        <f>PLANTILLA!E20</f>
        <v>28</v>
      </c>
      <c r="D18" s="666">
        <f ca="1">PLANTILLA!F20</f>
        <v>98</v>
      </c>
      <c r="E18" s="666" t="str">
        <f>PLANTILLA!G20</f>
        <v>IMP</v>
      </c>
      <c r="F18" s="317">
        <v>41730</v>
      </c>
      <c r="G18" s="530">
        <v>1.5</v>
      </c>
      <c r="H18" s="531">
        <f>PLANTILLA!I20</f>
        <v>1.2</v>
      </c>
      <c r="I18" s="371"/>
      <c r="J18" s="163">
        <f>PLANTILLA!V20</f>
        <v>0</v>
      </c>
      <c r="K18" s="163">
        <f>PLANTILLA!W20</f>
        <v>2.47611111111111</v>
      </c>
      <c r="L18" s="163">
        <f>PLANTILLA!X20</f>
        <v>7.2899999999999983</v>
      </c>
      <c r="M18" s="163">
        <f>PLANTILLA!Y20</f>
        <v>4.1588235294117641</v>
      </c>
      <c r="N18" s="163">
        <f>PLANTILLA!Z20</f>
        <v>7.2649999999999988</v>
      </c>
      <c r="O18" s="163">
        <f>PLANTILLA!AA20</f>
        <v>4.3299999999999983</v>
      </c>
      <c r="P18" s="163">
        <f>PLANTILLA!AB20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2.117146848745779</v>
      </c>
      <c r="AC18" s="159">
        <f t="shared" si="6"/>
        <v>1.5428773480080025</v>
      </c>
      <c r="AD18" s="159">
        <f t="shared" si="7"/>
        <v>2.9510590545232427</v>
      </c>
      <c r="AE18" s="159">
        <f t="shared" si="63"/>
        <v>0.77143867400400123</v>
      </c>
      <c r="AF18" s="159">
        <f t="shared" si="8"/>
        <v>3.4247963729711137</v>
      </c>
      <c r="AG18" s="387">
        <f t="shared" si="9"/>
        <v>3.7551512173739745</v>
      </c>
      <c r="AH18" s="159">
        <f t="shared" si="10"/>
        <v>1.6898180478182885</v>
      </c>
      <c r="AI18" s="159">
        <f t="shared" si="11"/>
        <v>1.4855610241199375</v>
      </c>
      <c r="AJ18" s="387">
        <f t="shared" si="12"/>
        <v>3.3894663321954552</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8.3974227950252747</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8.8955749947301648</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7.8370015703572751</v>
      </c>
      <c r="BF18" s="159">
        <f t="shared" si="30"/>
        <v>6.1029958761974701</v>
      </c>
      <c r="BG18" s="159">
        <f t="shared" si="31"/>
        <v>2.1378085737299695</v>
      </c>
      <c r="BH18" s="159">
        <f t="shared" si="32"/>
        <v>1.979617761333019</v>
      </c>
      <c r="BI18" s="159">
        <f t="shared" si="33"/>
        <v>1.0775651319420971</v>
      </c>
      <c r="BJ18" s="159">
        <f t="shared" si="34"/>
        <v>3.3892140729921927</v>
      </c>
      <c r="BK18" s="159">
        <f t="shared" si="35"/>
        <v>5.6624257806882827</v>
      </c>
      <c r="BL18" s="159">
        <f t="shared" si="36"/>
        <v>0.46126989972596855</v>
      </c>
      <c r="BM18" s="159">
        <f t="shared" si="37"/>
        <v>0.73470349905142973</v>
      </c>
      <c r="BN18" s="159">
        <f t="shared" si="38"/>
        <v>0.27755465519720685</v>
      </c>
      <c r="BO18" s="159">
        <f t="shared" si="39"/>
        <v>2.7131503733927</v>
      </c>
      <c r="BP18" s="159">
        <f t="shared" si="40"/>
        <v>8.301382972634757</v>
      </c>
      <c r="BQ18" s="159">
        <f t="shared" si="41"/>
        <v>1.1975276242885722</v>
      </c>
      <c r="BR18" s="159">
        <f t="shared" si="42"/>
        <v>1.1591988540589224</v>
      </c>
      <c r="BS18" s="159">
        <f t="shared" si="43"/>
        <v>0.99593140982527151</v>
      </c>
      <c r="BT18" s="159">
        <f t="shared" si="44"/>
        <v>4.047486622602225</v>
      </c>
      <c r="BU18" s="159">
        <f t="shared" si="45"/>
        <v>7.1448606235727876</v>
      </c>
      <c r="BV18" s="159">
        <f t="shared" si="46"/>
        <v>1.0733395743623499</v>
      </c>
      <c r="BW18" s="159">
        <f t="shared" si="47"/>
        <v>1.1591988540589224</v>
      </c>
      <c r="BX18" s="159">
        <f t="shared" si="48"/>
        <v>0.99593140982527151</v>
      </c>
      <c r="BY18" s="159">
        <f t="shared" si="49"/>
        <v>5.6131078216747339</v>
      </c>
      <c r="BZ18" s="159">
        <f t="shared" si="50"/>
        <v>5.7586287379305565</v>
      </c>
      <c r="CA18" s="159">
        <f t="shared" si="51"/>
        <v>1.3128450992200642</v>
      </c>
      <c r="CB18" s="159">
        <f t="shared" si="52"/>
        <v>3.6116034478604471</v>
      </c>
      <c r="CC18" s="159">
        <f t="shared" si="53"/>
        <v>3.8015351604897103</v>
      </c>
      <c r="CD18" s="159">
        <f t="shared" si="54"/>
        <v>8.2771624440661657</v>
      </c>
      <c r="CE18" s="159">
        <f t="shared" si="68"/>
        <v>3.8015351604897103</v>
      </c>
      <c r="CF18" s="159">
        <f t="shared" si="55"/>
        <v>3.9468032217168929</v>
      </c>
      <c r="CG18" s="159">
        <f t="shared" si="56"/>
        <v>9.208817167785595</v>
      </c>
      <c r="CH18" s="159">
        <f t="shared" si="69"/>
        <v>3.9468032217168929</v>
      </c>
      <c r="CI18" s="159">
        <f t="shared" si="70"/>
        <v>2.2238937486825412</v>
      </c>
    </row>
    <row r="19" spans="1:87" x14ac:dyDescent="0.25">
      <c r="A19" t="str">
        <f>PLANTILLA!D22</f>
        <v>J. Limon</v>
      </c>
      <c r="B19" t="s">
        <v>1020</v>
      </c>
      <c r="C19" s="666">
        <f>PLANTILLA!E22</f>
        <v>29</v>
      </c>
      <c r="D19" s="666">
        <f ca="1">PLANTILLA!F22</f>
        <v>66</v>
      </c>
      <c r="E19" s="666" t="str">
        <f>PLANTILLA!G22</f>
        <v>RAP</v>
      </c>
      <c r="F19" s="317">
        <v>41664</v>
      </c>
      <c r="G19" s="530">
        <v>1.5</v>
      </c>
      <c r="H19" s="531">
        <f>PLANTILLA!I22</f>
        <v>9.9</v>
      </c>
      <c r="I19" s="371"/>
      <c r="J19" s="163">
        <f>PLANTILLA!V22</f>
        <v>0</v>
      </c>
      <c r="K19" s="163">
        <f>PLANTILLA!W22</f>
        <v>6.8176190476190497</v>
      </c>
      <c r="L19" s="163">
        <f>PLANTILLA!X22</f>
        <v>8.3125</v>
      </c>
      <c r="M19" s="163">
        <f>PLANTILLA!Y22</f>
        <v>8.7199999999999971</v>
      </c>
      <c r="N19" s="163">
        <f>PLANTILLA!Z22</f>
        <v>9.6900000000000013</v>
      </c>
      <c r="O19" s="163">
        <f>PLANTILLA!AA22</f>
        <v>8.5625000000000018</v>
      </c>
      <c r="P19" s="163">
        <f>PLANTILLA!AB22</f>
        <v>18.639999999999993</v>
      </c>
      <c r="Q19" s="163">
        <f t="shared" si="57"/>
        <v>3.6497023809523816</v>
      </c>
      <c r="R19" s="163">
        <f t="shared" si="58"/>
        <v>23.114555040080781</v>
      </c>
      <c r="S19" s="163">
        <f t="shared" si="59"/>
        <v>0.9873249999999999</v>
      </c>
      <c r="T19" s="163">
        <f t="shared" si="60"/>
        <v>0.83190476190476181</v>
      </c>
      <c r="U19" s="163">
        <f t="shared" ca="1" si="0"/>
        <v>20.967513592796728</v>
      </c>
      <c r="V19" s="159">
        <f t="shared" si="1"/>
        <v>4.3500822236544066</v>
      </c>
      <c r="W19" s="159">
        <f t="shared" si="2"/>
        <v>6.5478081435386795</v>
      </c>
      <c r="X19" s="159">
        <f t="shared" si="61"/>
        <v>4.3500822236544066</v>
      </c>
      <c r="Y19" s="159">
        <f t="shared" si="3"/>
        <v>4.9768884424545448</v>
      </c>
      <c r="Z19" s="159">
        <f t="shared" si="4"/>
        <v>9.6451326404157847</v>
      </c>
      <c r="AA19" s="159">
        <f t="shared" si="62"/>
        <v>2.4884442212272724</v>
      </c>
      <c r="AB19" s="159">
        <f t="shared" si="5"/>
        <v>2.6513232350856226</v>
      </c>
      <c r="AC19" s="159">
        <f t="shared" si="6"/>
        <v>3.6458601380771665</v>
      </c>
      <c r="AD19" s="159">
        <f t="shared" si="7"/>
        <v>6.9734308990206122</v>
      </c>
      <c r="AE19" s="159">
        <f t="shared" si="63"/>
        <v>1.8229300690385832</v>
      </c>
      <c r="AF19" s="159">
        <f t="shared" si="8"/>
        <v>4.2889052332267426</v>
      </c>
      <c r="AG19" s="387">
        <f t="shared" si="9"/>
        <v>8.8735220291825225</v>
      </c>
      <c r="AH19" s="159">
        <f t="shared" si="10"/>
        <v>3.9930849131321344</v>
      </c>
      <c r="AI19" s="159">
        <f t="shared" si="11"/>
        <v>1.8603822699970547</v>
      </c>
      <c r="AJ19" s="387">
        <f t="shared" si="12"/>
        <v>6.7899379925644769</v>
      </c>
      <c r="AK19" s="159">
        <f t="shared" si="13"/>
        <v>7.272430010873502</v>
      </c>
      <c r="AL19" s="159">
        <f t="shared" si="14"/>
        <v>6.8287539094143748</v>
      </c>
      <c r="AM19" s="159">
        <f t="shared" si="15"/>
        <v>3.5850747699970538</v>
      </c>
      <c r="AN19" s="159">
        <f t="shared" si="16"/>
        <v>1.865438200439745</v>
      </c>
      <c r="AO19" s="159">
        <f t="shared" si="17"/>
        <v>2.6041858129122621</v>
      </c>
      <c r="AP19" s="159">
        <f t="shared" si="18"/>
        <v>5.729208788406976</v>
      </c>
      <c r="AQ19" s="159">
        <f t="shared" si="64"/>
        <v>1.3020929064561311</v>
      </c>
      <c r="AR19" s="159">
        <f t="shared" si="19"/>
        <v>10.516172831600116</v>
      </c>
      <c r="AS19" s="159">
        <f t="shared" si="20"/>
        <v>1.6272767670635757</v>
      </c>
      <c r="AT19" s="159">
        <f t="shared" si="21"/>
        <v>3.4725739826894433</v>
      </c>
      <c r="AU19" s="159">
        <f t="shared" si="65"/>
        <v>0.81363838353178786</v>
      </c>
      <c r="AV19" s="387">
        <f t="shared" si="22"/>
        <v>1.8229300690385832</v>
      </c>
      <c r="AW19" s="387">
        <f t="shared" si="23"/>
        <v>3.8580530561663142</v>
      </c>
      <c r="AX19" s="387">
        <f t="shared" si="66"/>
        <v>0.91146503451929162</v>
      </c>
      <c r="AY19" s="387">
        <f t="shared" si="24"/>
        <v>11.140013592796734</v>
      </c>
      <c r="AZ19" s="387">
        <f t="shared" si="25"/>
        <v>3.1669309389775742</v>
      </c>
      <c r="BA19" s="387">
        <f t="shared" si="26"/>
        <v>6.6603749896310021</v>
      </c>
      <c r="BB19" s="387">
        <f t="shared" si="67"/>
        <v>1.5834654694887871</v>
      </c>
      <c r="BC19" s="387">
        <f t="shared" si="27"/>
        <v>2.8067335983609931</v>
      </c>
      <c r="BD19" s="387">
        <f t="shared" si="28"/>
        <v>3.3565061588646929</v>
      </c>
      <c r="BE19" s="387">
        <f t="shared" si="29"/>
        <v>9.8143519752539223</v>
      </c>
      <c r="BF19" s="387">
        <f t="shared" si="30"/>
        <v>10.571289583996293</v>
      </c>
      <c r="BG19" s="387">
        <f t="shared" si="31"/>
        <v>3.0167207758640133</v>
      </c>
      <c r="BH19" s="387">
        <f t="shared" si="32"/>
        <v>4.6778893306016558</v>
      </c>
      <c r="BI19" s="387">
        <f t="shared" si="33"/>
        <v>2.5463150170697673</v>
      </c>
      <c r="BJ19" s="387">
        <f t="shared" si="34"/>
        <v>4.2443451788555562</v>
      </c>
      <c r="BK19" s="387">
        <f t="shared" si="35"/>
        <v>10.287496880104342</v>
      </c>
      <c r="BL19" s="387">
        <f t="shared" si="36"/>
        <v>0.65091070682543017</v>
      </c>
      <c r="BM19" s="387">
        <f t="shared" si="37"/>
        <v>1.7361238752748411</v>
      </c>
      <c r="BN19" s="387">
        <f t="shared" si="38"/>
        <v>0.65586901954827337</v>
      </c>
      <c r="BO19" s="387">
        <f t="shared" si="39"/>
        <v>3.397704145803004</v>
      </c>
      <c r="BP19" s="387">
        <f t="shared" si="40"/>
        <v>15.127522480336594</v>
      </c>
      <c r="BQ19" s="387">
        <f t="shared" si="41"/>
        <v>1.6898643350275593</v>
      </c>
      <c r="BR19" s="387">
        <f t="shared" si="42"/>
        <v>2.7392176698780828</v>
      </c>
      <c r="BS19" s="387">
        <f t="shared" si="43"/>
        <v>2.3534123642614513</v>
      </c>
      <c r="BT19" s="387">
        <f t="shared" si="44"/>
        <v>5.0687061847225143</v>
      </c>
      <c r="BU19" s="387">
        <f t="shared" si="45"/>
        <v>13.031325060818777</v>
      </c>
      <c r="BV19" s="387">
        <f t="shared" si="46"/>
        <v>1.514619144728405</v>
      </c>
      <c r="BW19" s="387">
        <f t="shared" si="47"/>
        <v>2.7392176698780828</v>
      </c>
      <c r="BX19" s="387">
        <f t="shared" si="48"/>
        <v>2.3534123642614513</v>
      </c>
      <c r="BY19" s="387">
        <f t="shared" si="49"/>
        <v>7.0293485770547397</v>
      </c>
      <c r="BZ19" s="387">
        <f t="shared" si="50"/>
        <v>10.522234665553075</v>
      </c>
      <c r="CA19" s="387">
        <f t="shared" si="51"/>
        <v>1.8525920117339167</v>
      </c>
      <c r="CB19" s="387">
        <f t="shared" si="52"/>
        <v>4.5228455186754744</v>
      </c>
      <c r="CC19" s="387">
        <f t="shared" si="53"/>
        <v>6.2387520818470978</v>
      </c>
      <c r="CD19" s="387">
        <f t="shared" si="54"/>
        <v>13.437387805489124</v>
      </c>
      <c r="CE19" s="387">
        <f t="shared" si="68"/>
        <v>6.2387520818470978</v>
      </c>
      <c r="CF19" s="387">
        <f t="shared" si="55"/>
        <v>7.1608909683123638</v>
      </c>
      <c r="CG19" s="387">
        <f t="shared" si="56"/>
        <v>16.008976108538729</v>
      </c>
      <c r="CH19" s="387">
        <f t="shared" si="69"/>
        <v>7.1608909683123638</v>
      </c>
      <c r="CI19" s="387">
        <f t="shared" si="70"/>
        <v>2.7850033981991835</v>
      </c>
    </row>
    <row r="20" spans="1:87" x14ac:dyDescent="0.25">
      <c r="A20" t="str">
        <f>PLANTILLA!D23</f>
        <v>L. Calosso</v>
      </c>
      <c r="C20" s="666">
        <f>PLANTILLA!E23</f>
        <v>30</v>
      </c>
      <c r="D20" s="666">
        <f ca="1">PLANTILLA!F23</f>
        <v>23</v>
      </c>
      <c r="E20" s="666" t="str">
        <f>PLANTILLA!G23</f>
        <v>TEC</v>
      </c>
      <c r="F20" s="317">
        <v>41890</v>
      </c>
      <c r="G20" s="530">
        <v>1</v>
      </c>
      <c r="H20" s="531">
        <f>PLANTILLA!I23</f>
        <v>10.1</v>
      </c>
      <c r="I20" s="371"/>
      <c r="J20" s="163">
        <f>PLANTILLA!V23</f>
        <v>0</v>
      </c>
      <c r="K20" s="163">
        <f>PLANTILLA!W23</f>
        <v>2</v>
      </c>
      <c r="L20" s="163">
        <f>PLANTILLA!X23</f>
        <v>14.0938</v>
      </c>
      <c r="M20" s="163">
        <f>PLANTILLA!Y23</f>
        <v>3</v>
      </c>
      <c r="N20" s="163">
        <f>PLANTILLA!Z23</f>
        <v>15.02</v>
      </c>
      <c r="O20" s="163">
        <f>PLANTILLA!AA23</f>
        <v>10</v>
      </c>
      <c r="P20" s="163">
        <f>PLANTILLA!AB23</f>
        <v>9.3000000000000007</v>
      </c>
      <c r="Q20" s="163">
        <f t="shared" si="57"/>
        <v>4.38</v>
      </c>
      <c r="R20" s="163">
        <f t="shared" si="58"/>
        <v>19.284400314746186</v>
      </c>
      <c r="S20" s="163">
        <f t="shared" si="59"/>
        <v>0.77900000000000003</v>
      </c>
      <c r="T20" s="163">
        <f t="shared" si="60"/>
        <v>0.35899999999999999</v>
      </c>
      <c r="U20" s="163">
        <f t="shared" ca="1" si="0"/>
        <v>11.639095165043525</v>
      </c>
      <c r="V20" s="159">
        <f t="shared" si="1"/>
        <v>2.5940300790829958</v>
      </c>
      <c r="W20" s="159">
        <f t="shared" si="2"/>
        <v>3.8697718580711884</v>
      </c>
      <c r="X20" s="159">
        <f t="shared" si="61"/>
        <v>2.5940300790829958</v>
      </c>
      <c r="Y20" s="159">
        <f t="shared" si="3"/>
        <v>2.238973105162458</v>
      </c>
      <c r="Z20" s="159">
        <f t="shared" si="4"/>
        <v>4.3390951650435232</v>
      </c>
      <c r="AA20" s="159">
        <f t="shared" si="62"/>
        <v>1.119486552581229</v>
      </c>
      <c r="AB20" s="159">
        <f t="shared" si="5"/>
        <v>3.9110290492803581</v>
      </c>
      <c r="AC20" s="159">
        <f t="shared" si="6"/>
        <v>1.6401779723864518</v>
      </c>
      <c r="AD20" s="159">
        <f t="shared" si="7"/>
        <v>3.1371658043264672</v>
      </c>
      <c r="AE20" s="159">
        <f t="shared" si="63"/>
        <v>0.8200889861932259</v>
      </c>
      <c r="AF20" s="159">
        <f t="shared" si="8"/>
        <v>6.3266646385417564</v>
      </c>
      <c r="AG20" s="387">
        <f t="shared" si="9"/>
        <v>3.9919675518400415</v>
      </c>
      <c r="AH20" s="159">
        <f t="shared" si="10"/>
        <v>1.7963853983280185</v>
      </c>
      <c r="AI20" s="159">
        <f t="shared" si="11"/>
        <v>2.7442934925622682</v>
      </c>
      <c r="AJ20" s="387">
        <f t="shared" si="12"/>
        <v>3.1393879570455914</v>
      </c>
      <c r="AK20" s="159">
        <f t="shared" si="13"/>
        <v>3.2716777544428166</v>
      </c>
      <c r="AL20" s="159">
        <f t="shared" si="14"/>
        <v>3.0720793768508141</v>
      </c>
      <c r="AM20" s="159">
        <f t="shared" si="15"/>
        <v>1.9437288925622687</v>
      </c>
      <c r="AN20" s="159">
        <f t="shared" si="16"/>
        <v>1.9350994075325345</v>
      </c>
      <c r="AO20" s="159">
        <f t="shared" si="17"/>
        <v>1.1715556945617513</v>
      </c>
      <c r="AP20" s="159">
        <f t="shared" si="18"/>
        <v>2.5774225280358527</v>
      </c>
      <c r="AQ20" s="159">
        <f t="shared" si="64"/>
        <v>0.58577784728087567</v>
      </c>
      <c r="AR20" s="159">
        <f t="shared" si="19"/>
        <v>15.512653035801085</v>
      </c>
      <c r="AS20" s="159">
        <f t="shared" si="20"/>
        <v>2.2566823714556583</v>
      </c>
      <c r="AT20" s="159">
        <f t="shared" si="21"/>
        <v>4.2177548833577525</v>
      </c>
      <c r="AU20" s="159">
        <f t="shared" si="65"/>
        <v>1.1283411857278292</v>
      </c>
      <c r="AV20" s="387">
        <f t="shared" si="22"/>
        <v>0.8200889861932259</v>
      </c>
      <c r="AW20" s="387">
        <f t="shared" si="23"/>
        <v>1.7356380660174093</v>
      </c>
      <c r="AX20" s="387">
        <f t="shared" si="66"/>
        <v>0.41004449309661295</v>
      </c>
      <c r="AY20" s="387">
        <f t="shared" si="24"/>
        <v>16.432895165043522</v>
      </c>
      <c r="AZ20" s="387">
        <f t="shared" si="25"/>
        <v>4.3918510767560113</v>
      </c>
      <c r="BA20" s="387">
        <f t="shared" si="26"/>
        <v>8.5106614359389816</v>
      </c>
      <c r="BB20" s="387">
        <f t="shared" si="67"/>
        <v>2.1959255383780056</v>
      </c>
      <c r="BC20" s="387">
        <f t="shared" si="27"/>
        <v>1.2626766930276652</v>
      </c>
      <c r="BD20" s="387">
        <f t="shared" si="28"/>
        <v>1.5100051174351459</v>
      </c>
      <c r="BE20" s="387">
        <f t="shared" si="29"/>
        <v>14.477380640403343</v>
      </c>
      <c r="BF20" s="387">
        <f t="shared" si="30"/>
        <v>8.532755601723693</v>
      </c>
      <c r="BG20" s="387">
        <f t="shared" si="31"/>
        <v>4.183541934775489</v>
      </c>
      <c r="BH20" s="387">
        <f t="shared" si="32"/>
        <v>2.1044611550461085</v>
      </c>
      <c r="BI20" s="387">
        <f t="shared" si="33"/>
        <v>1.1455211235714902</v>
      </c>
      <c r="BJ20" s="387">
        <f t="shared" si="34"/>
        <v>6.2609330578815818</v>
      </c>
      <c r="BK20" s="387">
        <f t="shared" si="35"/>
        <v>7.0823891742480392</v>
      </c>
      <c r="BL20" s="387">
        <f t="shared" si="36"/>
        <v>0.90267294858226321</v>
      </c>
      <c r="BM20" s="387">
        <f t="shared" si="37"/>
        <v>0.78103712970783412</v>
      </c>
      <c r="BN20" s="387">
        <f t="shared" si="38"/>
        <v>0.29505847122295958</v>
      </c>
      <c r="BO20" s="387">
        <f t="shared" si="39"/>
        <v>5.0120330253382743</v>
      </c>
      <c r="BP20" s="387">
        <f t="shared" si="40"/>
        <v>10.30379638224597</v>
      </c>
      <c r="BQ20" s="387">
        <f t="shared" si="41"/>
        <v>2.3434778472808757</v>
      </c>
      <c r="BR20" s="387">
        <f t="shared" si="42"/>
        <v>1.2323030268723605</v>
      </c>
      <c r="BS20" s="387">
        <f t="shared" si="43"/>
        <v>1.0587392202706196</v>
      </c>
      <c r="BT20" s="387">
        <f t="shared" si="44"/>
        <v>7.4769673000948025</v>
      </c>
      <c r="BU20" s="387">
        <f t="shared" si="45"/>
        <v>8.8485974428682237</v>
      </c>
      <c r="BV20" s="387">
        <f t="shared" si="46"/>
        <v>2.1004505149702664</v>
      </c>
      <c r="BW20" s="387">
        <f t="shared" si="47"/>
        <v>1.2323030268723605</v>
      </c>
      <c r="BX20" s="387">
        <f t="shared" si="48"/>
        <v>1.0587392202706196</v>
      </c>
      <c r="BY20" s="387">
        <f t="shared" si="49"/>
        <v>10.369156849142463</v>
      </c>
      <c r="BZ20" s="387">
        <f t="shared" si="50"/>
        <v>7.0983501727139533</v>
      </c>
      <c r="CA20" s="387">
        <f t="shared" si="51"/>
        <v>2.5691460844264413</v>
      </c>
      <c r="CB20" s="387">
        <f t="shared" si="52"/>
        <v>6.6717554370076702</v>
      </c>
      <c r="CC20" s="387">
        <f t="shared" si="53"/>
        <v>7.9922761941911578</v>
      </c>
      <c r="CD20" s="387">
        <f t="shared" si="54"/>
        <v>16.619681155839007</v>
      </c>
      <c r="CE20" s="387">
        <f t="shared" si="68"/>
        <v>7.9922761941911578</v>
      </c>
      <c r="CF20" s="387">
        <f t="shared" si="55"/>
        <v>6.8530962878221153</v>
      </c>
      <c r="CG20" s="387">
        <f t="shared" si="56"/>
        <v>18.744601280944586</v>
      </c>
      <c r="CH20" s="387">
        <f t="shared" si="69"/>
        <v>6.8530962878221153</v>
      </c>
      <c r="CI20" s="387">
        <f t="shared" si="70"/>
        <v>4.1082237912608806</v>
      </c>
    </row>
    <row r="21" spans="1:87" x14ac:dyDescent="0.25">
      <c r="A21" t="str">
        <f>PLANTILLA!D24</f>
        <v>P .Trivadi</v>
      </c>
      <c r="B21" t="s">
        <v>1020</v>
      </c>
      <c r="C21" s="666">
        <f>PLANTILLA!E24</f>
        <v>26</v>
      </c>
      <c r="D21" s="666">
        <f ca="1">PLANTILLA!F24</f>
        <v>97</v>
      </c>
      <c r="E21" s="666"/>
      <c r="F21" s="317">
        <v>41973</v>
      </c>
      <c r="G21" s="530">
        <v>1.5</v>
      </c>
      <c r="H21" s="531">
        <f>PLANTILLA!I24</f>
        <v>5.3</v>
      </c>
      <c r="I21" s="371"/>
      <c r="J21" s="163">
        <f>PLANTILLA!V24</f>
        <v>0</v>
      </c>
      <c r="K21" s="163">
        <f>PLANTILLA!W24</f>
        <v>4</v>
      </c>
      <c r="L21" s="163">
        <f>PLANTILLA!X24</f>
        <v>5.5138722222222212</v>
      </c>
      <c r="M21" s="163">
        <f>PLANTILLA!Y24</f>
        <v>5.47</v>
      </c>
      <c r="N21" s="163">
        <f>PLANTILLA!Z24</f>
        <v>10.799999999999999</v>
      </c>
      <c r="O21" s="163">
        <f>PLANTILLA!AA24</f>
        <v>8.384500000000001</v>
      </c>
      <c r="P21" s="163">
        <f>PLANTILLA!AB24</f>
        <v>13.566666666666668</v>
      </c>
      <c r="Q21" s="163">
        <f t="shared" si="57"/>
        <v>3.5749999999999997</v>
      </c>
      <c r="R21" s="163">
        <f t="shared" si="58"/>
        <v>19.229136229090329</v>
      </c>
      <c r="S21" s="163">
        <f t="shared" si="59"/>
        <v>0.82622500000000021</v>
      </c>
      <c r="T21" s="163">
        <f t="shared" si="60"/>
        <v>0.56699999999999995</v>
      </c>
      <c r="U21" s="163">
        <f t="shared" ca="1" si="0"/>
        <v>15.532367826134386</v>
      </c>
      <c r="V21" s="159">
        <f t="shared" si="1"/>
        <v>3.2565571122153183</v>
      </c>
      <c r="W21" s="159">
        <f t="shared" si="2"/>
        <v>4.8832201968728244</v>
      </c>
      <c r="X21" s="159">
        <f t="shared" si="61"/>
        <v>3.2565571122153183</v>
      </c>
      <c r="Y21" s="159">
        <f t="shared" si="3"/>
        <v>3.3363017982853429</v>
      </c>
      <c r="Z21" s="159">
        <f t="shared" si="4"/>
        <v>6.4657011594677183</v>
      </c>
      <c r="AA21" s="159">
        <f t="shared" si="62"/>
        <v>1.6681508991426715</v>
      </c>
      <c r="AB21" s="159">
        <f t="shared" si="5"/>
        <v>1.8991384648422056</v>
      </c>
      <c r="AC21" s="159">
        <f t="shared" si="6"/>
        <v>2.4440350382787974</v>
      </c>
      <c r="AD21" s="159">
        <f t="shared" si="7"/>
        <v>4.6747019382951605</v>
      </c>
      <c r="AE21" s="159">
        <f t="shared" si="63"/>
        <v>1.2220175191393987</v>
      </c>
      <c r="AF21" s="159">
        <f t="shared" si="8"/>
        <v>3.0721357519506269</v>
      </c>
      <c r="AG21" s="387">
        <f t="shared" si="9"/>
        <v>5.9484450667103008</v>
      </c>
      <c r="AH21" s="159">
        <f t="shared" si="10"/>
        <v>2.6768002800196351</v>
      </c>
      <c r="AI21" s="159">
        <f t="shared" si="11"/>
        <v>1.3325887547422202</v>
      </c>
      <c r="AJ21" s="387">
        <f t="shared" si="12"/>
        <v>4.6661922817670183</v>
      </c>
      <c r="AK21" s="159">
        <f t="shared" si="13"/>
        <v>4.8751386742386593</v>
      </c>
      <c r="AL21" s="159">
        <f t="shared" si="14"/>
        <v>4.577716420903144</v>
      </c>
      <c r="AM21" s="159">
        <f t="shared" si="15"/>
        <v>2.6774054269644427</v>
      </c>
      <c r="AN21" s="159">
        <f t="shared" si="16"/>
        <v>1.7397219339267025</v>
      </c>
      <c r="AO21" s="159">
        <f t="shared" si="17"/>
        <v>1.7457393130562842</v>
      </c>
      <c r="AP21" s="159">
        <f t="shared" si="18"/>
        <v>3.8406264887238244</v>
      </c>
      <c r="AQ21" s="159">
        <f t="shared" si="64"/>
        <v>0.87286965652814208</v>
      </c>
      <c r="AR21" s="159">
        <f t="shared" si="19"/>
        <v>7.5327172723153035</v>
      </c>
      <c r="AS21" s="159">
        <f t="shared" si="20"/>
        <v>1.7245411507308033</v>
      </c>
      <c r="AT21" s="159">
        <f t="shared" si="21"/>
        <v>3.4689689397240411</v>
      </c>
      <c r="AU21" s="159">
        <f t="shared" si="65"/>
        <v>0.86227057536540164</v>
      </c>
      <c r="AV21" s="387">
        <f t="shared" si="22"/>
        <v>1.2220175191393987</v>
      </c>
      <c r="AW21" s="387">
        <f t="shared" si="23"/>
        <v>2.5862804637870873</v>
      </c>
      <c r="AX21" s="387">
        <f t="shared" si="66"/>
        <v>0.61100875956969936</v>
      </c>
      <c r="AY21" s="387">
        <f t="shared" si="24"/>
        <v>7.9795733816899403</v>
      </c>
      <c r="AZ21" s="387">
        <f t="shared" si="25"/>
        <v>3.3562223933453326</v>
      </c>
      <c r="BA21" s="387">
        <f t="shared" si="26"/>
        <v>6.8021463388667129</v>
      </c>
      <c r="BB21" s="387">
        <f t="shared" si="67"/>
        <v>1.6781111966726663</v>
      </c>
      <c r="BC21" s="387">
        <f t="shared" si="27"/>
        <v>1.8815190374051058</v>
      </c>
      <c r="BD21" s="387">
        <f t="shared" si="28"/>
        <v>2.2500640034947659</v>
      </c>
      <c r="BE21" s="387">
        <f t="shared" si="29"/>
        <v>7.0300041492688372</v>
      </c>
      <c r="BF21" s="387">
        <f t="shared" si="30"/>
        <v>8.7337883307668029</v>
      </c>
      <c r="BG21" s="387">
        <f t="shared" si="31"/>
        <v>3.19703397943172</v>
      </c>
      <c r="BH21" s="387">
        <f t="shared" si="32"/>
        <v>3.1358650623418431</v>
      </c>
      <c r="BI21" s="387">
        <f t="shared" si="33"/>
        <v>1.7069451060994778</v>
      </c>
      <c r="BJ21" s="387">
        <f t="shared" si="34"/>
        <v>3.0402174584238675</v>
      </c>
      <c r="BK21" s="387">
        <f t="shared" si="35"/>
        <v>8.0071328133747866</v>
      </c>
      <c r="BL21" s="387">
        <f t="shared" si="36"/>
        <v>0.68981646029232124</v>
      </c>
      <c r="BM21" s="387">
        <f t="shared" si="37"/>
        <v>1.1638262087041893</v>
      </c>
      <c r="BN21" s="387">
        <f t="shared" si="38"/>
        <v>0.43966767884380487</v>
      </c>
      <c r="BO21" s="387">
        <f t="shared" si="39"/>
        <v>2.4337698814154316</v>
      </c>
      <c r="BP21" s="387">
        <f t="shared" si="40"/>
        <v>11.729691691075486</v>
      </c>
      <c r="BQ21" s="387">
        <f t="shared" si="41"/>
        <v>1.7908696565281419</v>
      </c>
      <c r="BR21" s="387">
        <f t="shared" si="42"/>
        <v>1.8362591292888317</v>
      </c>
      <c r="BS21" s="387">
        <f t="shared" si="43"/>
        <v>1.5776310829101232</v>
      </c>
      <c r="BT21" s="387">
        <f t="shared" si="44"/>
        <v>3.6307058886689232</v>
      </c>
      <c r="BU21" s="387">
        <f t="shared" si="45"/>
        <v>10.093276884690232</v>
      </c>
      <c r="BV21" s="387">
        <f t="shared" si="46"/>
        <v>1.6051498402955937</v>
      </c>
      <c r="BW21" s="387">
        <f t="shared" si="47"/>
        <v>1.8362591292888317</v>
      </c>
      <c r="BX21" s="387">
        <f t="shared" si="48"/>
        <v>1.5776310829101232</v>
      </c>
      <c r="BY21" s="387">
        <f t="shared" si="49"/>
        <v>5.0351108038463526</v>
      </c>
      <c r="BZ21" s="387">
        <f t="shared" si="50"/>
        <v>8.1311425377236084</v>
      </c>
      <c r="CA21" s="387">
        <f t="shared" si="51"/>
        <v>1.963323771601222</v>
      </c>
      <c r="CB21" s="387">
        <f t="shared" si="52"/>
        <v>3.2397067929661159</v>
      </c>
      <c r="CC21" s="387">
        <f t="shared" si="53"/>
        <v>5.8371418040826821</v>
      </c>
      <c r="CD21" s="387">
        <f t="shared" si="54"/>
        <v>13.528943005560652</v>
      </c>
      <c r="CE21" s="387">
        <f t="shared" si="68"/>
        <v>5.8371418040826821</v>
      </c>
      <c r="CF21" s="387">
        <f t="shared" si="55"/>
        <v>6.3285718223483887</v>
      </c>
      <c r="CG21" s="387">
        <f t="shared" si="56"/>
        <v>15.745244887311307</v>
      </c>
      <c r="CH21" s="387">
        <f t="shared" si="69"/>
        <v>6.3285718223483887</v>
      </c>
      <c r="CI21" s="387">
        <f t="shared" si="70"/>
        <v>1.9948933454224851</v>
      </c>
    </row>
    <row r="22" spans="1:87" x14ac:dyDescent="0.25">
      <c r="I22" s="166"/>
      <c r="Q22" s="163"/>
      <c r="R22" s="163"/>
      <c r="S22" s="163"/>
      <c r="T22" s="163"/>
      <c r="U22" s="163"/>
      <c r="V22" s="159"/>
      <c r="W22" s="159"/>
      <c r="X22" s="159"/>
      <c r="Y22" s="159"/>
      <c r="Z22" s="159"/>
      <c r="AA22" s="159"/>
      <c r="AB22" s="159"/>
      <c r="AC22" s="159"/>
      <c r="AD22" s="159"/>
      <c r="AE22" s="159"/>
      <c r="AF22" s="159"/>
      <c r="AG22" s="387"/>
      <c r="AH22" s="159"/>
      <c r="AI22" s="159"/>
      <c r="AJ22" s="387"/>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row>
    <row r="23" spans="1:87" x14ac:dyDescent="0.25">
      <c r="A23" t="s">
        <v>1047</v>
      </c>
      <c r="C23" s="703">
        <v>28</v>
      </c>
      <c r="D23" s="371">
        <v>76</v>
      </c>
      <c r="E23" s="703" t="s">
        <v>311</v>
      </c>
      <c r="F23" s="317">
        <v>43060</v>
      </c>
      <c r="G23" s="530">
        <v>1</v>
      </c>
      <c r="H23" s="531">
        <v>8</v>
      </c>
      <c r="I23" s="371"/>
      <c r="J23" s="163">
        <v>0</v>
      </c>
      <c r="K23" s="163">
        <v>4</v>
      </c>
      <c r="L23" s="163">
        <v>12</v>
      </c>
      <c r="M23" s="163">
        <v>13</v>
      </c>
      <c r="N23" s="163">
        <v>14</v>
      </c>
      <c r="O23" s="163">
        <v>10</v>
      </c>
      <c r="P23" s="163">
        <v>1</v>
      </c>
      <c r="Q23" s="163">
        <f t="shared" ref="Q23:Q39" si="71">((2*(N23+1))+(K23+1))/8</f>
        <v>4.375</v>
      </c>
      <c r="R23" s="163">
        <f t="shared" ref="R23:R39" si="72">1.66*(O23+(LOG(H23)*4/3)+G23)+0.55*(P23+(LOG(H23)*4/3)+G23)-7.6</f>
        <v>14.421105161669592</v>
      </c>
      <c r="S23" s="163">
        <f t="shared" ref="S23:S39" si="73">(0.5*O23+ 0.3*P23)/10</f>
        <v>0.53</v>
      </c>
      <c r="T23" s="163">
        <f t="shared" ref="T23:T39" si="74">(0.4*K23+0.3*P23)/10</f>
        <v>0.19</v>
      </c>
      <c r="U23" s="163">
        <f t="shared" ref="U23:U39" ca="1" si="75">IF(TODAY()-F23&gt;335,(P23+1+(LOG(H23)*4/3)),(P23+((TODAY()-F23)^0.5)/(336^0.5)+(LOG(H23)*4/3)))</f>
        <v>2.204119982655925</v>
      </c>
      <c r="V23" s="159">
        <f t="shared" ref="V23:V39" si="76">((J23+G23+(LOG(H23)*4/3))*0.597)+((K23+G23+(LOG(H23)*4/3))*0.276)</f>
        <v>3.0281967448586227</v>
      </c>
      <c r="W23" s="159">
        <f t="shared" ref="W23:W39" si="77">((J23+G23+(LOG(H23)*4/3))*0.866)+((K23+G23+(LOG(H23)*4/3))*0.425)</f>
        <v>4.5455188976087992</v>
      </c>
      <c r="X23" s="159">
        <f t="shared" ref="X23:X39" si="78">V23</f>
        <v>3.0281967448586227</v>
      </c>
      <c r="Y23" s="159">
        <f t="shared" ref="Y23:Y39" si="79">((K23+G23+(LOG(H23)*4/3))*0.516)</f>
        <v>3.2013259110504575</v>
      </c>
      <c r="Z23" s="159">
        <f t="shared" ref="Z23:Z39" si="80">(K23+G23+(LOG(H23)*4/3))*1</f>
        <v>6.204119982655925</v>
      </c>
      <c r="AA23" s="159">
        <f t="shared" ref="AA23:AA39" si="81">Y23/2</f>
        <v>1.6006629555252287</v>
      </c>
      <c r="AB23" s="159">
        <f t="shared" ref="AB23:AB39" si="82">(L23+G23+(LOG(H23)*4/3))*0.238</f>
        <v>3.3805805558721098</v>
      </c>
      <c r="AC23" s="159">
        <f t="shared" ref="AC23:AC39" si="83">((K23+G23+(LOG(H23)*4/3))*0.378)</f>
        <v>2.3451573534439398</v>
      </c>
      <c r="AD23" s="159">
        <f t="shared" ref="AD23:AD39" si="84">(K23+G23+(LOG(H23)*4/3))*0.723</f>
        <v>4.4855787474602336</v>
      </c>
      <c r="AE23" s="159">
        <f t="shared" ref="AE23:AE39" si="85">AC23/2</f>
        <v>1.1725786767219699</v>
      </c>
      <c r="AF23" s="159">
        <f t="shared" ref="AF23:AF39" si="86">(L23+G23+(LOG(H23)*4/3))*0.385</f>
        <v>5.4685861933225315</v>
      </c>
      <c r="AG23" s="387">
        <f t="shared" ref="AG23:AG39" si="87">((K23+G23+(LOG(H23)*4/3))*0.92)</f>
        <v>5.7077903840434514</v>
      </c>
      <c r="AH23" s="159">
        <f t="shared" ref="AH23:AH39" si="88">(K23+G23+(LOG(H23)*4/3))*0.414</f>
        <v>2.568505672819553</v>
      </c>
      <c r="AI23" s="159">
        <f t="shared" ref="AI23:AI39" si="89">((L23+G23+(LOG(H23)*4/3))*0.167)</f>
        <v>2.3720880371035395</v>
      </c>
      <c r="AJ23" s="387">
        <f t="shared" ref="AJ23:AJ39" si="90">(M23+G23+(LOG(H23)*4/3))*0.588</f>
        <v>8.9400225498016841</v>
      </c>
      <c r="AK23" s="159">
        <f t="shared" ref="AK23:AK39" si="91">((K23+G23+(LOG(H23)*4/3))*0.754)</f>
        <v>4.6779064669225674</v>
      </c>
      <c r="AL23" s="159">
        <f t="shared" ref="AL23:AL39" si="92">((K23+G23+(LOG(H23)*4/3))*0.708)</f>
        <v>4.3925169477203942</v>
      </c>
      <c r="AM23" s="159">
        <f t="shared" ref="AM23:AM39" si="93">((P23+G23+(LOG(H23)*4/3))*0.167)</f>
        <v>0.53508803710353947</v>
      </c>
      <c r="AN23" s="159">
        <f t="shared" ref="AN23:AN39" si="94">((Q23+G23+(LOG(H23)*4/3))*0.288)</f>
        <v>1.8947865550049063</v>
      </c>
      <c r="AO23" s="159">
        <f t="shared" ref="AO23:AO39" si="95">((K23+G23+(LOG(H23)*4/3))*0.27)</f>
        <v>1.6751123953170999</v>
      </c>
      <c r="AP23" s="159">
        <f t="shared" ref="AP23:AP39" si="96">((K23+G23+(LOG(H23)*4/3))*0.594)</f>
        <v>3.6852472696976193</v>
      </c>
      <c r="AQ23" s="159">
        <f t="shared" ref="AQ23:AQ39" si="97">AO23/2</f>
        <v>0.83755619765854994</v>
      </c>
      <c r="AR23" s="159">
        <f t="shared" ref="AR23:AR39" si="98">((L23+G23+(LOG(H23)*4/3))*0.944)</f>
        <v>13.408689263627192</v>
      </c>
      <c r="AS23" s="159">
        <f t="shared" ref="AS23:AS39" si="99">((N23+G23+(LOG(H23)*4/3))*0.13)</f>
        <v>2.1065355977452702</v>
      </c>
      <c r="AT23" s="159">
        <f t="shared" ref="AT23:AT39" si="100">((O23+G23+(LOG(H23)*4/3))*0.173)+((N23+G23+(LOG(H23)*4/3))*0.12)</f>
        <v>4.0558071549181864</v>
      </c>
      <c r="AU23" s="159">
        <f t="shared" ref="AU23:AU39" si="101">AS23/2</f>
        <v>1.0532677988726351</v>
      </c>
      <c r="AV23" s="159">
        <f t="shared" ref="AV23:AV39" si="102">((K23+G23+(LOG(H23)*4/3))*0.189)</f>
        <v>1.1725786767219699</v>
      </c>
      <c r="AW23" s="159">
        <f t="shared" ref="AW23:AW39" si="103">((K23+G23+(LOG(H23)*4/3))*0.4)</f>
        <v>2.4816479930623703</v>
      </c>
      <c r="AX23" s="159">
        <f t="shared" ref="AX23:AX39" si="104">AV23/2</f>
        <v>0.58628933836098496</v>
      </c>
      <c r="AY23" s="159">
        <f t="shared" ref="AY23:AY39" si="105">((L23+G23+(LOG(H23)*4/3))*1)</f>
        <v>14.204119982655925</v>
      </c>
      <c r="AZ23" s="159">
        <f t="shared" ref="AZ23:AZ39" si="106">((N23+G23+(LOG(H23)*4/3))*0.253)</f>
        <v>4.099642355611949</v>
      </c>
      <c r="BA23" s="159">
        <f t="shared" ref="BA23:BA39" si="107">((O23+G23+(LOG(H23)*4/3))*0.21)+((N23+G23+(LOG(H23)*4/3))*0.341)</f>
        <v>8.0884701104434154</v>
      </c>
      <c r="BB23" s="159">
        <f t="shared" ref="BB23:BB39" si="108">AZ23/2</f>
        <v>2.0498211778059745</v>
      </c>
      <c r="BC23" s="159">
        <f t="shared" ref="BC23:BC39" si="109">((K23+G23+(LOG(H23)*4/3))*0.291)</f>
        <v>1.805398914952874</v>
      </c>
      <c r="BD23" s="159">
        <f t="shared" ref="BD23:BD39" si="110">((K23+G23+(LOG(H23)*4/3))*0.348)</f>
        <v>2.1590337539642617</v>
      </c>
      <c r="BE23" s="159">
        <f t="shared" ref="BE23:BE39" si="111">((L23+G23+(LOG(H23)*4/3))*0.881)</f>
        <v>12.513829704719869</v>
      </c>
      <c r="BF23" s="159">
        <f t="shared" ref="BF23:BF39" si="112">((M23+G23+(LOG(H23)*4/3))*0.574)+((N23+G23+(LOG(H23)*4/3))*0.315)</f>
        <v>13.831462664581117</v>
      </c>
      <c r="BG23" s="159">
        <f t="shared" ref="BG23:BG39" si="113">((N23+G23+(LOG(H23)*4/3))*0.241)</f>
        <v>3.905192915820078</v>
      </c>
      <c r="BH23" s="159">
        <f t="shared" ref="BH23:BH39" si="114">((K23+G23+(LOG(H23)*4/3))*0.485)</f>
        <v>3.0089981915881236</v>
      </c>
      <c r="BI23" s="159">
        <f t="shared" ref="BI23:BI39" si="115">((K23+G23+(LOG(H23)*4/3))*0.264)</f>
        <v>1.6378876754211642</v>
      </c>
      <c r="BJ23" s="159">
        <f t="shared" ref="BJ23:BJ39" si="116">((L23+G23+(LOG(H23)*4/3))*0.381)</f>
        <v>5.4117697133919078</v>
      </c>
      <c r="BK23" s="159">
        <f t="shared" ref="BK23:BK39" si="117">((M23+G23+(LOG(H23)*4/3))*0.673)+((N23+G23+(LOG(H23)*4/3))*0.201)</f>
        <v>13.489400864841279</v>
      </c>
      <c r="BL23" s="159">
        <f t="shared" ref="BL23:BL39" si="118">((N23+G23+(LOG(H23)*4/3))*0.052)</f>
        <v>0.84261423909810806</v>
      </c>
      <c r="BM23" s="159">
        <f t="shared" ref="BM23:BM39" si="119">((K23+G23+(LOG(H23)*4/3))*0.18)</f>
        <v>1.1167415968780665</v>
      </c>
      <c r="BN23" s="159">
        <f t="shared" ref="BN23:BN39" si="120">(K23+G23+(LOG(H23)*4/3))*0.068</f>
        <v>0.42188015882060292</v>
      </c>
      <c r="BO23" s="159">
        <f t="shared" ref="BO23:BO39" si="121">((L23+G23+(LOG(H23)*4/3))*0.305)</f>
        <v>4.3322565947100573</v>
      </c>
      <c r="BP23" s="159">
        <f t="shared" ref="BP23:BP39" si="122">((M23+G23+(LOG(H23)*4/3))*1)+((N23+G23+(LOG(H23)*4/3))*0.286)</f>
        <v>19.838498297695519</v>
      </c>
      <c r="BQ23" s="159">
        <f t="shared" ref="BQ23:BQ39" si="123">((N23+G23+(LOG(H23)*4/3))*0.135)</f>
        <v>2.1875561976585498</v>
      </c>
      <c r="BR23" s="159">
        <f t="shared" ref="BR23:BR39" si="124">((K23+G23+(LOG(H23)*4/3))*0.284)</f>
        <v>1.7619700750742826</v>
      </c>
      <c r="BS23" s="159">
        <f t="shared" ref="BS23:BS39" si="125">(K23+G23+(LOG(H23)*4/3))*0.244</f>
        <v>1.5138052757680456</v>
      </c>
      <c r="BT23" s="159">
        <f t="shared" ref="BT23:BT39" si="126">((L23+G23+(LOG(H23)*4/3))*0.455)</f>
        <v>6.4628745921084461</v>
      </c>
      <c r="BU23" s="159">
        <f t="shared" ref="BU23:BU39" si="127">((M23+G23+(LOG(H23)*4/3))*0.864)+((N23+G23+(LOG(H23)*4/3))*0.244)</f>
        <v>17.090164940782763</v>
      </c>
      <c r="BV23" s="159">
        <f t="shared" ref="BV23:BV39" si="128">((N23+G23+(LOG(H23)*4/3))*0.121)</f>
        <v>1.960698517901367</v>
      </c>
      <c r="BW23" s="159"/>
      <c r="BX23" s="159"/>
      <c r="BY23" s="159"/>
      <c r="BZ23" s="159"/>
      <c r="CA23" s="159"/>
      <c r="CB23" s="159">
        <f t="shared" ref="CB23:CB39" si="129">((L23+G23+(LOG(H23)*4/3))*0.406)</f>
        <v>5.7668727129583059</v>
      </c>
      <c r="CC23" s="159">
        <f t="shared" ref="CC23:CC39" si="130">IF(E23="TEC",((M23+G23+(LOG(H23)*4/3))*0.15)+((N23+G23+(LOG(H23)*4/3))*0.324)+((O23+G23+(LOG(H23)*4/3))*0.127),(((M23+G23+(LOG(H23)*4/3))*0.144)+((N23+G23+(LOG(H23)*4/3))*0.25)+((O23+G23+(LOG(H23)*4/3))*0.127)))</f>
        <v>7.7903465109637366</v>
      </c>
      <c r="CD23" s="159">
        <f t="shared" ref="CD23:CD39" si="131">((N23+G23+(LOG(H23)*4/3))*0.543)+((O23+G23+(LOG(H23)*4/3))*0.583)</f>
        <v>15.913839100470572</v>
      </c>
      <c r="CE23" s="159">
        <f t="shared" ref="CE23:CE39" si="132">CC23</f>
        <v>7.7903465109637366</v>
      </c>
      <c r="CF23" s="159">
        <f t="shared" ref="CF23:CF39" si="133">((O23+1+(LOG(H23)*4/3))*0.26)+((M23+G23+(LOG(H23)*4/3))*0.221)+((N23+G23+(LOG(H23)*4/3))*0.142)</f>
        <v>8.8341667491946403</v>
      </c>
      <c r="CG23" s="159">
        <f t="shared" ref="CG23:CG39" si="134">((O23+G23+(LOG(H23)*4/3))*1)+((N23+G23+(LOG(H23)*4/3))*0.369)</f>
        <v>18.183440256255963</v>
      </c>
      <c r="CH23" s="159">
        <f t="shared" ref="CH23:CH39" si="135">CF23</f>
        <v>8.8341667491946403</v>
      </c>
      <c r="CI23" s="159">
        <f t="shared" ref="CI23:CI39" si="136">((L23+G23+(LOG(H23)*4/3))*0.25)</f>
        <v>3.5510299956639813</v>
      </c>
    </row>
    <row r="24" spans="1:87" x14ac:dyDescent="0.25">
      <c r="A24" t="s">
        <v>1041</v>
      </c>
      <c r="C24" s="704">
        <v>28</v>
      </c>
      <c r="D24" s="371">
        <v>30</v>
      </c>
      <c r="E24" s="704" t="s">
        <v>595</v>
      </c>
      <c r="F24" s="317">
        <v>43061</v>
      </c>
      <c r="G24" s="530">
        <v>1</v>
      </c>
      <c r="H24" s="531">
        <v>7</v>
      </c>
      <c r="I24" s="371"/>
      <c r="J24" s="163">
        <v>0</v>
      </c>
      <c r="K24" s="163">
        <v>3</v>
      </c>
      <c r="L24" s="163">
        <v>13</v>
      </c>
      <c r="M24" s="163">
        <v>13</v>
      </c>
      <c r="N24" s="163">
        <v>14</v>
      </c>
      <c r="O24" s="163">
        <v>10</v>
      </c>
      <c r="P24" s="163">
        <v>0</v>
      </c>
      <c r="Q24" s="163">
        <f t="shared" si="71"/>
        <v>4.25</v>
      </c>
      <c r="R24" s="163">
        <f t="shared" si="72"/>
        <v>13.700222224575343</v>
      </c>
      <c r="S24" s="163">
        <f t="shared" si="73"/>
        <v>0.5</v>
      </c>
      <c r="T24" s="163">
        <f t="shared" si="74"/>
        <v>0.12000000000000002</v>
      </c>
      <c r="U24" s="163" t="e">
        <f t="shared" ca="1" si="75"/>
        <v>#NUM!</v>
      </c>
      <c r="V24" s="159">
        <f t="shared" si="76"/>
        <v>2.6846941185765951</v>
      </c>
      <c r="W24" s="159">
        <f t="shared" si="77"/>
        <v>4.0206954262112067</v>
      </c>
      <c r="X24" s="159">
        <f t="shared" si="78"/>
        <v>2.6846941185765951</v>
      </c>
      <c r="Y24" s="159">
        <f t="shared" si="79"/>
        <v>2.6454274515298084</v>
      </c>
      <c r="Z24" s="159">
        <f t="shared" si="80"/>
        <v>5.1267973866856753</v>
      </c>
      <c r="AA24" s="159">
        <f t="shared" si="81"/>
        <v>1.3227137257649042</v>
      </c>
      <c r="AB24" s="159">
        <f t="shared" si="82"/>
        <v>3.6001777780311905</v>
      </c>
      <c r="AC24" s="159">
        <f t="shared" si="83"/>
        <v>1.9379294121671853</v>
      </c>
      <c r="AD24" s="159">
        <f t="shared" si="84"/>
        <v>3.7066745105737433</v>
      </c>
      <c r="AE24" s="159">
        <f t="shared" si="85"/>
        <v>0.96896470608359264</v>
      </c>
      <c r="AF24" s="159">
        <f t="shared" si="86"/>
        <v>5.8238169938739848</v>
      </c>
      <c r="AG24" s="387">
        <f t="shared" si="87"/>
        <v>4.7166535957508211</v>
      </c>
      <c r="AH24" s="159">
        <f t="shared" si="88"/>
        <v>2.1224941180878694</v>
      </c>
      <c r="AI24" s="159">
        <f t="shared" si="89"/>
        <v>2.5261751635765077</v>
      </c>
      <c r="AJ24" s="387">
        <f t="shared" si="90"/>
        <v>8.8945568633711769</v>
      </c>
      <c r="AK24" s="159">
        <f t="shared" si="91"/>
        <v>3.8656052295609991</v>
      </c>
      <c r="AL24" s="159">
        <f t="shared" si="92"/>
        <v>3.6297725497734579</v>
      </c>
      <c r="AM24" s="159">
        <f t="shared" si="93"/>
        <v>0.35517516357650786</v>
      </c>
      <c r="AN24" s="159">
        <f t="shared" si="94"/>
        <v>1.8365176473654743</v>
      </c>
      <c r="AO24" s="159">
        <f t="shared" si="95"/>
        <v>1.3842352944051324</v>
      </c>
      <c r="AP24" s="159">
        <f t="shared" si="96"/>
        <v>3.0453176476912911</v>
      </c>
      <c r="AQ24" s="159">
        <f t="shared" si="97"/>
        <v>0.69211764720256619</v>
      </c>
      <c r="AR24" s="159">
        <f t="shared" si="98"/>
        <v>14.279696733031276</v>
      </c>
      <c r="AS24" s="159">
        <f t="shared" si="99"/>
        <v>2.0964836602691381</v>
      </c>
      <c r="AT24" s="159">
        <f t="shared" si="100"/>
        <v>4.0331516342989033</v>
      </c>
      <c r="AU24" s="159">
        <f t="shared" si="101"/>
        <v>1.0482418301345691</v>
      </c>
      <c r="AV24" s="159">
        <f t="shared" si="102"/>
        <v>0.96896470608359264</v>
      </c>
      <c r="AW24" s="159">
        <f t="shared" si="103"/>
        <v>2.0507189546742701</v>
      </c>
      <c r="AX24" s="159">
        <f t="shared" si="104"/>
        <v>0.48448235304179632</v>
      </c>
      <c r="AY24" s="159">
        <f t="shared" si="105"/>
        <v>15.126797386685675</v>
      </c>
      <c r="AZ24" s="159">
        <f t="shared" si="106"/>
        <v>4.0800797388314765</v>
      </c>
      <c r="BA24" s="159">
        <f t="shared" si="107"/>
        <v>8.045865360063809</v>
      </c>
      <c r="BB24" s="159">
        <f t="shared" si="108"/>
        <v>2.0400398694157382</v>
      </c>
      <c r="BC24" s="159">
        <f t="shared" si="109"/>
        <v>1.4918980395255315</v>
      </c>
      <c r="BD24" s="159">
        <f t="shared" si="110"/>
        <v>1.7841254905666148</v>
      </c>
      <c r="BE24" s="159">
        <f t="shared" si="111"/>
        <v>13.326708497670079</v>
      </c>
      <c r="BF24" s="159">
        <f t="shared" si="112"/>
        <v>13.762722876763565</v>
      </c>
      <c r="BG24" s="159">
        <f t="shared" si="113"/>
        <v>3.8865581701912482</v>
      </c>
      <c r="BH24" s="159">
        <f t="shared" si="114"/>
        <v>2.4864967325425527</v>
      </c>
      <c r="BI24" s="159">
        <f t="shared" si="115"/>
        <v>1.3534745100850183</v>
      </c>
      <c r="BJ24" s="159">
        <f t="shared" si="116"/>
        <v>5.7633098043272426</v>
      </c>
      <c r="BK24" s="159">
        <f t="shared" si="117"/>
        <v>13.421820915963281</v>
      </c>
      <c r="BL24" s="159">
        <f t="shared" si="118"/>
        <v>0.83859346410765512</v>
      </c>
      <c r="BM24" s="159">
        <f t="shared" si="119"/>
        <v>0.92282352960342151</v>
      </c>
      <c r="BN24" s="159">
        <f t="shared" si="120"/>
        <v>0.34862222229462597</v>
      </c>
      <c r="BO24" s="159">
        <f t="shared" si="121"/>
        <v>4.6136732029391307</v>
      </c>
      <c r="BP24" s="159">
        <f t="shared" si="122"/>
        <v>19.73906143927778</v>
      </c>
      <c r="BQ24" s="159">
        <f t="shared" si="123"/>
        <v>2.1771176472025666</v>
      </c>
      <c r="BR24" s="159">
        <f t="shared" si="124"/>
        <v>1.4560104578187316</v>
      </c>
      <c r="BS24" s="159">
        <f t="shared" si="125"/>
        <v>1.2509385623513047</v>
      </c>
      <c r="BT24" s="159">
        <f t="shared" si="126"/>
        <v>6.8826928109419825</v>
      </c>
      <c r="BU24" s="159">
        <f t="shared" si="127"/>
        <v>17.004491504447728</v>
      </c>
      <c r="BV24" s="159">
        <f t="shared" si="128"/>
        <v>1.9513424837889668</v>
      </c>
      <c r="BW24" s="159"/>
      <c r="BX24" s="159"/>
      <c r="BY24" s="159"/>
      <c r="BZ24" s="159"/>
      <c r="CA24" s="159"/>
      <c r="CB24" s="159">
        <f t="shared" si="129"/>
        <v>6.1414797389943843</v>
      </c>
      <c r="CC24" s="159">
        <f t="shared" si="130"/>
        <v>7.7500614384632369</v>
      </c>
      <c r="CD24" s="159">
        <f t="shared" si="131"/>
        <v>15.826773857408071</v>
      </c>
      <c r="CE24" s="159">
        <f t="shared" si="132"/>
        <v>7.7500614384632369</v>
      </c>
      <c r="CF24" s="159">
        <f t="shared" si="133"/>
        <v>8.7859947719051767</v>
      </c>
      <c r="CG24" s="159">
        <f t="shared" si="134"/>
        <v>18.077585622372691</v>
      </c>
      <c r="CH24" s="159">
        <f t="shared" si="135"/>
        <v>8.7859947719051767</v>
      </c>
      <c r="CI24" s="159">
        <f t="shared" si="136"/>
        <v>3.7816993466714188</v>
      </c>
    </row>
    <row r="25" spans="1:87" x14ac:dyDescent="0.25">
      <c r="A25" t="s">
        <v>1039</v>
      </c>
      <c r="C25" s="704">
        <v>29</v>
      </c>
      <c r="D25" s="371">
        <v>7</v>
      </c>
      <c r="E25" s="704" t="s">
        <v>336</v>
      </c>
      <c r="F25" s="317">
        <v>43060</v>
      </c>
      <c r="G25" s="530">
        <v>1</v>
      </c>
      <c r="H25" s="531">
        <v>10</v>
      </c>
      <c r="I25" s="371"/>
      <c r="J25" s="163">
        <v>0</v>
      </c>
      <c r="K25" s="163">
        <v>3</v>
      </c>
      <c r="L25" s="163">
        <v>14</v>
      </c>
      <c r="M25" s="163">
        <v>5</v>
      </c>
      <c r="N25" s="163">
        <v>15</v>
      </c>
      <c r="O25" s="163">
        <v>12</v>
      </c>
      <c r="P25" s="163">
        <v>11</v>
      </c>
      <c r="Q25" s="163">
        <f t="shared" si="71"/>
        <v>4.5</v>
      </c>
      <c r="R25" s="163">
        <f t="shared" si="72"/>
        <v>23.526666666666664</v>
      </c>
      <c r="S25" s="163">
        <f t="shared" si="73"/>
        <v>0.93</v>
      </c>
      <c r="T25" s="163">
        <f t="shared" si="74"/>
        <v>0.45</v>
      </c>
      <c r="U25" s="163">
        <f t="shared" ca="1" si="75"/>
        <v>12.333333333333334</v>
      </c>
      <c r="V25" s="159">
        <f t="shared" si="76"/>
        <v>2.8649999999999998</v>
      </c>
      <c r="W25" s="159">
        <f t="shared" si="77"/>
        <v>4.2873333333333328</v>
      </c>
      <c r="X25" s="159">
        <f t="shared" si="78"/>
        <v>2.8649999999999998</v>
      </c>
      <c r="Y25" s="159">
        <f t="shared" si="79"/>
        <v>2.7519999999999998</v>
      </c>
      <c r="Z25" s="159">
        <f t="shared" si="80"/>
        <v>5.333333333333333</v>
      </c>
      <c r="AA25" s="159">
        <f t="shared" si="81"/>
        <v>1.3759999999999999</v>
      </c>
      <c r="AB25" s="159">
        <f t="shared" si="82"/>
        <v>3.8873333333333329</v>
      </c>
      <c r="AC25" s="159">
        <f t="shared" si="83"/>
        <v>2.016</v>
      </c>
      <c r="AD25" s="159">
        <f t="shared" si="84"/>
        <v>3.8559999999999999</v>
      </c>
      <c r="AE25" s="159">
        <f t="shared" si="85"/>
        <v>1.008</v>
      </c>
      <c r="AF25" s="159">
        <f t="shared" si="86"/>
        <v>6.2883333333333331</v>
      </c>
      <c r="AG25" s="387">
        <f t="shared" si="87"/>
        <v>4.9066666666666663</v>
      </c>
      <c r="AH25" s="159">
        <f t="shared" si="88"/>
        <v>2.2079999999999997</v>
      </c>
      <c r="AI25" s="159">
        <f t="shared" si="89"/>
        <v>2.7276666666666665</v>
      </c>
      <c r="AJ25" s="387">
        <f t="shared" si="90"/>
        <v>4.3119999999999994</v>
      </c>
      <c r="AK25" s="159">
        <f t="shared" si="91"/>
        <v>4.0213333333333328</v>
      </c>
      <c r="AL25" s="159">
        <f t="shared" si="92"/>
        <v>3.7759999999999998</v>
      </c>
      <c r="AM25" s="159">
        <f t="shared" si="93"/>
        <v>2.226666666666667</v>
      </c>
      <c r="AN25" s="159">
        <f t="shared" si="94"/>
        <v>1.9679999999999997</v>
      </c>
      <c r="AO25" s="159">
        <f t="shared" si="95"/>
        <v>1.44</v>
      </c>
      <c r="AP25" s="159">
        <f t="shared" si="96"/>
        <v>3.1679999999999997</v>
      </c>
      <c r="AQ25" s="159">
        <f t="shared" si="97"/>
        <v>0.72</v>
      </c>
      <c r="AR25" s="159">
        <f t="shared" si="98"/>
        <v>15.418666666666665</v>
      </c>
      <c r="AS25" s="159">
        <f t="shared" si="99"/>
        <v>2.2533333333333334</v>
      </c>
      <c r="AT25" s="159">
        <f t="shared" si="100"/>
        <v>4.5596666666666668</v>
      </c>
      <c r="AU25" s="159">
        <f t="shared" si="101"/>
        <v>1.1266666666666667</v>
      </c>
      <c r="AV25" s="159">
        <f t="shared" si="102"/>
        <v>1.008</v>
      </c>
      <c r="AW25" s="159">
        <f t="shared" si="103"/>
        <v>2.1333333333333333</v>
      </c>
      <c r="AX25" s="159">
        <f t="shared" si="104"/>
        <v>0.504</v>
      </c>
      <c r="AY25" s="159">
        <f t="shared" si="105"/>
        <v>16.333333333333332</v>
      </c>
      <c r="AZ25" s="159">
        <f t="shared" si="106"/>
        <v>4.3853333333333326</v>
      </c>
      <c r="BA25" s="159">
        <f t="shared" si="107"/>
        <v>8.9206666666666674</v>
      </c>
      <c r="BB25" s="159">
        <f t="shared" si="108"/>
        <v>2.1926666666666663</v>
      </c>
      <c r="BC25" s="159">
        <f t="shared" si="109"/>
        <v>1.5519999999999998</v>
      </c>
      <c r="BD25" s="159">
        <f t="shared" si="110"/>
        <v>1.8559999999999999</v>
      </c>
      <c r="BE25" s="159">
        <f t="shared" si="111"/>
        <v>14.389666666666665</v>
      </c>
      <c r="BF25" s="159">
        <f t="shared" si="112"/>
        <v>9.6693333333333324</v>
      </c>
      <c r="BG25" s="159">
        <f t="shared" si="113"/>
        <v>4.1773333333333333</v>
      </c>
      <c r="BH25" s="159">
        <f t="shared" si="114"/>
        <v>2.5866666666666664</v>
      </c>
      <c r="BI25" s="159">
        <f t="shared" si="115"/>
        <v>1.4079999999999999</v>
      </c>
      <c r="BJ25" s="159">
        <f t="shared" si="116"/>
        <v>6.2229999999999999</v>
      </c>
      <c r="BK25" s="159">
        <f t="shared" si="117"/>
        <v>8.4193333333333342</v>
      </c>
      <c r="BL25" s="159">
        <f t="shared" si="118"/>
        <v>0.90133333333333321</v>
      </c>
      <c r="BM25" s="159">
        <f t="shared" si="119"/>
        <v>0.96</v>
      </c>
      <c r="BN25" s="159">
        <f t="shared" si="120"/>
        <v>0.36266666666666669</v>
      </c>
      <c r="BO25" s="159">
        <f t="shared" si="121"/>
        <v>4.9816666666666665</v>
      </c>
      <c r="BP25" s="159">
        <f t="shared" si="122"/>
        <v>12.290666666666667</v>
      </c>
      <c r="BQ25" s="159">
        <f t="shared" si="123"/>
        <v>2.34</v>
      </c>
      <c r="BR25" s="159">
        <f t="shared" si="124"/>
        <v>1.5146666666666664</v>
      </c>
      <c r="BS25" s="159">
        <f t="shared" si="125"/>
        <v>1.3013333333333332</v>
      </c>
      <c r="BT25" s="159">
        <f t="shared" si="126"/>
        <v>7.4316666666666666</v>
      </c>
      <c r="BU25" s="159">
        <f t="shared" si="127"/>
        <v>10.565333333333331</v>
      </c>
      <c r="BV25" s="159">
        <f t="shared" si="128"/>
        <v>2.0973333333333333</v>
      </c>
      <c r="BW25" s="159"/>
      <c r="BX25" s="159"/>
      <c r="BY25" s="159"/>
      <c r="BZ25" s="159"/>
      <c r="CA25" s="159"/>
      <c r="CB25" s="159">
        <f t="shared" si="129"/>
        <v>6.6313333333333331</v>
      </c>
      <c r="CC25" s="159">
        <f t="shared" si="130"/>
        <v>7.2096666666666662</v>
      </c>
      <c r="CD25" s="159">
        <f t="shared" si="131"/>
        <v>17.768333333333334</v>
      </c>
      <c r="CE25" s="159">
        <f t="shared" si="132"/>
        <v>7.2096666666666662</v>
      </c>
      <c r="CF25" s="159">
        <f t="shared" si="133"/>
        <v>7.8086666666666664</v>
      </c>
      <c r="CG25" s="159">
        <f t="shared" si="134"/>
        <v>20.729333333333333</v>
      </c>
      <c r="CH25" s="159">
        <f t="shared" si="135"/>
        <v>7.8086666666666664</v>
      </c>
      <c r="CI25" s="159">
        <f t="shared" si="136"/>
        <v>4.083333333333333</v>
      </c>
    </row>
    <row r="26" spans="1:87" x14ac:dyDescent="0.25">
      <c r="A26" t="s">
        <v>1049</v>
      </c>
      <c r="C26" s="705">
        <v>28</v>
      </c>
      <c r="D26" s="371">
        <v>56</v>
      </c>
      <c r="E26" s="705" t="s">
        <v>595</v>
      </c>
      <c r="F26" s="317">
        <v>43060</v>
      </c>
      <c r="G26" s="530">
        <v>1</v>
      </c>
      <c r="H26" s="531">
        <v>8.6</v>
      </c>
      <c r="I26" s="371"/>
      <c r="J26" s="163">
        <v>0</v>
      </c>
      <c r="K26" s="163">
        <v>2</v>
      </c>
      <c r="L26" s="163">
        <v>14</v>
      </c>
      <c r="M26" s="163">
        <v>12</v>
      </c>
      <c r="N26" s="163">
        <v>12</v>
      </c>
      <c r="O26" s="163">
        <v>8</v>
      </c>
      <c r="P26" s="163">
        <v>2</v>
      </c>
      <c r="Q26" s="163">
        <f t="shared" si="71"/>
        <v>3.625</v>
      </c>
      <c r="R26" s="163">
        <f t="shared" si="72"/>
        <v>11.743655436331048</v>
      </c>
      <c r="S26" s="163">
        <f t="shared" si="73"/>
        <v>0.45999999999999996</v>
      </c>
      <c r="T26" s="163">
        <f t="shared" si="74"/>
        <v>0.13999999999999999</v>
      </c>
      <c r="U26" s="163">
        <f t="shared" ca="1" si="75"/>
        <v>3.2459979349914239</v>
      </c>
      <c r="V26" s="159">
        <f t="shared" si="76"/>
        <v>2.512756197247513</v>
      </c>
      <c r="W26" s="159">
        <f t="shared" si="77"/>
        <v>3.749583334073928</v>
      </c>
      <c r="X26" s="159">
        <f t="shared" si="78"/>
        <v>2.512756197247513</v>
      </c>
      <c r="Y26" s="159">
        <f t="shared" si="79"/>
        <v>2.1909349344555746</v>
      </c>
      <c r="Z26" s="159">
        <f t="shared" si="80"/>
        <v>4.2459979349914239</v>
      </c>
      <c r="AA26" s="159">
        <f t="shared" si="81"/>
        <v>1.0954674672277873</v>
      </c>
      <c r="AB26" s="159">
        <f t="shared" si="82"/>
        <v>3.8665475085279581</v>
      </c>
      <c r="AC26" s="159">
        <f t="shared" si="83"/>
        <v>1.6049872194267583</v>
      </c>
      <c r="AD26" s="159">
        <f t="shared" si="84"/>
        <v>3.0698565069987995</v>
      </c>
      <c r="AE26" s="159">
        <f t="shared" si="85"/>
        <v>0.80249360971337913</v>
      </c>
      <c r="AF26" s="159">
        <f t="shared" si="86"/>
        <v>6.2547092049716975</v>
      </c>
      <c r="AG26" s="387">
        <f t="shared" si="87"/>
        <v>3.9063181001921103</v>
      </c>
      <c r="AH26" s="159">
        <f t="shared" si="88"/>
        <v>1.7578431450864493</v>
      </c>
      <c r="AI26" s="159">
        <f t="shared" si="89"/>
        <v>2.7130816551435677</v>
      </c>
      <c r="AJ26" s="387">
        <f t="shared" si="90"/>
        <v>8.3766467857749571</v>
      </c>
      <c r="AK26" s="159">
        <f t="shared" si="91"/>
        <v>3.2014824429835338</v>
      </c>
      <c r="AL26" s="159">
        <f t="shared" si="92"/>
        <v>3.006166537973928</v>
      </c>
      <c r="AM26" s="159">
        <f t="shared" si="93"/>
        <v>0.7090816551435678</v>
      </c>
      <c r="AN26" s="159">
        <f t="shared" si="94"/>
        <v>1.69084740527753</v>
      </c>
      <c r="AO26" s="159">
        <f t="shared" si="95"/>
        <v>1.1464194424476846</v>
      </c>
      <c r="AP26" s="159">
        <f t="shared" si="96"/>
        <v>2.5221227733849059</v>
      </c>
      <c r="AQ26" s="159">
        <f t="shared" si="97"/>
        <v>0.57320972122384228</v>
      </c>
      <c r="AR26" s="159">
        <f t="shared" si="98"/>
        <v>15.336222050631902</v>
      </c>
      <c r="AS26" s="159">
        <f t="shared" si="99"/>
        <v>1.8519797315488851</v>
      </c>
      <c r="AT26" s="159">
        <f t="shared" si="100"/>
        <v>3.482077394952487</v>
      </c>
      <c r="AU26" s="159">
        <f t="shared" si="101"/>
        <v>0.92598986577444253</v>
      </c>
      <c r="AV26" s="159">
        <f t="shared" si="102"/>
        <v>0.80249360971337913</v>
      </c>
      <c r="AW26" s="159">
        <f t="shared" si="103"/>
        <v>1.6983991739965696</v>
      </c>
      <c r="AX26" s="159">
        <f t="shared" si="104"/>
        <v>0.40124680485668957</v>
      </c>
      <c r="AY26" s="159">
        <f t="shared" si="105"/>
        <v>16.245997934991422</v>
      </c>
      <c r="AZ26" s="159">
        <f t="shared" si="106"/>
        <v>3.6042374775528301</v>
      </c>
      <c r="BA26" s="159">
        <f t="shared" si="107"/>
        <v>7.0095448621802747</v>
      </c>
      <c r="BB26" s="159">
        <f t="shared" si="108"/>
        <v>1.802118738776415</v>
      </c>
      <c r="BC26" s="159">
        <f t="shared" si="109"/>
        <v>1.2355853990825043</v>
      </c>
      <c r="BD26" s="159">
        <f t="shared" si="110"/>
        <v>1.4776072813770154</v>
      </c>
      <c r="BE26" s="159">
        <f t="shared" si="111"/>
        <v>14.312724180727443</v>
      </c>
      <c r="BF26" s="159">
        <f t="shared" si="112"/>
        <v>12.664692164207374</v>
      </c>
      <c r="BG26" s="159">
        <f t="shared" si="113"/>
        <v>3.4332855023329332</v>
      </c>
      <c r="BH26" s="159">
        <f t="shared" si="114"/>
        <v>2.0593089984708404</v>
      </c>
      <c r="BI26" s="159">
        <f t="shared" si="115"/>
        <v>1.1209434548377359</v>
      </c>
      <c r="BJ26" s="159">
        <f t="shared" si="116"/>
        <v>6.189725213231732</v>
      </c>
      <c r="BK26" s="159">
        <f t="shared" si="117"/>
        <v>12.451002195182504</v>
      </c>
      <c r="BL26" s="159">
        <f t="shared" si="118"/>
        <v>0.74079189261955403</v>
      </c>
      <c r="BM26" s="159">
        <f t="shared" si="119"/>
        <v>0.7642796282984563</v>
      </c>
      <c r="BN26" s="159">
        <f t="shared" si="120"/>
        <v>0.28872785957941682</v>
      </c>
      <c r="BO26" s="159">
        <f t="shared" si="121"/>
        <v>4.955029370172384</v>
      </c>
      <c r="BP26" s="159">
        <f t="shared" si="122"/>
        <v>18.320353344398971</v>
      </c>
      <c r="BQ26" s="159">
        <f t="shared" si="123"/>
        <v>1.9232097212238424</v>
      </c>
      <c r="BR26" s="159">
        <f t="shared" si="124"/>
        <v>1.2058634135375643</v>
      </c>
      <c r="BS26" s="159">
        <f t="shared" si="125"/>
        <v>1.0360234961379073</v>
      </c>
      <c r="BT26" s="159">
        <f t="shared" si="126"/>
        <v>7.3919290604210977</v>
      </c>
      <c r="BU26" s="159">
        <f t="shared" si="127"/>
        <v>15.784565711970497</v>
      </c>
      <c r="BV26" s="159">
        <f t="shared" si="128"/>
        <v>1.7237657501339623</v>
      </c>
      <c r="BW26" s="159"/>
      <c r="BX26" s="159"/>
      <c r="BY26" s="159"/>
      <c r="BZ26" s="159"/>
      <c r="CA26" s="159"/>
      <c r="CB26" s="159">
        <f t="shared" si="129"/>
        <v>6.5958751616065179</v>
      </c>
      <c r="CC26" s="159">
        <f t="shared" si="130"/>
        <v>6.9141649241305316</v>
      </c>
      <c r="CD26" s="159">
        <f t="shared" si="131"/>
        <v>13.708993674800343</v>
      </c>
      <c r="CE26" s="159">
        <f t="shared" si="132"/>
        <v>6.9141649241305316</v>
      </c>
      <c r="CF26" s="159">
        <f t="shared" si="133"/>
        <v>7.8352567134996569</v>
      </c>
      <c r="CG26" s="159">
        <f t="shared" si="134"/>
        <v>15.502771173003259</v>
      </c>
      <c r="CH26" s="159">
        <f t="shared" si="135"/>
        <v>7.8352567134996569</v>
      </c>
      <c r="CI26" s="159">
        <f t="shared" si="136"/>
        <v>4.0614994837478555</v>
      </c>
    </row>
    <row r="27" spans="1:87" x14ac:dyDescent="0.25">
      <c r="A27" t="s">
        <v>1050</v>
      </c>
      <c r="C27" s="705">
        <v>30</v>
      </c>
      <c r="D27" s="371">
        <v>49</v>
      </c>
      <c r="E27" s="705" t="s">
        <v>311</v>
      </c>
      <c r="F27" s="317">
        <v>43062</v>
      </c>
      <c r="G27" s="530">
        <v>1</v>
      </c>
      <c r="H27" s="531">
        <v>8</v>
      </c>
      <c r="I27" s="371"/>
      <c r="J27" s="163">
        <v>0</v>
      </c>
      <c r="K27" s="163">
        <v>3</v>
      </c>
      <c r="L27" s="163">
        <v>13</v>
      </c>
      <c r="M27" s="163">
        <v>9</v>
      </c>
      <c r="N27" s="163">
        <v>13</v>
      </c>
      <c r="O27" s="163">
        <v>9</v>
      </c>
      <c r="P27" s="163">
        <v>2</v>
      </c>
      <c r="Q27" s="163">
        <f t="shared" si="71"/>
        <v>4</v>
      </c>
      <c r="R27" s="163">
        <f t="shared" si="72"/>
        <v>13.311105161669593</v>
      </c>
      <c r="S27" s="163">
        <f t="shared" si="73"/>
        <v>0.51</v>
      </c>
      <c r="T27" s="163">
        <f t="shared" si="74"/>
        <v>0.18000000000000002</v>
      </c>
      <c r="U27" s="163" t="e">
        <f t="shared" ca="1" si="75"/>
        <v>#NUM!</v>
      </c>
      <c r="V27" s="159">
        <f t="shared" si="76"/>
        <v>2.7521967448586224</v>
      </c>
      <c r="W27" s="159">
        <f t="shared" si="77"/>
        <v>4.1205188976087985</v>
      </c>
      <c r="X27" s="159">
        <f t="shared" si="78"/>
        <v>2.7521967448586224</v>
      </c>
      <c r="Y27" s="159">
        <f t="shared" si="79"/>
        <v>2.6853259110504575</v>
      </c>
      <c r="Z27" s="159">
        <f t="shared" si="80"/>
        <v>5.204119982655925</v>
      </c>
      <c r="AA27" s="159">
        <f t="shared" si="81"/>
        <v>1.3426629555252287</v>
      </c>
      <c r="AB27" s="159">
        <f t="shared" si="82"/>
        <v>3.6185805558721098</v>
      </c>
      <c r="AC27" s="159">
        <f t="shared" si="83"/>
        <v>1.9671573534439397</v>
      </c>
      <c r="AD27" s="159">
        <f t="shared" si="84"/>
        <v>3.7625787474602337</v>
      </c>
      <c r="AE27" s="159">
        <f t="shared" si="85"/>
        <v>0.98357867672196986</v>
      </c>
      <c r="AF27" s="159">
        <f t="shared" si="86"/>
        <v>5.8535861933225313</v>
      </c>
      <c r="AG27" s="387">
        <f t="shared" si="87"/>
        <v>4.7877903840434515</v>
      </c>
      <c r="AH27" s="159">
        <f t="shared" si="88"/>
        <v>2.1545056728195529</v>
      </c>
      <c r="AI27" s="159">
        <f t="shared" si="89"/>
        <v>2.5390880371035398</v>
      </c>
      <c r="AJ27" s="387">
        <f t="shared" si="90"/>
        <v>6.5880225498016838</v>
      </c>
      <c r="AK27" s="159">
        <f t="shared" si="91"/>
        <v>3.9239064669225674</v>
      </c>
      <c r="AL27" s="159">
        <f t="shared" si="92"/>
        <v>3.6845169477203945</v>
      </c>
      <c r="AM27" s="159">
        <f t="shared" si="93"/>
        <v>0.70208803710353951</v>
      </c>
      <c r="AN27" s="159">
        <f t="shared" si="94"/>
        <v>1.7867865550049062</v>
      </c>
      <c r="AO27" s="159">
        <f t="shared" si="95"/>
        <v>1.4051123953170999</v>
      </c>
      <c r="AP27" s="159">
        <f t="shared" si="96"/>
        <v>3.0912472696976194</v>
      </c>
      <c r="AQ27" s="159">
        <f t="shared" si="97"/>
        <v>0.70255619765854993</v>
      </c>
      <c r="AR27" s="159">
        <f t="shared" si="98"/>
        <v>14.352689263627193</v>
      </c>
      <c r="AS27" s="159">
        <f t="shared" si="99"/>
        <v>1.9765355977452703</v>
      </c>
      <c r="AT27" s="159">
        <f t="shared" si="100"/>
        <v>3.7628071549181858</v>
      </c>
      <c r="AU27" s="159">
        <f t="shared" si="101"/>
        <v>0.98826779887263516</v>
      </c>
      <c r="AV27" s="159">
        <f t="shared" si="102"/>
        <v>0.98357867672196986</v>
      </c>
      <c r="AW27" s="159">
        <f t="shared" si="103"/>
        <v>2.0816479930623699</v>
      </c>
      <c r="AX27" s="159">
        <f t="shared" si="104"/>
        <v>0.49178933836098493</v>
      </c>
      <c r="AY27" s="159">
        <f t="shared" si="105"/>
        <v>15.204119982655925</v>
      </c>
      <c r="AZ27" s="159">
        <f t="shared" si="106"/>
        <v>3.8466423556119489</v>
      </c>
      <c r="BA27" s="159">
        <f t="shared" si="107"/>
        <v>7.5374701104434152</v>
      </c>
      <c r="BB27" s="159">
        <f t="shared" si="108"/>
        <v>1.9233211778059744</v>
      </c>
      <c r="BC27" s="159">
        <f t="shared" si="109"/>
        <v>1.514398914952874</v>
      </c>
      <c r="BD27" s="159">
        <f t="shared" si="110"/>
        <v>1.8110337539642618</v>
      </c>
      <c r="BE27" s="159">
        <f t="shared" si="111"/>
        <v>13.39482970471987</v>
      </c>
      <c r="BF27" s="159">
        <f t="shared" si="112"/>
        <v>11.220462664581117</v>
      </c>
      <c r="BG27" s="159">
        <f t="shared" si="113"/>
        <v>3.6641929158200779</v>
      </c>
      <c r="BH27" s="159">
        <f t="shared" si="114"/>
        <v>2.5239981915881238</v>
      </c>
      <c r="BI27" s="159">
        <f t="shared" si="115"/>
        <v>1.3738876754211642</v>
      </c>
      <c r="BJ27" s="159">
        <f t="shared" si="116"/>
        <v>5.7927697133919072</v>
      </c>
      <c r="BK27" s="159">
        <f t="shared" si="117"/>
        <v>10.596400864841279</v>
      </c>
      <c r="BL27" s="159">
        <f t="shared" si="118"/>
        <v>0.79061423909810802</v>
      </c>
      <c r="BM27" s="159">
        <f t="shared" si="119"/>
        <v>0.93674159687806646</v>
      </c>
      <c r="BN27" s="159">
        <f t="shared" si="120"/>
        <v>0.35388015882060292</v>
      </c>
      <c r="BO27" s="159">
        <f t="shared" si="121"/>
        <v>4.637256594710057</v>
      </c>
      <c r="BP27" s="159">
        <f t="shared" si="122"/>
        <v>15.552498297695518</v>
      </c>
      <c r="BQ27" s="159">
        <f t="shared" si="123"/>
        <v>2.05255619765855</v>
      </c>
      <c r="BR27" s="159">
        <f t="shared" si="124"/>
        <v>1.4779700750742826</v>
      </c>
      <c r="BS27" s="159">
        <f t="shared" si="125"/>
        <v>1.2698052757680456</v>
      </c>
      <c r="BT27" s="159">
        <f t="shared" si="126"/>
        <v>6.9178745921084461</v>
      </c>
      <c r="BU27" s="159">
        <f t="shared" si="127"/>
        <v>13.390164940782766</v>
      </c>
      <c r="BV27" s="159">
        <f t="shared" si="128"/>
        <v>1.839698517901367</v>
      </c>
      <c r="BW27" s="159"/>
      <c r="BX27" s="159"/>
      <c r="BY27" s="159"/>
      <c r="BZ27" s="159"/>
      <c r="CA27" s="159"/>
      <c r="CB27" s="159">
        <f t="shared" si="129"/>
        <v>6.1728727129583056</v>
      </c>
      <c r="CC27" s="159">
        <f t="shared" si="130"/>
        <v>6.8373465109637372</v>
      </c>
      <c r="CD27" s="159">
        <f t="shared" si="131"/>
        <v>14.787839100470572</v>
      </c>
      <c r="CE27" s="159">
        <f t="shared" si="132"/>
        <v>6.8373465109637372</v>
      </c>
      <c r="CF27" s="159">
        <f t="shared" si="133"/>
        <v>7.5481667491946407</v>
      </c>
      <c r="CG27" s="159">
        <f t="shared" si="134"/>
        <v>16.814440256255963</v>
      </c>
      <c r="CH27" s="159">
        <f t="shared" si="135"/>
        <v>7.5481667491946407</v>
      </c>
      <c r="CI27" s="159">
        <f t="shared" si="136"/>
        <v>3.8010299956639813</v>
      </c>
    </row>
    <row r="28" spans="1:87" x14ac:dyDescent="0.25">
      <c r="A28" t="s">
        <v>1048</v>
      </c>
      <c r="C28" s="705">
        <v>30</v>
      </c>
      <c r="D28" s="371">
        <v>5</v>
      </c>
      <c r="E28" s="705" t="s">
        <v>336</v>
      </c>
      <c r="F28" s="317">
        <v>43061</v>
      </c>
      <c r="G28" s="530">
        <v>1</v>
      </c>
      <c r="H28" s="531">
        <v>8</v>
      </c>
      <c r="I28" s="371"/>
      <c r="J28" s="163">
        <v>0</v>
      </c>
      <c r="K28" s="163">
        <v>3</v>
      </c>
      <c r="L28" s="163">
        <v>12</v>
      </c>
      <c r="M28" s="163">
        <v>10</v>
      </c>
      <c r="N28" s="163">
        <v>10</v>
      </c>
      <c r="O28" s="163">
        <v>12</v>
      </c>
      <c r="P28" s="163">
        <v>14</v>
      </c>
      <c r="Q28" s="163">
        <f t="shared" si="71"/>
        <v>3.25</v>
      </c>
      <c r="R28" s="163">
        <f t="shared" si="72"/>
        <v>24.891105161669593</v>
      </c>
      <c r="S28" s="163">
        <f t="shared" si="73"/>
        <v>1.02</v>
      </c>
      <c r="T28" s="163">
        <f t="shared" si="74"/>
        <v>0.54</v>
      </c>
      <c r="U28" s="163" t="e">
        <f t="shared" ca="1" si="75"/>
        <v>#NUM!</v>
      </c>
      <c r="V28" s="159">
        <f t="shared" si="76"/>
        <v>2.7521967448586224</v>
      </c>
      <c r="W28" s="159">
        <f t="shared" si="77"/>
        <v>4.1205188976087985</v>
      </c>
      <c r="X28" s="159">
        <f t="shared" si="78"/>
        <v>2.7521967448586224</v>
      </c>
      <c r="Y28" s="159">
        <f t="shared" si="79"/>
        <v>2.6853259110504575</v>
      </c>
      <c r="Z28" s="159">
        <f t="shared" si="80"/>
        <v>5.204119982655925</v>
      </c>
      <c r="AA28" s="159">
        <f t="shared" si="81"/>
        <v>1.3426629555252287</v>
      </c>
      <c r="AB28" s="159">
        <f t="shared" si="82"/>
        <v>3.3805805558721098</v>
      </c>
      <c r="AC28" s="159">
        <f t="shared" si="83"/>
        <v>1.9671573534439397</v>
      </c>
      <c r="AD28" s="159">
        <f t="shared" si="84"/>
        <v>3.7625787474602337</v>
      </c>
      <c r="AE28" s="159">
        <f t="shared" si="85"/>
        <v>0.98357867672196986</v>
      </c>
      <c r="AF28" s="159">
        <f t="shared" si="86"/>
        <v>5.4685861933225315</v>
      </c>
      <c r="AG28" s="387">
        <f t="shared" si="87"/>
        <v>4.7877903840434515</v>
      </c>
      <c r="AH28" s="159">
        <f t="shared" si="88"/>
        <v>2.1545056728195529</v>
      </c>
      <c r="AI28" s="159">
        <f t="shared" si="89"/>
        <v>2.3720880371035395</v>
      </c>
      <c r="AJ28" s="387">
        <f t="shared" si="90"/>
        <v>7.1760225498016839</v>
      </c>
      <c r="AK28" s="159">
        <f t="shared" si="91"/>
        <v>3.9239064669225674</v>
      </c>
      <c r="AL28" s="159">
        <f t="shared" si="92"/>
        <v>3.6845169477203945</v>
      </c>
      <c r="AM28" s="159">
        <f t="shared" si="93"/>
        <v>2.7060880371035396</v>
      </c>
      <c r="AN28" s="159">
        <f t="shared" si="94"/>
        <v>1.5707865550049063</v>
      </c>
      <c r="AO28" s="159">
        <f t="shared" si="95"/>
        <v>1.4051123953170999</v>
      </c>
      <c r="AP28" s="159">
        <f t="shared" si="96"/>
        <v>3.0912472696976194</v>
      </c>
      <c r="AQ28" s="159">
        <f t="shared" si="97"/>
        <v>0.70255619765854993</v>
      </c>
      <c r="AR28" s="159">
        <f t="shared" si="98"/>
        <v>13.408689263627192</v>
      </c>
      <c r="AS28" s="159">
        <f t="shared" si="99"/>
        <v>1.5865355977452702</v>
      </c>
      <c r="AT28" s="159">
        <f t="shared" si="100"/>
        <v>3.9218071549181861</v>
      </c>
      <c r="AU28" s="159">
        <f t="shared" si="101"/>
        <v>0.7932677988726351</v>
      </c>
      <c r="AV28" s="159">
        <f t="shared" si="102"/>
        <v>0.98357867672196986</v>
      </c>
      <c r="AW28" s="159">
        <f t="shared" si="103"/>
        <v>2.0816479930623699</v>
      </c>
      <c r="AX28" s="159">
        <f t="shared" si="104"/>
        <v>0.49178933836098493</v>
      </c>
      <c r="AY28" s="159">
        <f t="shared" si="105"/>
        <v>14.204119982655925</v>
      </c>
      <c r="AZ28" s="159">
        <f t="shared" si="106"/>
        <v>3.087642355611949</v>
      </c>
      <c r="BA28" s="159">
        <f t="shared" si="107"/>
        <v>7.1444701104434145</v>
      </c>
      <c r="BB28" s="159">
        <f t="shared" si="108"/>
        <v>1.5438211778059745</v>
      </c>
      <c r="BC28" s="159">
        <f t="shared" si="109"/>
        <v>1.514398914952874</v>
      </c>
      <c r="BD28" s="159">
        <f t="shared" si="110"/>
        <v>1.8110337539642618</v>
      </c>
      <c r="BE28" s="159">
        <f t="shared" si="111"/>
        <v>12.513829704719869</v>
      </c>
      <c r="BF28" s="159">
        <f t="shared" si="112"/>
        <v>10.849462664581116</v>
      </c>
      <c r="BG28" s="159">
        <f t="shared" si="113"/>
        <v>2.941192915820078</v>
      </c>
      <c r="BH28" s="159">
        <f t="shared" si="114"/>
        <v>2.5239981915881238</v>
      </c>
      <c r="BI28" s="159">
        <f t="shared" si="115"/>
        <v>1.3738876754211642</v>
      </c>
      <c r="BJ28" s="159">
        <f t="shared" si="116"/>
        <v>5.4117697133919078</v>
      </c>
      <c r="BK28" s="159">
        <f t="shared" si="117"/>
        <v>10.666400864841279</v>
      </c>
      <c r="BL28" s="159">
        <f t="shared" si="118"/>
        <v>0.6346142390981081</v>
      </c>
      <c r="BM28" s="159">
        <f t="shared" si="119"/>
        <v>0.93674159687806646</v>
      </c>
      <c r="BN28" s="159">
        <f t="shared" si="120"/>
        <v>0.35388015882060292</v>
      </c>
      <c r="BO28" s="159">
        <f t="shared" si="121"/>
        <v>4.3322565947100573</v>
      </c>
      <c r="BP28" s="159">
        <f t="shared" si="122"/>
        <v>15.694498297695519</v>
      </c>
      <c r="BQ28" s="159">
        <f t="shared" si="123"/>
        <v>1.64755619765855</v>
      </c>
      <c r="BR28" s="159">
        <f t="shared" si="124"/>
        <v>1.4779700750742826</v>
      </c>
      <c r="BS28" s="159">
        <f t="shared" si="125"/>
        <v>1.2698052757680456</v>
      </c>
      <c r="BT28" s="159">
        <f t="shared" si="126"/>
        <v>6.4628745921084461</v>
      </c>
      <c r="BU28" s="159">
        <f t="shared" si="127"/>
        <v>13.522164940782766</v>
      </c>
      <c r="BV28" s="159">
        <f t="shared" si="128"/>
        <v>1.476698517901367</v>
      </c>
      <c r="BW28" s="159"/>
      <c r="BX28" s="159"/>
      <c r="BY28" s="159"/>
      <c r="BZ28" s="159"/>
      <c r="CA28" s="159"/>
      <c r="CB28" s="159">
        <f t="shared" si="129"/>
        <v>5.7668727129583059</v>
      </c>
      <c r="CC28" s="159">
        <f t="shared" si="130"/>
        <v>6.6123465109637376</v>
      </c>
      <c r="CD28" s="159">
        <f t="shared" si="131"/>
        <v>14.907839100470571</v>
      </c>
      <c r="CE28" s="159">
        <f t="shared" si="132"/>
        <v>6.6123465109637376</v>
      </c>
      <c r="CF28" s="159">
        <f t="shared" si="133"/>
        <v>8.12316674919464</v>
      </c>
      <c r="CG28" s="159">
        <f t="shared" si="134"/>
        <v>18.707440256255961</v>
      </c>
      <c r="CH28" s="159">
        <f t="shared" si="135"/>
        <v>8.12316674919464</v>
      </c>
      <c r="CI28" s="159">
        <f t="shared" si="136"/>
        <v>3.5510299956639813</v>
      </c>
    </row>
    <row r="29" spans="1:87" x14ac:dyDescent="0.25">
      <c r="A29" t="s">
        <v>1042</v>
      </c>
      <c r="C29" s="705">
        <v>29</v>
      </c>
      <c r="D29" s="371">
        <v>69</v>
      </c>
      <c r="E29" s="705" t="s">
        <v>336</v>
      </c>
      <c r="F29" s="317">
        <v>43060</v>
      </c>
      <c r="G29" s="530">
        <v>1</v>
      </c>
      <c r="H29" s="531">
        <v>8</v>
      </c>
      <c r="I29" s="371"/>
      <c r="J29" s="163">
        <v>0</v>
      </c>
      <c r="K29" s="163">
        <v>3</v>
      </c>
      <c r="L29" s="163">
        <v>14</v>
      </c>
      <c r="M29" s="163">
        <v>3</v>
      </c>
      <c r="N29" s="163">
        <v>15</v>
      </c>
      <c r="O29" s="163">
        <v>10</v>
      </c>
      <c r="P29" s="163">
        <v>2</v>
      </c>
      <c r="Q29" s="163">
        <f t="shared" si="71"/>
        <v>4.5</v>
      </c>
      <c r="R29" s="163">
        <f t="shared" si="72"/>
        <v>14.971105161669593</v>
      </c>
      <c r="S29" s="163">
        <f t="shared" si="73"/>
        <v>0.55999999999999994</v>
      </c>
      <c r="T29" s="163">
        <f t="shared" si="74"/>
        <v>0.18000000000000002</v>
      </c>
      <c r="U29" s="163">
        <f t="shared" ca="1" si="75"/>
        <v>3.204119982655925</v>
      </c>
      <c r="V29" s="159">
        <f t="shared" si="76"/>
        <v>2.7521967448586224</v>
      </c>
      <c r="W29" s="159">
        <f t="shared" si="77"/>
        <v>4.1205188976087985</v>
      </c>
      <c r="X29" s="159">
        <f t="shared" si="78"/>
        <v>2.7521967448586224</v>
      </c>
      <c r="Y29" s="159">
        <f t="shared" si="79"/>
        <v>2.6853259110504575</v>
      </c>
      <c r="Z29" s="159">
        <f t="shared" si="80"/>
        <v>5.204119982655925</v>
      </c>
      <c r="AA29" s="159">
        <f t="shared" si="81"/>
        <v>1.3426629555252287</v>
      </c>
      <c r="AB29" s="159">
        <f t="shared" si="82"/>
        <v>3.8565805558721098</v>
      </c>
      <c r="AC29" s="159">
        <f t="shared" si="83"/>
        <v>1.9671573534439397</v>
      </c>
      <c r="AD29" s="159">
        <f t="shared" si="84"/>
        <v>3.7625787474602337</v>
      </c>
      <c r="AE29" s="159">
        <f t="shared" si="85"/>
        <v>0.98357867672196986</v>
      </c>
      <c r="AF29" s="159">
        <f t="shared" si="86"/>
        <v>6.2385861933225311</v>
      </c>
      <c r="AG29" s="387">
        <f t="shared" si="87"/>
        <v>4.7877903840434515</v>
      </c>
      <c r="AH29" s="159">
        <f t="shared" si="88"/>
        <v>2.1545056728195529</v>
      </c>
      <c r="AI29" s="159">
        <f t="shared" si="89"/>
        <v>2.7060880371035396</v>
      </c>
      <c r="AJ29" s="387">
        <f t="shared" si="90"/>
        <v>3.0600225498016838</v>
      </c>
      <c r="AK29" s="159">
        <f t="shared" si="91"/>
        <v>3.9239064669225674</v>
      </c>
      <c r="AL29" s="159">
        <f t="shared" si="92"/>
        <v>3.6845169477203945</v>
      </c>
      <c r="AM29" s="159">
        <f t="shared" si="93"/>
        <v>0.70208803710353951</v>
      </c>
      <c r="AN29" s="159">
        <f t="shared" si="94"/>
        <v>1.9307865550049064</v>
      </c>
      <c r="AO29" s="159">
        <f t="shared" si="95"/>
        <v>1.4051123953170999</v>
      </c>
      <c r="AP29" s="159">
        <f t="shared" si="96"/>
        <v>3.0912472696976194</v>
      </c>
      <c r="AQ29" s="159">
        <f t="shared" si="97"/>
        <v>0.70255619765854993</v>
      </c>
      <c r="AR29" s="159">
        <f t="shared" si="98"/>
        <v>15.296689263627192</v>
      </c>
      <c r="AS29" s="159">
        <f t="shared" si="99"/>
        <v>2.2365355977452701</v>
      </c>
      <c r="AT29" s="159">
        <f t="shared" si="100"/>
        <v>4.1758071549181857</v>
      </c>
      <c r="AU29" s="159">
        <f t="shared" si="101"/>
        <v>1.1182677988726351</v>
      </c>
      <c r="AV29" s="159">
        <f t="shared" si="102"/>
        <v>0.98357867672196986</v>
      </c>
      <c r="AW29" s="159">
        <f t="shared" si="103"/>
        <v>2.0816479930623699</v>
      </c>
      <c r="AX29" s="159">
        <f t="shared" si="104"/>
        <v>0.49178933836098493</v>
      </c>
      <c r="AY29" s="159">
        <f t="shared" si="105"/>
        <v>16.204119982655925</v>
      </c>
      <c r="AZ29" s="159">
        <f t="shared" si="106"/>
        <v>4.3526423556119491</v>
      </c>
      <c r="BA29" s="159">
        <f t="shared" si="107"/>
        <v>8.4294701104434147</v>
      </c>
      <c r="BB29" s="159">
        <f t="shared" si="108"/>
        <v>2.1763211778059746</v>
      </c>
      <c r="BC29" s="159">
        <f t="shared" si="109"/>
        <v>1.514398914952874</v>
      </c>
      <c r="BD29" s="159">
        <f t="shared" si="110"/>
        <v>1.8110337539642618</v>
      </c>
      <c r="BE29" s="159">
        <f t="shared" si="111"/>
        <v>14.27582970471987</v>
      </c>
      <c r="BF29" s="159">
        <f t="shared" si="112"/>
        <v>8.4064626645811167</v>
      </c>
      <c r="BG29" s="159">
        <f t="shared" si="113"/>
        <v>4.1461929158200777</v>
      </c>
      <c r="BH29" s="159">
        <f t="shared" si="114"/>
        <v>2.5239981915881238</v>
      </c>
      <c r="BI29" s="159">
        <f t="shared" si="115"/>
        <v>1.3738876754211642</v>
      </c>
      <c r="BJ29" s="159">
        <f t="shared" si="116"/>
        <v>6.1737697133919074</v>
      </c>
      <c r="BK29" s="159">
        <f t="shared" si="117"/>
        <v>6.9604008648412794</v>
      </c>
      <c r="BL29" s="159">
        <f t="shared" si="118"/>
        <v>0.89461423909810811</v>
      </c>
      <c r="BM29" s="159">
        <f t="shared" si="119"/>
        <v>0.93674159687806646</v>
      </c>
      <c r="BN29" s="159">
        <f t="shared" si="120"/>
        <v>0.35388015882060292</v>
      </c>
      <c r="BO29" s="159">
        <f t="shared" si="121"/>
        <v>4.9422565947100567</v>
      </c>
      <c r="BP29" s="159">
        <f t="shared" si="122"/>
        <v>10.124498297695519</v>
      </c>
      <c r="BQ29" s="159">
        <f t="shared" si="123"/>
        <v>2.32255619765855</v>
      </c>
      <c r="BR29" s="159">
        <f t="shared" si="124"/>
        <v>1.4779700750742826</v>
      </c>
      <c r="BS29" s="159">
        <f t="shared" si="125"/>
        <v>1.2698052757680456</v>
      </c>
      <c r="BT29" s="159">
        <f t="shared" si="126"/>
        <v>7.3728745921084462</v>
      </c>
      <c r="BU29" s="159">
        <f t="shared" si="127"/>
        <v>8.6941649407827644</v>
      </c>
      <c r="BV29" s="159">
        <f t="shared" si="128"/>
        <v>2.081698517901367</v>
      </c>
      <c r="BW29" s="159"/>
      <c r="BX29" s="159"/>
      <c r="BY29" s="159"/>
      <c r="BZ29" s="159"/>
      <c r="CA29" s="159"/>
      <c r="CB29" s="159">
        <f t="shared" si="129"/>
        <v>6.5788727129583062</v>
      </c>
      <c r="CC29" s="159">
        <f t="shared" si="130"/>
        <v>6.6003465109637371</v>
      </c>
      <c r="CD29" s="159">
        <f t="shared" si="131"/>
        <v>16.456839100470571</v>
      </c>
      <c r="CE29" s="159">
        <f t="shared" si="132"/>
        <v>6.6003465109637371</v>
      </c>
      <c r="CF29" s="159">
        <f t="shared" si="133"/>
        <v>6.7661667491946407</v>
      </c>
      <c r="CG29" s="159">
        <f t="shared" si="134"/>
        <v>18.552440256255963</v>
      </c>
      <c r="CH29" s="159">
        <f t="shared" si="135"/>
        <v>6.7661667491946407</v>
      </c>
      <c r="CI29" s="159">
        <f t="shared" si="136"/>
        <v>4.0510299956639813</v>
      </c>
    </row>
    <row r="30" spans="1:87" x14ac:dyDescent="0.25">
      <c r="A30" t="s">
        <v>1040</v>
      </c>
      <c r="C30" s="705">
        <v>28</v>
      </c>
      <c r="D30" s="371">
        <v>48</v>
      </c>
      <c r="E30" s="705" t="s">
        <v>311</v>
      </c>
      <c r="F30" s="317">
        <v>43062</v>
      </c>
      <c r="G30" s="530">
        <v>1</v>
      </c>
      <c r="H30" s="531">
        <v>9</v>
      </c>
      <c r="I30" s="371"/>
      <c r="J30" s="163">
        <v>0</v>
      </c>
      <c r="K30" s="163">
        <v>3</v>
      </c>
      <c r="L30" s="163">
        <v>14</v>
      </c>
      <c r="M30" s="163">
        <v>4</v>
      </c>
      <c r="N30" s="163">
        <v>14</v>
      </c>
      <c r="O30" s="163">
        <v>10</v>
      </c>
      <c r="P30" s="163">
        <v>2</v>
      </c>
      <c r="Q30" s="163">
        <f t="shared" si="71"/>
        <v>4.25</v>
      </c>
      <c r="R30" s="163">
        <f t="shared" si="72"/>
        <v>15.121834594481209</v>
      </c>
      <c r="S30" s="163">
        <f t="shared" si="73"/>
        <v>0.55999999999999994</v>
      </c>
      <c r="T30" s="163">
        <f t="shared" si="74"/>
        <v>0.18000000000000002</v>
      </c>
      <c r="U30" s="163" t="e">
        <f t="shared" ca="1" si="75"/>
        <v>#NUM!</v>
      </c>
      <c r="V30" s="159">
        <f t="shared" si="76"/>
        <v>2.8117382809873739</v>
      </c>
      <c r="W30" s="159">
        <f t="shared" si="77"/>
        <v>4.2085694395815576</v>
      </c>
      <c r="X30" s="159">
        <f t="shared" si="78"/>
        <v>2.8117382809873739</v>
      </c>
      <c r="Y30" s="159">
        <f t="shared" si="79"/>
        <v>2.7205188464942553</v>
      </c>
      <c r="Z30" s="159">
        <f t="shared" si="80"/>
        <v>5.2723233459190997</v>
      </c>
      <c r="AA30" s="159">
        <f t="shared" si="81"/>
        <v>1.3602594232471277</v>
      </c>
      <c r="AB30" s="159">
        <f t="shared" si="82"/>
        <v>3.8728129563287461</v>
      </c>
      <c r="AC30" s="159">
        <f t="shared" si="83"/>
        <v>1.9929382247574197</v>
      </c>
      <c r="AD30" s="159">
        <f t="shared" si="84"/>
        <v>3.8118897790995088</v>
      </c>
      <c r="AE30" s="159">
        <f t="shared" si="85"/>
        <v>0.99646911237870983</v>
      </c>
      <c r="AF30" s="159">
        <f t="shared" si="86"/>
        <v>6.2648444881788539</v>
      </c>
      <c r="AG30" s="387">
        <f t="shared" si="87"/>
        <v>4.8505374782455721</v>
      </c>
      <c r="AH30" s="159">
        <f t="shared" si="88"/>
        <v>2.1827418652105073</v>
      </c>
      <c r="AI30" s="159">
        <f t="shared" si="89"/>
        <v>2.7174779987684903</v>
      </c>
      <c r="AJ30" s="387">
        <f t="shared" si="90"/>
        <v>3.6881261274004302</v>
      </c>
      <c r="AK30" s="159">
        <f t="shared" si="91"/>
        <v>3.9753318028230011</v>
      </c>
      <c r="AL30" s="159">
        <f t="shared" si="92"/>
        <v>3.7328049289107224</v>
      </c>
      <c r="AM30" s="159">
        <f t="shared" si="93"/>
        <v>0.71347799876848972</v>
      </c>
      <c r="AN30" s="159">
        <f t="shared" si="94"/>
        <v>1.8784291236247006</v>
      </c>
      <c r="AO30" s="159">
        <f t="shared" si="95"/>
        <v>1.423527303398157</v>
      </c>
      <c r="AP30" s="159">
        <f t="shared" si="96"/>
        <v>3.1317600674759452</v>
      </c>
      <c r="AQ30" s="159">
        <f t="shared" si="97"/>
        <v>0.71176365169907851</v>
      </c>
      <c r="AR30" s="159">
        <f t="shared" si="98"/>
        <v>15.361073238547631</v>
      </c>
      <c r="AS30" s="159">
        <f t="shared" si="99"/>
        <v>2.1154020349694833</v>
      </c>
      <c r="AT30" s="159">
        <f t="shared" si="100"/>
        <v>4.0757907403542966</v>
      </c>
      <c r="AU30" s="159">
        <f t="shared" si="101"/>
        <v>1.0577010174847417</v>
      </c>
      <c r="AV30" s="159">
        <f t="shared" si="102"/>
        <v>0.99646911237870983</v>
      </c>
      <c r="AW30" s="159">
        <f t="shared" si="103"/>
        <v>2.10892933836764</v>
      </c>
      <c r="AX30" s="159">
        <f t="shared" si="104"/>
        <v>0.49823455618935492</v>
      </c>
      <c r="AY30" s="159">
        <f t="shared" si="105"/>
        <v>16.272323345919101</v>
      </c>
      <c r="AZ30" s="159">
        <f t="shared" si="106"/>
        <v>4.1168978065175326</v>
      </c>
      <c r="BA30" s="159">
        <f t="shared" si="107"/>
        <v>8.1260501636014251</v>
      </c>
      <c r="BB30" s="159">
        <f t="shared" si="108"/>
        <v>2.0584489032587663</v>
      </c>
      <c r="BC30" s="159">
        <f t="shared" si="109"/>
        <v>1.534246093662458</v>
      </c>
      <c r="BD30" s="159">
        <f t="shared" si="110"/>
        <v>1.8347685243798466</v>
      </c>
      <c r="BE30" s="159">
        <f t="shared" si="111"/>
        <v>14.335916867754728</v>
      </c>
      <c r="BF30" s="159">
        <f t="shared" si="112"/>
        <v>8.7260954545220795</v>
      </c>
      <c r="BG30" s="159">
        <f t="shared" si="113"/>
        <v>3.9216299263665033</v>
      </c>
      <c r="BH30" s="159">
        <f t="shared" si="114"/>
        <v>2.5570768227707634</v>
      </c>
      <c r="BI30" s="159">
        <f t="shared" si="115"/>
        <v>1.3918933633226425</v>
      </c>
      <c r="BJ30" s="159">
        <f t="shared" si="116"/>
        <v>6.1997551947951779</v>
      </c>
      <c r="BK30" s="159">
        <f t="shared" si="117"/>
        <v>7.4920106043332941</v>
      </c>
      <c r="BL30" s="159">
        <f t="shared" si="118"/>
        <v>0.84616081398779319</v>
      </c>
      <c r="BM30" s="159">
        <f t="shared" si="119"/>
        <v>0.94901820226543787</v>
      </c>
      <c r="BN30" s="159">
        <f t="shared" si="120"/>
        <v>0.3585179875224988</v>
      </c>
      <c r="BO30" s="159">
        <f t="shared" si="121"/>
        <v>4.9630586205053255</v>
      </c>
      <c r="BP30" s="159">
        <f t="shared" si="122"/>
        <v>10.926207822851962</v>
      </c>
      <c r="BQ30" s="159">
        <f t="shared" si="123"/>
        <v>2.1967636516990789</v>
      </c>
      <c r="BR30" s="159">
        <f t="shared" si="124"/>
        <v>1.4973398302410241</v>
      </c>
      <c r="BS30" s="159">
        <f t="shared" si="125"/>
        <v>1.2864468964042604</v>
      </c>
      <c r="BT30" s="159">
        <f t="shared" si="126"/>
        <v>7.4039071223931918</v>
      </c>
      <c r="BU30" s="159">
        <f t="shared" si="127"/>
        <v>9.3897342672783619</v>
      </c>
      <c r="BV30" s="159">
        <f t="shared" si="128"/>
        <v>1.9689511248562113</v>
      </c>
      <c r="BW30" s="159"/>
      <c r="BX30" s="159"/>
      <c r="BY30" s="159"/>
      <c r="BZ30" s="159"/>
      <c r="CA30" s="159"/>
      <c r="CB30" s="159">
        <f t="shared" si="129"/>
        <v>6.6065632784431561</v>
      </c>
      <c r="CC30" s="159">
        <f t="shared" si="130"/>
        <v>6.5298804632238516</v>
      </c>
      <c r="CD30" s="159">
        <f t="shared" si="131"/>
        <v>15.990636087504907</v>
      </c>
      <c r="CE30" s="159">
        <f t="shared" si="132"/>
        <v>6.5298804632238516</v>
      </c>
      <c r="CF30" s="159">
        <f t="shared" si="133"/>
        <v>6.8876574445075995</v>
      </c>
      <c r="CG30" s="159">
        <f t="shared" si="134"/>
        <v>18.27681066056325</v>
      </c>
      <c r="CH30" s="159">
        <f t="shared" si="135"/>
        <v>6.8876574445075995</v>
      </c>
      <c r="CI30" s="159">
        <f t="shared" si="136"/>
        <v>4.0680808364797754</v>
      </c>
    </row>
    <row r="31" spans="1:87" x14ac:dyDescent="0.25">
      <c r="A31" t="s">
        <v>1045</v>
      </c>
      <c r="C31" s="705">
        <v>30</v>
      </c>
      <c r="D31" s="371">
        <v>9</v>
      </c>
      <c r="E31" s="705" t="s">
        <v>595</v>
      </c>
      <c r="F31" s="317">
        <v>43060</v>
      </c>
      <c r="G31" s="530">
        <v>1</v>
      </c>
      <c r="H31" s="531">
        <v>7</v>
      </c>
      <c r="I31" s="371"/>
      <c r="J31" s="163">
        <v>0</v>
      </c>
      <c r="K31" s="163">
        <v>2</v>
      </c>
      <c r="L31" s="163">
        <v>13</v>
      </c>
      <c r="M31" s="163">
        <v>2</v>
      </c>
      <c r="N31" s="163">
        <v>14</v>
      </c>
      <c r="O31" s="163">
        <v>12</v>
      </c>
      <c r="P31" s="163">
        <v>2</v>
      </c>
      <c r="Q31" s="163">
        <f t="shared" si="71"/>
        <v>4.125</v>
      </c>
      <c r="R31" s="163">
        <f t="shared" si="72"/>
        <v>18.120222224575343</v>
      </c>
      <c r="S31" s="163">
        <f t="shared" si="73"/>
        <v>0.65999999999999992</v>
      </c>
      <c r="T31" s="163">
        <f t="shared" si="74"/>
        <v>0.13999999999999999</v>
      </c>
      <c r="U31" s="163">
        <f t="shared" ca="1" si="75"/>
        <v>3.1267973866856758</v>
      </c>
      <c r="V31" s="159">
        <f t="shared" si="76"/>
        <v>2.4086941185765949</v>
      </c>
      <c r="W31" s="159">
        <f t="shared" si="77"/>
        <v>3.5956954262112069</v>
      </c>
      <c r="X31" s="159">
        <f t="shared" si="78"/>
        <v>2.4086941185765949</v>
      </c>
      <c r="Y31" s="159">
        <f t="shared" si="79"/>
        <v>2.1294274515298084</v>
      </c>
      <c r="Z31" s="159">
        <f t="shared" si="80"/>
        <v>4.1267973866856753</v>
      </c>
      <c r="AA31" s="159">
        <f t="shared" si="81"/>
        <v>1.0647137257649042</v>
      </c>
      <c r="AB31" s="159">
        <f t="shared" si="82"/>
        <v>3.6001777780311905</v>
      </c>
      <c r="AC31" s="159">
        <f t="shared" si="83"/>
        <v>1.5599294121671852</v>
      </c>
      <c r="AD31" s="159">
        <f t="shared" si="84"/>
        <v>2.983674510573743</v>
      </c>
      <c r="AE31" s="159">
        <f t="shared" si="85"/>
        <v>0.77996470608359258</v>
      </c>
      <c r="AF31" s="159">
        <f t="shared" si="86"/>
        <v>5.8238169938739848</v>
      </c>
      <c r="AG31" s="387">
        <f t="shared" si="87"/>
        <v>3.7966535957508216</v>
      </c>
      <c r="AH31" s="159">
        <f t="shared" si="88"/>
        <v>1.7084941180878694</v>
      </c>
      <c r="AI31" s="159">
        <f t="shared" si="89"/>
        <v>2.5261751635765077</v>
      </c>
      <c r="AJ31" s="387">
        <f t="shared" si="90"/>
        <v>2.4265568633711769</v>
      </c>
      <c r="AK31" s="159">
        <f t="shared" si="91"/>
        <v>3.1116052295609991</v>
      </c>
      <c r="AL31" s="159">
        <f t="shared" si="92"/>
        <v>2.9217725497734581</v>
      </c>
      <c r="AM31" s="159">
        <f t="shared" si="93"/>
        <v>0.68917516357650777</v>
      </c>
      <c r="AN31" s="159">
        <f t="shared" si="94"/>
        <v>1.8005176473654743</v>
      </c>
      <c r="AO31" s="159">
        <f t="shared" si="95"/>
        <v>1.1142352944051324</v>
      </c>
      <c r="AP31" s="159">
        <f t="shared" si="96"/>
        <v>2.4513176476912912</v>
      </c>
      <c r="AQ31" s="159">
        <f t="shared" si="97"/>
        <v>0.55711764720256618</v>
      </c>
      <c r="AR31" s="159">
        <f t="shared" si="98"/>
        <v>14.279696733031276</v>
      </c>
      <c r="AS31" s="159">
        <f t="shared" si="99"/>
        <v>2.0964836602691381</v>
      </c>
      <c r="AT31" s="159">
        <f t="shared" si="100"/>
        <v>4.3791516342989034</v>
      </c>
      <c r="AU31" s="159">
        <f t="shared" si="101"/>
        <v>1.0482418301345691</v>
      </c>
      <c r="AV31" s="159">
        <f t="shared" si="102"/>
        <v>0.77996470608359258</v>
      </c>
      <c r="AW31" s="159">
        <f t="shared" si="103"/>
        <v>1.6507189546742702</v>
      </c>
      <c r="AX31" s="159">
        <f t="shared" si="104"/>
        <v>0.38998235304179629</v>
      </c>
      <c r="AY31" s="159">
        <f t="shared" si="105"/>
        <v>15.126797386685675</v>
      </c>
      <c r="AZ31" s="159">
        <f t="shared" si="106"/>
        <v>4.0800797388314765</v>
      </c>
      <c r="BA31" s="159">
        <f t="shared" si="107"/>
        <v>8.465865360063809</v>
      </c>
      <c r="BB31" s="159">
        <f t="shared" si="108"/>
        <v>2.0400398694157382</v>
      </c>
      <c r="BC31" s="159">
        <f t="shared" si="109"/>
        <v>1.2008980395255315</v>
      </c>
      <c r="BD31" s="159">
        <f t="shared" si="110"/>
        <v>1.436125490566615</v>
      </c>
      <c r="BE31" s="159">
        <f t="shared" si="111"/>
        <v>13.326708497670079</v>
      </c>
      <c r="BF31" s="159">
        <f t="shared" si="112"/>
        <v>7.4487228767635658</v>
      </c>
      <c r="BG31" s="159">
        <f t="shared" si="113"/>
        <v>3.8865581701912482</v>
      </c>
      <c r="BH31" s="159">
        <f t="shared" si="114"/>
        <v>2.0014967325425523</v>
      </c>
      <c r="BI31" s="159">
        <f t="shared" si="115"/>
        <v>1.0894745100850183</v>
      </c>
      <c r="BJ31" s="159">
        <f t="shared" si="116"/>
        <v>5.7633098043272426</v>
      </c>
      <c r="BK31" s="159">
        <f t="shared" si="117"/>
        <v>6.0188209159632802</v>
      </c>
      <c r="BL31" s="159">
        <f t="shared" si="118"/>
        <v>0.83859346410765512</v>
      </c>
      <c r="BM31" s="159">
        <f t="shared" si="119"/>
        <v>0.74282352960342157</v>
      </c>
      <c r="BN31" s="159">
        <f t="shared" si="120"/>
        <v>0.28062222229462597</v>
      </c>
      <c r="BO31" s="159">
        <f t="shared" si="121"/>
        <v>4.6136732029391307</v>
      </c>
      <c r="BP31" s="159">
        <f t="shared" si="122"/>
        <v>8.7390614392777799</v>
      </c>
      <c r="BQ31" s="159">
        <f t="shared" si="123"/>
        <v>2.1771176472025666</v>
      </c>
      <c r="BR31" s="159">
        <f t="shared" si="124"/>
        <v>1.1720104578187316</v>
      </c>
      <c r="BS31" s="159">
        <f t="shared" si="125"/>
        <v>1.0069385623513047</v>
      </c>
      <c r="BT31" s="159">
        <f t="shared" si="126"/>
        <v>6.8826928109419825</v>
      </c>
      <c r="BU31" s="159">
        <f t="shared" si="127"/>
        <v>7.5004915044477283</v>
      </c>
      <c r="BV31" s="159">
        <f t="shared" si="128"/>
        <v>1.9513424837889668</v>
      </c>
      <c r="BW31" s="159"/>
      <c r="BX31" s="159"/>
      <c r="BY31" s="159"/>
      <c r="BZ31" s="159"/>
      <c r="CA31" s="159"/>
      <c r="CB31" s="159">
        <f t="shared" si="129"/>
        <v>6.1414797389943843</v>
      </c>
      <c r="CC31" s="159">
        <f t="shared" si="130"/>
        <v>6.4200614384632368</v>
      </c>
      <c r="CD31" s="159">
        <f t="shared" si="131"/>
        <v>16.992773857408071</v>
      </c>
      <c r="CE31" s="159">
        <f t="shared" si="132"/>
        <v>6.4200614384632368</v>
      </c>
      <c r="CF31" s="159">
        <f t="shared" si="133"/>
        <v>6.8749947719051763</v>
      </c>
      <c r="CG31" s="159">
        <f t="shared" si="134"/>
        <v>20.077585622372691</v>
      </c>
      <c r="CH31" s="159">
        <f t="shared" si="135"/>
        <v>6.8749947719051763</v>
      </c>
      <c r="CI31" s="159">
        <f t="shared" si="136"/>
        <v>3.7816993466714188</v>
      </c>
    </row>
    <row r="32" spans="1:87" x14ac:dyDescent="0.25">
      <c r="A32" t="s">
        <v>1051</v>
      </c>
      <c r="C32" s="705">
        <v>30</v>
      </c>
      <c r="D32" s="371">
        <v>39</v>
      </c>
      <c r="E32" s="705" t="s">
        <v>175</v>
      </c>
      <c r="F32" s="317">
        <v>43061</v>
      </c>
      <c r="G32" s="530">
        <v>1</v>
      </c>
      <c r="H32" s="531">
        <v>8</v>
      </c>
      <c r="I32" s="371"/>
      <c r="J32" s="163">
        <v>0</v>
      </c>
      <c r="K32" s="163">
        <v>4</v>
      </c>
      <c r="L32" s="163">
        <v>16</v>
      </c>
      <c r="M32" s="163">
        <v>5</v>
      </c>
      <c r="N32" s="163">
        <v>14</v>
      </c>
      <c r="O32" s="163">
        <v>7</v>
      </c>
      <c r="P32" s="163">
        <v>1</v>
      </c>
      <c r="Q32" s="163">
        <f t="shared" si="71"/>
        <v>4.375</v>
      </c>
      <c r="R32" s="163">
        <f t="shared" si="72"/>
        <v>9.4411051616695953</v>
      </c>
      <c r="S32" s="163">
        <f t="shared" si="73"/>
        <v>0.38</v>
      </c>
      <c r="T32" s="163">
        <f t="shared" si="74"/>
        <v>0.19</v>
      </c>
      <c r="U32" s="163" t="e">
        <f t="shared" ca="1" si="75"/>
        <v>#NUM!</v>
      </c>
      <c r="V32" s="159">
        <f t="shared" si="76"/>
        <v>3.0281967448586227</v>
      </c>
      <c r="W32" s="159">
        <f t="shared" si="77"/>
        <v>4.5455188976087992</v>
      </c>
      <c r="X32" s="159">
        <f t="shared" si="78"/>
        <v>3.0281967448586227</v>
      </c>
      <c r="Y32" s="159">
        <f t="shared" si="79"/>
        <v>3.2013259110504575</v>
      </c>
      <c r="Z32" s="159">
        <f t="shared" si="80"/>
        <v>6.204119982655925</v>
      </c>
      <c r="AA32" s="159">
        <f t="shared" si="81"/>
        <v>1.6006629555252287</v>
      </c>
      <c r="AB32" s="159">
        <f t="shared" si="82"/>
        <v>4.3325805558721102</v>
      </c>
      <c r="AC32" s="159">
        <f t="shared" si="83"/>
        <v>2.3451573534439398</v>
      </c>
      <c r="AD32" s="159">
        <f t="shared" si="84"/>
        <v>4.4855787474602336</v>
      </c>
      <c r="AE32" s="159">
        <f t="shared" si="85"/>
        <v>1.1725786767219699</v>
      </c>
      <c r="AF32" s="159">
        <f t="shared" si="86"/>
        <v>7.0085861933225315</v>
      </c>
      <c r="AG32" s="387">
        <f t="shared" si="87"/>
        <v>5.7077903840434514</v>
      </c>
      <c r="AH32" s="159">
        <f t="shared" si="88"/>
        <v>2.568505672819553</v>
      </c>
      <c r="AI32" s="159">
        <f t="shared" si="89"/>
        <v>3.0400880371035397</v>
      </c>
      <c r="AJ32" s="387">
        <f t="shared" si="90"/>
        <v>4.2360225498016835</v>
      </c>
      <c r="AK32" s="159">
        <f t="shared" si="91"/>
        <v>4.6779064669225674</v>
      </c>
      <c r="AL32" s="159">
        <f t="shared" si="92"/>
        <v>4.3925169477203942</v>
      </c>
      <c r="AM32" s="159">
        <f t="shared" si="93"/>
        <v>0.53508803710353947</v>
      </c>
      <c r="AN32" s="159">
        <f t="shared" si="94"/>
        <v>1.8947865550049063</v>
      </c>
      <c r="AO32" s="159">
        <f t="shared" si="95"/>
        <v>1.6751123953170999</v>
      </c>
      <c r="AP32" s="159">
        <f t="shared" si="96"/>
        <v>3.6852472696976193</v>
      </c>
      <c r="AQ32" s="159">
        <f t="shared" si="97"/>
        <v>0.83755619765854994</v>
      </c>
      <c r="AR32" s="159">
        <f t="shared" si="98"/>
        <v>17.184689263627192</v>
      </c>
      <c r="AS32" s="159">
        <f t="shared" si="99"/>
        <v>2.1065355977452702</v>
      </c>
      <c r="AT32" s="159">
        <f t="shared" si="100"/>
        <v>3.5368071549181859</v>
      </c>
      <c r="AU32" s="159">
        <f t="shared" si="101"/>
        <v>1.0532677988726351</v>
      </c>
      <c r="AV32" s="159">
        <f t="shared" si="102"/>
        <v>1.1725786767219699</v>
      </c>
      <c r="AW32" s="159">
        <f t="shared" si="103"/>
        <v>2.4816479930623703</v>
      </c>
      <c r="AX32" s="159">
        <f t="shared" si="104"/>
        <v>0.58628933836098496</v>
      </c>
      <c r="AY32" s="159">
        <f t="shared" si="105"/>
        <v>18.204119982655925</v>
      </c>
      <c r="AZ32" s="159">
        <f t="shared" si="106"/>
        <v>4.099642355611949</v>
      </c>
      <c r="BA32" s="159">
        <f t="shared" si="107"/>
        <v>7.4584701104434146</v>
      </c>
      <c r="BB32" s="159">
        <f t="shared" si="108"/>
        <v>2.0498211778059745</v>
      </c>
      <c r="BC32" s="159">
        <f t="shared" si="109"/>
        <v>1.805398914952874</v>
      </c>
      <c r="BD32" s="159">
        <f t="shared" si="110"/>
        <v>2.1590337539642617</v>
      </c>
      <c r="BE32" s="159">
        <f t="shared" si="111"/>
        <v>16.037829704719869</v>
      </c>
      <c r="BF32" s="159">
        <f t="shared" si="112"/>
        <v>9.2394626645811186</v>
      </c>
      <c r="BG32" s="159">
        <f t="shared" si="113"/>
        <v>3.905192915820078</v>
      </c>
      <c r="BH32" s="159">
        <f t="shared" si="114"/>
        <v>3.0089981915881236</v>
      </c>
      <c r="BI32" s="159">
        <f t="shared" si="115"/>
        <v>1.6378876754211642</v>
      </c>
      <c r="BJ32" s="159">
        <f t="shared" si="116"/>
        <v>6.9357697133919078</v>
      </c>
      <c r="BK32" s="159">
        <f t="shared" si="117"/>
        <v>8.105400864841279</v>
      </c>
      <c r="BL32" s="159">
        <f t="shared" si="118"/>
        <v>0.84261423909810806</v>
      </c>
      <c r="BM32" s="159">
        <f t="shared" si="119"/>
        <v>1.1167415968780665</v>
      </c>
      <c r="BN32" s="159">
        <f t="shared" si="120"/>
        <v>0.42188015882060292</v>
      </c>
      <c r="BO32" s="159">
        <f t="shared" si="121"/>
        <v>5.5522565947100571</v>
      </c>
      <c r="BP32" s="159">
        <f t="shared" si="122"/>
        <v>11.838498297695519</v>
      </c>
      <c r="BQ32" s="159">
        <f t="shared" si="123"/>
        <v>2.1875561976585498</v>
      </c>
      <c r="BR32" s="159">
        <f t="shared" si="124"/>
        <v>1.7619700750742826</v>
      </c>
      <c r="BS32" s="159">
        <f t="shared" si="125"/>
        <v>1.5138052757680456</v>
      </c>
      <c r="BT32" s="159">
        <f t="shared" si="126"/>
        <v>8.2828745921084455</v>
      </c>
      <c r="BU32" s="159">
        <f t="shared" si="127"/>
        <v>10.178164940782764</v>
      </c>
      <c r="BV32" s="159">
        <f t="shared" si="128"/>
        <v>1.960698517901367</v>
      </c>
      <c r="BW32" s="159"/>
      <c r="BX32" s="159"/>
      <c r="BY32" s="159"/>
      <c r="BZ32" s="159"/>
      <c r="CA32" s="159"/>
      <c r="CB32" s="159">
        <f t="shared" si="129"/>
        <v>7.3908727129583065</v>
      </c>
      <c r="CC32" s="159">
        <f t="shared" si="130"/>
        <v>6.2573465109637363</v>
      </c>
      <c r="CD32" s="159">
        <f t="shared" si="131"/>
        <v>14.164839100470573</v>
      </c>
      <c r="CE32" s="159">
        <f t="shared" si="132"/>
        <v>6.2573465109637363</v>
      </c>
      <c r="CF32" s="159">
        <f t="shared" si="133"/>
        <v>6.2861667491946411</v>
      </c>
      <c r="CG32" s="159">
        <f t="shared" si="134"/>
        <v>15.183440256255961</v>
      </c>
      <c r="CH32" s="159">
        <f t="shared" si="135"/>
        <v>6.2861667491946411</v>
      </c>
      <c r="CI32" s="159">
        <f t="shared" si="136"/>
        <v>4.5510299956639813</v>
      </c>
    </row>
    <row r="33" spans="1:87" x14ac:dyDescent="0.25">
      <c r="A33" t="s">
        <v>1044</v>
      </c>
      <c r="C33" s="705">
        <v>30</v>
      </c>
      <c r="D33" s="371">
        <v>43</v>
      </c>
      <c r="E33" s="705" t="s">
        <v>595</v>
      </c>
      <c r="F33" s="317">
        <v>43061</v>
      </c>
      <c r="G33" s="530">
        <v>1</v>
      </c>
      <c r="H33" s="531">
        <v>9</v>
      </c>
      <c r="I33" s="371"/>
      <c r="J33" s="163">
        <v>0</v>
      </c>
      <c r="K33" s="163">
        <v>8</v>
      </c>
      <c r="L33" s="163">
        <v>14</v>
      </c>
      <c r="M33" s="163">
        <v>4</v>
      </c>
      <c r="N33" s="163">
        <v>12</v>
      </c>
      <c r="O33" s="163">
        <v>11</v>
      </c>
      <c r="P33" s="163">
        <v>3</v>
      </c>
      <c r="Q33" s="163">
        <f t="shared" si="71"/>
        <v>4.375</v>
      </c>
      <c r="R33" s="163">
        <f t="shared" si="72"/>
        <v>17.331834594481208</v>
      </c>
      <c r="S33" s="163">
        <f t="shared" si="73"/>
        <v>0.64</v>
      </c>
      <c r="T33" s="163">
        <f t="shared" si="74"/>
        <v>0.41</v>
      </c>
      <c r="U33" s="163" t="e">
        <f t="shared" ca="1" si="75"/>
        <v>#NUM!</v>
      </c>
      <c r="V33" s="159">
        <f t="shared" si="76"/>
        <v>4.1917382809873747</v>
      </c>
      <c r="W33" s="159">
        <f t="shared" si="77"/>
        <v>6.3335694395815576</v>
      </c>
      <c r="X33" s="159">
        <f t="shared" si="78"/>
        <v>4.1917382809873747</v>
      </c>
      <c r="Y33" s="159">
        <f t="shared" si="79"/>
        <v>5.3005188464942554</v>
      </c>
      <c r="Z33" s="159">
        <f t="shared" si="80"/>
        <v>10.2723233459191</v>
      </c>
      <c r="AA33" s="159">
        <f t="shared" si="81"/>
        <v>2.6502594232471277</v>
      </c>
      <c r="AB33" s="159">
        <f t="shared" si="82"/>
        <v>3.8728129563287461</v>
      </c>
      <c r="AC33" s="159">
        <f t="shared" si="83"/>
        <v>3.8829382247574196</v>
      </c>
      <c r="AD33" s="159">
        <f t="shared" si="84"/>
        <v>7.4268897790995085</v>
      </c>
      <c r="AE33" s="159">
        <f t="shared" si="85"/>
        <v>1.9414691123787098</v>
      </c>
      <c r="AF33" s="159">
        <f t="shared" si="86"/>
        <v>6.2648444881788539</v>
      </c>
      <c r="AG33" s="387">
        <f t="shared" si="87"/>
        <v>9.4505374782455718</v>
      </c>
      <c r="AH33" s="159">
        <f t="shared" si="88"/>
        <v>4.2527418652105071</v>
      </c>
      <c r="AI33" s="159">
        <f t="shared" si="89"/>
        <v>2.7174779987684903</v>
      </c>
      <c r="AJ33" s="387">
        <f t="shared" si="90"/>
        <v>3.6881261274004302</v>
      </c>
      <c r="AK33" s="159">
        <f t="shared" si="91"/>
        <v>7.7453318028230012</v>
      </c>
      <c r="AL33" s="159">
        <f t="shared" si="92"/>
        <v>7.2728049289107224</v>
      </c>
      <c r="AM33" s="159">
        <f t="shared" si="93"/>
        <v>0.88047799876848964</v>
      </c>
      <c r="AN33" s="159">
        <f t="shared" si="94"/>
        <v>1.9144291236247006</v>
      </c>
      <c r="AO33" s="159">
        <f t="shared" si="95"/>
        <v>2.7735273033981569</v>
      </c>
      <c r="AP33" s="159">
        <f t="shared" si="96"/>
        <v>6.1017600674759453</v>
      </c>
      <c r="AQ33" s="159">
        <f t="shared" si="97"/>
        <v>1.3867636516990784</v>
      </c>
      <c r="AR33" s="159">
        <f t="shared" si="98"/>
        <v>15.361073238547631</v>
      </c>
      <c r="AS33" s="159">
        <f t="shared" si="99"/>
        <v>1.8554020349694831</v>
      </c>
      <c r="AT33" s="159">
        <f t="shared" si="100"/>
        <v>4.0087907403542964</v>
      </c>
      <c r="AU33" s="159">
        <f t="shared" si="101"/>
        <v>0.92770101748474154</v>
      </c>
      <c r="AV33" s="159">
        <f t="shared" si="102"/>
        <v>1.9414691123787098</v>
      </c>
      <c r="AW33" s="159">
        <f t="shared" si="103"/>
        <v>4.1089293383676404</v>
      </c>
      <c r="AX33" s="159">
        <f t="shared" si="104"/>
        <v>0.97073455618935489</v>
      </c>
      <c r="AY33" s="159">
        <f t="shared" si="105"/>
        <v>16.272323345919101</v>
      </c>
      <c r="AZ33" s="159">
        <f t="shared" si="106"/>
        <v>3.6108978065175323</v>
      </c>
      <c r="BA33" s="159">
        <f t="shared" si="107"/>
        <v>7.6540501636014238</v>
      </c>
      <c r="BB33" s="159">
        <f t="shared" si="108"/>
        <v>1.8054489032587662</v>
      </c>
      <c r="BC33" s="159">
        <f t="shared" si="109"/>
        <v>2.9892460936624579</v>
      </c>
      <c r="BD33" s="159">
        <f t="shared" si="110"/>
        <v>3.5747685243798464</v>
      </c>
      <c r="BE33" s="159">
        <f t="shared" si="111"/>
        <v>14.335916867754728</v>
      </c>
      <c r="BF33" s="159">
        <f t="shared" si="112"/>
        <v>8.0960954545220787</v>
      </c>
      <c r="BG33" s="159">
        <f t="shared" si="113"/>
        <v>3.4396299263665031</v>
      </c>
      <c r="BH33" s="159">
        <f t="shared" si="114"/>
        <v>4.9820768227707628</v>
      </c>
      <c r="BI33" s="159">
        <f t="shared" si="115"/>
        <v>2.7118933633226425</v>
      </c>
      <c r="BJ33" s="159">
        <f t="shared" si="116"/>
        <v>6.1997551947951779</v>
      </c>
      <c r="BK33" s="159">
        <f t="shared" si="117"/>
        <v>7.090010604333294</v>
      </c>
      <c r="BL33" s="159">
        <f t="shared" si="118"/>
        <v>0.7421608139877931</v>
      </c>
      <c r="BM33" s="159">
        <f t="shared" si="119"/>
        <v>1.8490182022654378</v>
      </c>
      <c r="BN33" s="159">
        <f t="shared" si="120"/>
        <v>0.69851798752249883</v>
      </c>
      <c r="BO33" s="159">
        <f t="shared" si="121"/>
        <v>4.9630586205053255</v>
      </c>
      <c r="BP33" s="159">
        <f t="shared" si="122"/>
        <v>10.354207822851961</v>
      </c>
      <c r="BQ33" s="159">
        <f t="shared" si="123"/>
        <v>1.9267636516990785</v>
      </c>
      <c r="BR33" s="159">
        <f t="shared" si="124"/>
        <v>2.9173398302410241</v>
      </c>
      <c r="BS33" s="159">
        <f t="shared" si="125"/>
        <v>2.5064468964042601</v>
      </c>
      <c r="BT33" s="159">
        <f t="shared" si="126"/>
        <v>7.4039071223931918</v>
      </c>
      <c r="BU33" s="159">
        <f t="shared" si="127"/>
        <v>8.9017342672783624</v>
      </c>
      <c r="BV33" s="159">
        <f t="shared" si="128"/>
        <v>1.7269511248562111</v>
      </c>
      <c r="BW33" s="159"/>
      <c r="BX33" s="159"/>
      <c r="BY33" s="159"/>
      <c r="BZ33" s="159"/>
      <c r="CA33" s="159"/>
      <c r="CB33" s="159">
        <f t="shared" si="129"/>
        <v>6.6065632784431561</v>
      </c>
      <c r="CC33" s="159">
        <f t="shared" si="130"/>
        <v>6.1568804632238505</v>
      </c>
      <c r="CD33" s="159">
        <f t="shared" si="131"/>
        <v>15.487636087504907</v>
      </c>
      <c r="CE33" s="159">
        <f t="shared" si="132"/>
        <v>6.1568804632238505</v>
      </c>
      <c r="CF33" s="159">
        <f t="shared" si="133"/>
        <v>6.8636574445075986</v>
      </c>
      <c r="CG33" s="159">
        <f t="shared" si="134"/>
        <v>18.538810660563247</v>
      </c>
      <c r="CH33" s="159">
        <f t="shared" si="135"/>
        <v>6.8636574445075986</v>
      </c>
      <c r="CI33" s="159">
        <f t="shared" si="136"/>
        <v>4.0680808364797754</v>
      </c>
    </row>
    <row r="34" spans="1:87" x14ac:dyDescent="0.25">
      <c r="A34" t="s">
        <v>1054</v>
      </c>
      <c r="C34" s="705">
        <v>29</v>
      </c>
      <c r="D34" s="371">
        <v>29</v>
      </c>
      <c r="E34" s="705" t="s">
        <v>175</v>
      </c>
      <c r="F34" s="317">
        <v>43061</v>
      </c>
      <c r="G34" s="530">
        <v>1</v>
      </c>
      <c r="H34" s="531">
        <v>9</v>
      </c>
      <c r="I34" s="371"/>
      <c r="J34" s="163">
        <v>0</v>
      </c>
      <c r="K34" s="163">
        <v>1</v>
      </c>
      <c r="L34" s="163">
        <v>13</v>
      </c>
      <c r="M34" s="163">
        <v>3</v>
      </c>
      <c r="N34" s="163">
        <v>14</v>
      </c>
      <c r="O34" s="163">
        <v>8</v>
      </c>
      <c r="P34" s="163">
        <v>10</v>
      </c>
      <c r="Q34" s="163">
        <f t="shared" si="71"/>
        <v>4</v>
      </c>
      <c r="R34" s="163">
        <f t="shared" si="72"/>
        <v>16.201834594481213</v>
      </c>
      <c r="S34" s="163">
        <f t="shared" si="73"/>
        <v>0.7</v>
      </c>
      <c r="T34" s="163">
        <f t="shared" si="74"/>
        <v>0.33999999999999997</v>
      </c>
      <c r="U34" s="163" t="e">
        <f t="shared" ca="1" si="75"/>
        <v>#NUM!</v>
      </c>
      <c r="V34" s="159">
        <f t="shared" si="76"/>
        <v>2.2597382809873743</v>
      </c>
      <c r="W34" s="159">
        <f t="shared" si="77"/>
        <v>3.3585694395815575</v>
      </c>
      <c r="X34" s="159">
        <f t="shared" si="78"/>
        <v>2.2597382809873743</v>
      </c>
      <c r="Y34" s="159">
        <f t="shared" si="79"/>
        <v>1.6885188464942555</v>
      </c>
      <c r="Z34" s="159">
        <f t="shared" si="80"/>
        <v>3.2723233459190997</v>
      </c>
      <c r="AA34" s="159">
        <f t="shared" si="81"/>
        <v>0.84425942324712777</v>
      </c>
      <c r="AB34" s="159">
        <f t="shared" si="82"/>
        <v>3.6348129563287457</v>
      </c>
      <c r="AC34" s="159">
        <f t="shared" si="83"/>
        <v>1.2369382247574197</v>
      </c>
      <c r="AD34" s="159">
        <f t="shared" si="84"/>
        <v>2.365889779099509</v>
      </c>
      <c r="AE34" s="159">
        <f t="shared" si="85"/>
        <v>0.61846911237870983</v>
      </c>
      <c r="AF34" s="159">
        <f t="shared" si="86"/>
        <v>5.8798444881788532</v>
      </c>
      <c r="AG34" s="387">
        <f t="shared" si="87"/>
        <v>3.0105374782455718</v>
      </c>
      <c r="AH34" s="159">
        <f t="shared" si="88"/>
        <v>1.3547418652105072</v>
      </c>
      <c r="AI34" s="159">
        <f t="shared" si="89"/>
        <v>2.5504779987684896</v>
      </c>
      <c r="AJ34" s="387">
        <f t="shared" si="90"/>
        <v>3.1001261274004306</v>
      </c>
      <c r="AK34" s="159">
        <f t="shared" si="91"/>
        <v>2.4673318028230011</v>
      </c>
      <c r="AL34" s="159">
        <f t="shared" si="92"/>
        <v>2.3168049289107224</v>
      </c>
      <c r="AM34" s="159">
        <f t="shared" si="93"/>
        <v>2.0494779987684897</v>
      </c>
      <c r="AN34" s="159">
        <f t="shared" si="94"/>
        <v>1.8064291236247005</v>
      </c>
      <c r="AO34" s="159">
        <f t="shared" si="95"/>
        <v>0.88352730339815699</v>
      </c>
      <c r="AP34" s="159">
        <f t="shared" si="96"/>
        <v>1.9437600674759452</v>
      </c>
      <c r="AQ34" s="159">
        <f t="shared" si="97"/>
        <v>0.4417636516990785</v>
      </c>
      <c r="AR34" s="159">
        <f t="shared" si="98"/>
        <v>14.41707323854763</v>
      </c>
      <c r="AS34" s="159">
        <f t="shared" si="99"/>
        <v>2.1154020349694833</v>
      </c>
      <c r="AT34" s="159">
        <f t="shared" si="100"/>
        <v>3.7297907403542965</v>
      </c>
      <c r="AU34" s="159">
        <f t="shared" si="101"/>
        <v>1.0577010174847417</v>
      </c>
      <c r="AV34" s="159">
        <f t="shared" si="102"/>
        <v>0.61846911237870983</v>
      </c>
      <c r="AW34" s="159">
        <f t="shared" si="103"/>
        <v>1.3089293383676399</v>
      </c>
      <c r="AX34" s="159">
        <f t="shared" si="104"/>
        <v>0.30923455618935491</v>
      </c>
      <c r="AY34" s="159">
        <f t="shared" si="105"/>
        <v>15.2723233459191</v>
      </c>
      <c r="AZ34" s="159">
        <f t="shared" si="106"/>
        <v>4.1168978065175326</v>
      </c>
      <c r="BA34" s="159">
        <f t="shared" si="107"/>
        <v>7.7060501636014251</v>
      </c>
      <c r="BB34" s="159">
        <f t="shared" si="108"/>
        <v>2.0584489032587663</v>
      </c>
      <c r="BC34" s="159">
        <f t="shared" si="109"/>
        <v>0.95224609366245794</v>
      </c>
      <c r="BD34" s="159">
        <f t="shared" si="110"/>
        <v>1.1387685243798467</v>
      </c>
      <c r="BE34" s="159">
        <f t="shared" si="111"/>
        <v>13.454916867754728</v>
      </c>
      <c r="BF34" s="159">
        <f t="shared" si="112"/>
        <v>8.1520954545220796</v>
      </c>
      <c r="BG34" s="159">
        <f t="shared" si="113"/>
        <v>3.9216299263665033</v>
      </c>
      <c r="BH34" s="159">
        <f t="shared" si="114"/>
        <v>1.5870768227707632</v>
      </c>
      <c r="BI34" s="159">
        <f t="shared" si="115"/>
        <v>0.86389336332264233</v>
      </c>
      <c r="BJ34" s="159">
        <f t="shared" si="116"/>
        <v>5.8187551947951768</v>
      </c>
      <c r="BK34" s="159">
        <f t="shared" si="117"/>
        <v>6.8190106043332941</v>
      </c>
      <c r="BL34" s="159">
        <f t="shared" si="118"/>
        <v>0.84616081398779319</v>
      </c>
      <c r="BM34" s="159">
        <f t="shared" si="119"/>
        <v>0.58901820226543788</v>
      </c>
      <c r="BN34" s="159">
        <f t="shared" si="120"/>
        <v>0.22251798752249879</v>
      </c>
      <c r="BO34" s="159">
        <f t="shared" si="121"/>
        <v>4.6580586205053249</v>
      </c>
      <c r="BP34" s="159">
        <f t="shared" si="122"/>
        <v>9.9262078228519623</v>
      </c>
      <c r="BQ34" s="159">
        <f t="shared" si="123"/>
        <v>2.1967636516990789</v>
      </c>
      <c r="BR34" s="159">
        <f t="shared" si="124"/>
        <v>0.92933983024102418</v>
      </c>
      <c r="BS34" s="159">
        <f t="shared" si="125"/>
        <v>0.79844689640426025</v>
      </c>
      <c r="BT34" s="159">
        <f t="shared" si="126"/>
        <v>6.9489071223931909</v>
      </c>
      <c r="BU34" s="159">
        <f t="shared" si="127"/>
        <v>8.5257342672783629</v>
      </c>
      <c r="BV34" s="159">
        <f t="shared" si="128"/>
        <v>1.9689511248562113</v>
      </c>
      <c r="BW34" s="159"/>
      <c r="BX34" s="159"/>
      <c r="BY34" s="159"/>
      <c r="BZ34" s="159"/>
      <c r="CA34" s="159"/>
      <c r="CB34" s="159">
        <f t="shared" si="129"/>
        <v>6.2005632784431546</v>
      </c>
      <c r="CC34" s="159">
        <f t="shared" si="130"/>
        <v>6.1318804632238511</v>
      </c>
      <c r="CD34" s="159">
        <f t="shared" si="131"/>
        <v>14.824636087504908</v>
      </c>
      <c r="CE34" s="159">
        <f t="shared" si="132"/>
        <v>6.1318804632238511</v>
      </c>
      <c r="CF34" s="159">
        <f t="shared" si="133"/>
        <v>6.1466574445075999</v>
      </c>
      <c r="CG34" s="159">
        <f t="shared" si="134"/>
        <v>16.27681066056325</v>
      </c>
      <c r="CH34" s="159">
        <f t="shared" si="135"/>
        <v>6.1466574445075999</v>
      </c>
      <c r="CI34" s="159">
        <f t="shared" si="136"/>
        <v>3.8180808364797749</v>
      </c>
    </row>
    <row r="35" spans="1:87" x14ac:dyDescent="0.25">
      <c r="A35" t="s">
        <v>1043</v>
      </c>
      <c r="C35" s="705">
        <v>29</v>
      </c>
      <c r="D35" s="371">
        <v>55</v>
      </c>
      <c r="E35" s="705" t="s">
        <v>336</v>
      </c>
      <c r="F35" s="317">
        <v>43060</v>
      </c>
      <c r="G35" s="530">
        <v>1</v>
      </c>
      <c r="H35" s="531">
        <v>8</v>
      </c>
      <c r="I35" s="371"/>
      <c r="J35" s="163">
        <v>0</v>
      </c>
      <c r="K35" s="163">
        <v>3</v>
      </c>
      <c r="L35" s="163">
        <v>15</v>
      </c>
      <c r="M35" s="163">
        <v>2</v>
      </c>
      <c r="N35" s="163">
        <v>13</v>
      </c>
      <c r="O35" s="163">
        <v>11</v>
      </c>
      <c r="P35" s="163">
        <v>0</v>
      </c>
      <c r="Q35" s="163">
        <f t="shared" si="71"/>
        <v>4</v>
      </c>
      <c r="R35" s="163">
        <f t="shared" si="72"/>
        <v>15.531105161669592</v>
      </c>
      <c r="S35" s="163">
        <f t="shared" si="73"/>
        <v>0.55000000000000004</v>
      </c>
      <c r="T35" s="163">
        <f t="shared" si="74"/>
        <v>0.12000000000000002</v>
      </c>
      <c r="U35" s="163">
        <f t="shared" ca="1" si="75"/>
        <v>1.2041199826559248</v>
      </c>
      <c r="V35" s="159">
        <f t="shared" si="76"/>
        <v>2.7521967448586224</v>
      </c>
      <c r="W35" s="159">
        <f t="shared" si="77"/>
        <v>4.1205188976087985</v>
      </c>
      <c r="X35" s="159">
        <f t="shared" si="78"/>
        <v>2.7521967448586224</v>
      </c>
      <c r="Y35" s="159">
        <f t="shared" si="79"/>
        <v>2.6853259110504575</v>
      </c>
      <c r="Z35" s="159">
        <f t="shared" si="80"/>
        <v>5.204119982655925</v>
      </c>
      <c r="AA35" s="159">
        <f t="shared" si="81"/>
        <v>1.3426629555252287</v>
      </c>
      <c r="AB35" s="159">
        <f t="shared" si="82"/>
        <v>4.0945805558721098</v>
      </c>
      <c r="AC35" s="159">
        <f t="shared" si="83"/>
        <v>1.9671573534439397</v>
      </c>
      <c r="AD35" s="159">
        <f t="shared" si="84"/>
        <v>3.7625787474602337</v>
      </c>
      <c r="AE35" s="159">
        <f t="shared" si="85"/>
        <v>0.98357867672196986</v>
      </c>
      <c r="AF35" s="159">
        <f t="shared" si="86"/>
        <v>6.6235861933225308</v>
      </c>
      <c r="AG35" s="387">
        <f t="shared" si="87"/>
        <v>4.7877903840434515</v>
      </c>
      <c r="AH35" s="159">
        <f t="shared" si="88"/>
        <v>2.1545056728195529</v>
      </c>
      <c r="AI35" s="159">
        <f t="shared" si="89"/>
        <v>2.8730880371035394</v>
      </c>
      <c r="AJ35" s="387">
        <f t="shared" si="90"/>
        <v>2.4720225498016837</v>
      </c>
      <c r="AK35" s="159">
        <f t="shared" si="91"/>
        <v>3.9239064669225674</v>
      </c>
      <c r="AL35" s="159">
        <f t="shared" si="92"/>
        <v>3.6845169477203945</v>
      </c>
      <c r="AM35" s="159">
        <f t="shared" si="93"/>
        <v>0.36808803710353949</v>
      </c>
      <c r="AN35" s="159">
        <f t="shared" si="94"/>
        <v>1.7867865550049062</v>
      </c>
      <c r="AO35" s="159">
        <f t="shared" si="95"/>
        <v>1.4051123953170999</v>
      </c>
      <c r="AP35" s="159">
        <f t="shared" si="96"/>
        <v>3.0912472696976194</v>
      </c>
      <c r="AQ35" s="159">
        <f t="shared" si="97"/>
        <v>0.70255619765854993</v>
      </c>
      <c r="AR35" s="159">
        <f t="shared" si="98"/>
        <v>16.240689263627193</v>
      </c>
      <c r="AS35" s="159">
        <f t="shared" si="99"/>
        <v>1.9765355977452703</v>
      </c>
      <c r="AT35" s="159">
        <f t="shared" si="100"/>
        <v>4.1088071549181855</v>
      </c>
      <c r="AU35" s="159">
        <f t="shared" si="101"/>
        <v>0.98826779887263516</v>
      </c>
      <c r="AV35" s="159">
        <f t="shared" si="102"/>
        <v>0.98357867672196986</v>
      </c>
      <c r="AW35" s="159">
        <f t="shared" si="103"/>
        <v>2.0816479930623699</v>
      </c>
      <c r="AX35" s="159">
        <f t="shared" si="104"/>
        <v>0.49178933836098493</v>
      </c>
      <c r="AY35" s="159">
        <f t="shared" si="105"/>
        <v>17.204119982655925</v>
      </c>
      <c r="AZ35" s="159">
        <f t="shared" si="106"/>
        <v>3.8466423556119489</v>
      </c>
      <c r="BA35" s="159">
        <f t="shared" si="107"/>
        <v>7.9574701104434151</v>
      </c>
      <c r="BB35" s="159">
        <f t="shared" si="108"/>
        <v>1.9233211778059744</v>
      </c>
      <c r="BC35" s="159">
        <f t="shared" si="109"/>
        <v>1.514398914952874</v>
      </c>
      <c r="BD35" s="159">
        <f t="shared" si="110"/>
        <v>1.8110337539642618</v>
      </c>
      <c r="BE35" s="159">
        <f t="shared" si="111"/>
        <v>15.15682970471987</v>
      </c>
      <c r="BF35" s="159">
        <f t="shared" si="112"/>
        <v>7.2024626645811178</v>
      </c>
      <c r="BG35" s="159">
        <f t="shared" si="113"/>
        <v>3.6641929158200779</v>
      </c>
      <c r="BH35" s="159">
        <f t="shared" si="114"/>
        <v>2.5239981915881238</v>
      </c>
      <c r="BI35" s="159">
        <f t="shared" si="115"/>
        <v>1.3738876754211642</v>
      </c>
      <c r="BJ35" s="159">
        <f t="shared" si="116"/>
        <v>6.5547697133919076</v>
      </c>
      <c r="BK35" s="159">
        <f t="shared" si="117"/>
        <v>5.8854008648412783</v>
      </c>
      <c r="BL35" s="159">
        <f t="shared" si="118"/>
        <v>0.79061423909810802</v>
      </c>
      <c r="BM35" s="159">
        <f t="shared" si="119"/>
        <v>0.93674159687806646</v>
      </c>
      <c r="BN35" s="159">
        <f t="shared" si="120"/>
        <v>0.35388015882060292</v>
      </c>
      <c r="BO35" s="159">
        <f t="shared" si="121"/>
        <v>5.2472565947100573</v>
      </c>
      <c r="BP35" s="159">
        <f t="shared" si="122"/>
        <v>8.5524982976955179</v>
      </c>
      <c r="BQ35" s="159">
        <f t="shared" si="123"/>
        <v>2.05255619765855</v>
      </c>
      <c r="BR35" s="159">
        <f t="shared" si="124"/>
        <v>1.4779700750742826</v>
      </c>
      <c r="BS35" s="159">
        <f t="shared" si="125"/>
        <v>1.2698052757680456</v>
      </c>
      <c r="BT35" s="159">
        <f t="shared" si="126"/>
        <v>7.8278745921084463</v>
      </c>
      <c r="BU35" s="159">
        <f t="shared" si="127"/>
        <v>7.342164940782764</v>
      </c>
      <c r="BV35" s="159">
        <f t="shared" si="128"/>
        <v>1.839698517901367</v>
      </c>
      <c r="BW35" s="159"/>
      <c r="BX35" s="159"/>
      <c r="BY35" s="159"/>
      <c r="BZ35" s="159"/>
      <c r="CA35" s="159"/>
      <c r="CB35" s="159">
        <f t="shared" si="129"/>
        <v>6.9848727129583059</v>
      </c>
      <c r="CC35" s="159">
        <f t="shared" si="130"/>
        <v>6.0833465109637368</v>
      </c>
      <c r="CD35" s="159">
        <f t="shared" si="131"/>
        <v>15.953839100470573</v>
      </c>
      <c r="CE35" s="159">
        <f t="shared" si="132"/>
        <v>6.0833465109637368</v>
      </c>
      <c r="CF35" s="159">
        <f t="shared" si="133"/>
        <v>6.5211667491946415</v>
      </c>
      <c r="CG35" s="159">
        <f t="shared" si="134"/>
        <v>18.814440256255963</v>
      </c>
      <c r="CH35" s="159">
        <f t="shared" si="135"/>
        <v>6.5211667491946415</v>
      </c>
      <c r="CI35" s="159">
        <f t="shared" si="136"/>
        <v>4.3010299956639813</v>
      </c>
    </row>
    <row r="36" spans="1:87" x14ac:dyDescent="0.25">
      <c r="A36" t="s">
        <v>1052</v>
      </c>
      <c r="C36" s="705">
        <v>29</v>
      </c>
      <c r="D36" s="371">
        <v>45</v>
      </c>
      <c r="E36" s="705" t="s">
        <v>175</v>
      </c>
      <c r="F36" s="317">
        <v>43061</v>
      </c>
      <c r="G36" s="530">
        <v>1</v>
      </c>
      <c r="H36" s="531">
        <v>9</v>
      </c>
      <c r="I36" s="371"/>
      <c r="J36" s="163">
        <v>0</v>
      </c>
      <c r="K36" s="163">
        <v>3</v>
      </c>
      <c r="L36" s="163">
        <v>15</v>
      </c>
      <c r="M36" s="163">
        <v>3</v>
      </c>
      <c r="N36" s="163">
        <v>13</v>
      </c>
      <c r="O36" s="163">
        <v>9</v>
      </c>
      <c r="P36" s="163">
        <v>3</v>
      </c>
      <c r="Q36" s="163">
        <f t="shared" si="71"/>
        <v>4</v>
      </c>
      <c r="R36" s="163">
        <f t="shared" si="72"/>
        <v>14.011834594481209</v>
      </c>
      <c r="S36" s="163">
        <f t="shared" si="73"/>
        <v>0.54</v>
      </c>
      <c r="T36" s="163">
        <f t="shared" si="74"/>
        <v>0.21000000000000002</v>
      </c>
      <c r="U36" s="163" t="e">
        <f t="shared" ca="1" si="75"/>
        <v>#NUM!</v>
      </c>
      <c r="V36" s="159">
        <f t="shared" si="76"/>
        <v>2.8117382809873739</v>
      </c>
      <c r="W36" s="159">
        <f t="shared" si="77"/>
        <v>4.2085694395815576</v>
      </c>
      <c r="X36" s="159">
        <f t="shared" si="78"/>
        <v>2.8117382809873739</v>
      </c>
      <c r="Y36" s="159">
        <f t="shared" si="79"/>
        <v>2.7205188464942553</v>
      </c>
      <c r="Z36" s="159">
        <f t="shared" si="80"/>
        <v>5.2723233459190997</v>
      </c>
      <c r="AA36" s="159">
        <f t="shared" si="81"/>
        <v>1.3602594232471277</v>
      </c>
      <c r="AB36" s="159">
        <f t="shared" si="82"/>
        <v>4.1108129563287461</v>
      </c>
      <c r="AC36" s="159">
        <f t="shared" si="83"/>
        <v>1.9929382247574197</v>
      </c>
      <c r="AD36" s="159">
        <f t="shared" si="84"/>
        <v>3.8118897790995088</v>
      </c>
      <c r="AE36" s="159">
        <f t="shared" si="85"/>
        <v>0.99646911237870983</v>
      </c>
      <c r="AF36" s="159">
        <f t="shared" si="86"/>
        <v>6.6498444881788545</v>
      </c>
      <c r="AG36" s="387">
        <f t="shared" si="87"/>
        <v>4.8505374782455721</v>
      </c>
      <c r="AH36" s="159">
        <f t="shared" si="88"/>
        <v>2.1827418652105073</v>
      </c>
      <c r="AI36" s="159">
        <f t="shared" si="89"/>
        <v>2.8844779987684901</v>
      </c>
      <c r="AJ36" s="387">
        <f t="shared" si="90"/>
        <v>3.1001261274004306</v>
      </c>
      <c r="AK36" s="159">
        <f t="shared" si="91"/>
        <v>3.9753318028230011</v>
      </c>
      <c r="AL36" s="159">
        <f t="shared" si="92"/>
        <v>3.7328049289107224</v>
      </c>
      <c r="AM36" s="159">
        <f t="shared" si="93"/>
        <v>0.88047799876848964</v>
      </c>
      <c r="AN36" s="159">
        <f t="shared" si="94"/>
        <v>1.8064291236247005</v>
      </c>
      <c r="AO36" s="159">
        <f t="shared" si="95"/>
        <v>1.423527303398157</v>
      </c>
      <c r="AP36" s="159">
        <f t="shared" si="96"/>
        <v>3.1317600674759452</v>
      </c>
      <c r="AQ36" s="159">
        <f t="shared" si="97"/>
        <v>0.71176365169907851</v>
      </c>
      <c r="AR36" s="159">
        <f t="shared" si="98"/>
        <v>16.305073238547632</v>
      </c>
      <c r="AS36" s="159">
        <f t="shared" si="99"/>
        <v>1.985402034969483</v>
      </c>
      <c r="AT36" s="159">
        <f t="shared" si="100"/>
        <v>3.782790740354296</v>
      </c>
      <c r="AU36" s="159">
        <f t="shared" si="101"/>
        <v>0.99270101748474149</v>
      </c>
      <c r="AV36" s="159">
        <f t="shared" si="102"/>
        <v>0.99646911237870983</v>
      </c>
      <c r="AW36" s="159">
        <f t="shared" si="103"/>
        <v>2.10892933836764</v>
      </c>
      <c r="AX36" s="159">
        <f t="shared" si="104"/>
        <v>0.49823455618935492</v>
      </c>
      <c r="AY36" s="159">
        <f t="shared" si="105"/>
        <v>17.272323345919101</v>
      </c>
      <c r="AZ36" s="159">
        <f t="shared" si="106"/>
        <v>3.8638978065175325</v>
      </c>
      <c r="BA36" s="159">
        <f t="shared" si="107"/>
        <v>7.5750501636014249</v>
      </c>
      <c r="BB36" s="159">
        <f t="shared" si="108"/>
        <v>1.9319489032587662</v>
      </c>
      <c r="BC36" s="159">
        <f t="shared" si="109"/>
        <v>1.534246093662458</v>
      </c>
      <c r="BD36" s="159">
        <f t="shared" si="110"/>
        <v>1.8347685243798466</v>
      </c>
      <c r="BE36" s="159">
        <f t="shared" si="111"/>
        <v>15.216916867754728</v>
      </c>
      <c r="BF36" s="159">
        <f t="shared" si="112"/>
        <v>7.8370954545220792</v>
      </c>
      <c r="BG36" s="159">
        <f t="shared" si="113"/>
        <v>3.6806299263665028</v>
      </c>
      <c r="BH36" s="159">
        <f t="shared" si="114"/>
        <v>2.5570768227707634</v>
      </c>
      <c r="BI36" s="159">
        <f t="shared" si="115"/>
        <v>1.3918933633226425</v>
      </c>
      <c r="BJ36" s="159">
        <f t="shared" si="116"/>
        <v>6.5807551947951781</v>
      </c>
      <c r="BK36" s="159">
        <f t="shared" si="117"/>
        <v>6.6180106043332936</v>
      </c>
      <c r="BL36" s="159">
        <f t="shared" si="118"/>
        <v>0.79416081398779315</v>
      </c>
      <c r="BM36" s="159">
        <f t="shared" si="119"/>
        <v>0.94901820226543787</v>
      </c>
      <c r="BN36" s="159">
        <f t="shared" si="120"/>
        <v>0.3585179875224988</v>
      </c>
      <c r="BO36" s="159">
        <f t="shared" si="121"/>
        <v>5.2680586205053261</v>
      </c>
      <c r="BP36" s="159">
        <f t="shared" si="122"/>
        <v>9.6402078228519628</v>
      </c>
      <c r="BQ36" s="159">
        <f t="shared" si="123"/>
        <v>2.0617636516990787</v>
      </c>
      <c r="BR36" s="159">
        <f t="shared" si="124"/>
        <v>1.4973398302410241</v>
      </c>
      <c r="BS36" s="159">
        <f t="shared" si="125"/>
        <v>1.2864468964042604</v>
      </c>
      <c r="BT36" s="159">
        <f t="shared" si="126"/>
        <v>7.858907122393191</v>
      </c>
      <c r="BU36" s="159">
        <f t="shared" si="127"/>
        <v>8.2817342672783631</v>
      </c>
      <c r="BV36" s="159">
        <f t="shared" si="128"/>
        <v>1.847951124856211</v>
      </c>
      <c r="BW36" s="159"/>
      <c r="BX36" s="159"/>
      <c r="BY36" s="159"/>
      <c r="BZ36" s="159"/>
      <c r="CA36" s="159"/>
      <c r="CB36" s="159">
        <f t="shared" si="129"/>
        <v>7.0125632784431557</v>
      </c>
      <c r="CC36" s="159">
        <f t="shared" si="130"/>
        <v>6.0088804632238508</v>
      </c>
      <c r="CD36" s="159">
        <f t="shared" si="131"/>
        <v>14.864636087504906</v>
      </c>
      <c r="CE36" s="159">
        <f t="shared" si="132"/>
        <v>6.0088804632238508</v>
      </c>
      <c r="CF36" s="159">
        <f t="shared" si="133"/>
        <v>6.2646574445075984</v>
      </c>
      <c r="CG36" s="159">
        <f t="shared" si="134"/>
        <v>16.907810660563246</v>
      </c>
      <c r="CH36" s="159">
        <f t="shared" si="135"/>
        <v>6.2646574445075984</v>
      </c>
      <c r="CI36" s="159">
        <f t="shared" si="136"/>
        <v>4.3180808364797754</v>
      </c>
    </row>
    <row r="37" spans="1:87" x14ac:dyDescent="0.25">
      <c r="A37" t="s">
        <v>1053</v>
      </c>
      <c r="C37" s="705">
        <v>29</v>
      </c>
      <c r="D37" s="371">
        <v>15</v>
      </c>
      <c r="E37" s="705" t="s">
        <v>595</v>
      </c>
      <c r="F37" s="317">
        <v>43061</v>
      </c>
      <c r="G37" s="530">
        <v>1</v>
      </c>
      <c r="H37" s="531">
        <v>8</v>
      </c>
      <c r="I37" s="371"/>
      <c r="J37" s="163">
        <v>0</v>
      </c>
      <c r="K37" s="163">
        <v>3</v>
      </c>
      <c r="L37" s="163">
        <v>14</v>
      </c>
      <c r="M37" s="163">
        <v>4</v>
      </c>
      <c r="N37" s="163">
        <v>12</v>
      </c>
      <c r="O37" s="163">
        <v>10</v>
      </c>
      <c r="P37" s="163">
        <v>8</v>
      </c>
      <c r="Q37" s="163">
        <f t="shared" si="71"/>
        <v>3.75</v>
      </c>
      <c r="R37" s="163">
        <f t="shared" si="72"/>
        <v>18.271105161669595</v>
      </c>
      <c r="S37" s="163">
        <f t="shared" si="73"/>
        <v>0.74</v>
      </c>
      <c r="T37" s="163">
        <f t="shared" si="74"/>
        <v>0.36</v>
      </c>
      <c r="U37" s="163" t="e">
        <f t="shared" ca="1" si="75"/>
        <v>#NUM!</v>
      </c>
      <c r="V37" s="159">
        <f t="shared" si="76"/>
        <v>2.7521967448586224</v>
      </c>
      <c r="W37" s="159">
        <f t="shared" si="77"/>
        <v>4.1205188976087985</v>
      </c>
      <c r="X37" s="159">
        <f t="shared" si="78"/>
        <v>2.7521967448586224</v>
      </c>
      <c r="Y37" s="159">
        <f t="shared" si="79"/>
        <v>2.6853259110504575</v>
      </c>
      <c r="Z37" s="159">
        <f t="shared" si="80"/>
        <v>5.204119982655925</v>
      </c>
      <c r="AA37" s="159">
        <f t="shared" si="81"/>
        <v>1.3426629555252287</v>
      </c>
      <c r="AB37" s="159">
        <f t="shared" si="82"/>
        <v>3.8565805558721098</v>
      </c>
      <c r="AC37" s="159">
        <f t="shared" si="83"/>
        <v>1.9671573534439397</v>
      </c>
      <c r="AD37" s="159">
        <f t="shared" si="84"/>
        <v>3.7625787474602337</v>
      </c>
      <c r="AE37" s="159">
        <f t="shared" si="85"/>
        <v>0.98357867672196986</v>
      </c>
      <c r="AF37" s="159">
        <f t="shared" si="86"/>
        <v>6.2385861933225311</v>
      </c>
      <c r="AG37" s="387">
        <f t="shared" si="87"/>
        <v>4.7877903840434515</v>
      </c>
      <c r="AH37" s="159">
        <f t="shared" si="88"/>
        <v>2.1545056728195529</v>
      </c>
      <c r="AI37" s="159">
        <f t="shared" si="89"/>
        <v>2.7060880371035396</v>
      </c>
      <c r="AJ37" s="387">
        <f t="shared" si="90"/>
        <v>3.6480225498016838</v>
      </c>
      <c r="AK37" s="159">
        <f t="shared" si="91"/>
        <v>3.9239064669225674</v>
      </c>
      <c r="AL37" s="159">
        <f t="shared" si="92"/>
        <v>3.6845169477203945</v>
      </c>
      <c r="AM37" s="159">
        <f t="shared" si="93"/>
        <v>1.7040880371035396</v>
      </c>
      <c r="AN37" s="159">
        <f t="shared" si="94"/>
        <v>1.7147865550049062</v>
      </c>
      <c r="AO37" s="159">
        <f t="shared" si="95"/>
        <v>1.4051123953170999</v>
      </c>
      <c r="AP37" s="159">
        <f t="shared" si="96"/>
        <v>3.0912472696976194</v>
      </c>
      <c r="AQ37" s="159">
        <f t="shared" si="97"/>
        <v>0.70255619765854993</v>
      </c>
      <c r="AR37" s="159">
        <f t="shared" si="98"/>
        <v>15.296689263627192</v>
      </c>
      <c r="AS37" s="159">
        <f t="shared" si="99"/>
        <v>1.8465355977452702</v>
      </c>
      <c r="AT37" s="159">
        <f t="shared" si="100"/>
        <v>3.8158071549181862</v>
      </c>
      <c r="AU37" s="159">
        <f t="shared" si="101"/>
        <v>0.9232677988726351</v>
      </c>
      <c r="AV37" s="159">
        <f t="shared" si="102"/>
        <v>0.98357867672196986</v>
      </c>
      <c r="AW37" s="159">
        <f t="shared" si="103"/>
        <v>2.0816479930623699</v>
      </c>
      <c r="AX37" s="159">
        <f t="shared" si="104"/>
        <v>0.49178933836098493</v>
      </c>
      <c r="AY37" s="159">
        <f t="shared" si="105"/>
        <v>16.204119982655925</v>
      </c>
      <c r="AZ37" s="159">
        <f t="shared" si="106"/>
        <v>3.5936423556119492</v>
      </c>
      <c r="BA37" s="159">
        <f t="shared" si="107"/>
        <v>7.406470110443415</v>
      </c>
      <c r="BB37" s="159">
        <f t="shared" si="108"/>
        <v>1.7968211778059746</v>
      </c>
      <c r="BC37" s="159">
        <f t="shared" si="109"/>
        <v>1.514398914952874</v>
      </c>
      <c r="BD37" s="159">
        <f t="shared" si="110"/>
        <v>1.8110337539642618</v>
      </c>
      <c r="BE37" s="159">
        <f t="shared" si="111"/>
        <v>14.27582970471987</v>
      </c>
      <c r="BF37" s="159">
        <f t="shared" si="112"/>
        <v>8.0354626645811162</v>
      </c>
      <c r="BG37" s="159">
        <f t="shared" si="113"/>
        <v>3.4231929158200778</v>
      </c>
      <c r="BH37" s="159">
        <f t="shared" si="114"/>
        <v>2.5239981915881238</v>
      </c>
      <c r="BI37" s="159">
        <f t="shared" si="115"/>
        <v>1.3738876754211642</v>
      </c>
      <c r="BJ37" s="159">
        <f t="shared" si="116"/>
        <v>6.1737697133919074</v>
      </c>
      <c r="BK37" s="159">
        <f t="shared" si="117"/>
        <v>7.0304008648412788</v>
      </c>
      <c r="BL37" s="159">
        <f t="shared" si="118"/>
        <v>0.73861423909810808</v>
      </c>
      <c r="BM37" s="159">
        <f t="shared" si="119"/>
        <v>0.93674159687806646</v>
      </c>
      <c r="BN37" s="159">
        <f t="shared" si="120"/>
        <v>0.35388015882060292</v>
      </c>
      <c r="BO37" s="159">
        <f t="shared" si="121"/>
        <v>4.9422565947100567</v>
      </c>
      <c r="BP37" s="159">
        <f t="shared" si="122"/>
        <v>10.26649829769552</v>
      </c>
      <c r="BQ37" s="159">
        <f t="shared" si="123"/>
        <v>1.91755619765855</v>
      </c>
      <c r="BR37" s="159">
        <f t="shared" si="124"/>
        <v>1.4779700750742826</v>
      </c>
      <c r="BS37" s="159">
        <f t="shared" si="125"/>
        <v>1.2698052757680456</v>
      </c>
      <c r="BT37" s="159">
        <f t="shared" si="126"/>
        <v>7.3728745921084462</v>
      </c>
      <c r="BU37" s="159">
        <f t="shared" si="127"/>
        <v>8.826164940782764</v>
      </c>
      <c r="BV37" s="159">
        <f t="shared" si="128"/>
        <v>1.718698517901367</v>
      </c>
      <c r="BW37" s="159"/>
      <c r="BX37" s="159"/>
      <c r="BY37" s="159"/>
      <c r="BZ37" s="159"/>
      <c r="CA37" s="159"/>
      <c r="CB37" s="159">
        <f t="shared" si="129"/>
        <v>6.5788727129583062</v>
      </c>
      <c r="CC37" s="159">
        <f t="shared" si="130"/>
        <v>5.9943465109637364</v>
      </c>
      <c r="CD37" s="159">
        <f t="shared" si="131"/>
        <v>14.827839100470571</v>
      </c>
      <c r="CE37" s="159">
        <f t="shared" si="132"/>
        <v>5.9943465109637364</v>
      </c>
      <c r="CF37" s="159">
        <f t="shared" si="133"/>
        <v>6.5611667491946406</v>
      </c>
      <c r="CG37" s="159">
        <f t="shared" si="134"/>
        <v>17.44544025625596</v>
      </c>
      <c r="CH37" s="159">
        <f t="shared" si="135"/>
        <v>6.5611667491946406</v>
      </c>
      <c r="CI37" s="159">
        <f t="shared" si="136"/>
        <v>4.0510299956639813</v>
      </c>
    </row>
    <row r="38" spans="1:87" x14ac:dyDescent="0.25">
      <c r="A38" t="s">
        <v>1046</v>
      </c>
      <c r="C38" s="705">
        <v>29</v>
      </c>
      <c r="D38" s="371">
        <v>29</v>
      </c>
      <c r="E38" s="705" t="s">
        <v>311</v>
      </c>
      <c r="F38" s="317">
        <v>43062</v>
      </c>
      <c r="G38" s="530">
        <v>1</v>
      </c>
      <c r="H38" s="531">
        <v>8</v>
      </c>
      <c r="I38" s="371"/>
      <c r="J38" s="163">
        <v>0</v>
      </c>
      <c r="K38" s="163">
        <v>2</v>
      </c>
      <c r="L38" s="163">
        <v>14</v>
      </c>
      <c r="M38" s="163">
        <v>1</v>
      </c>
      <c r="N38" s="163">
        <v>11</v>
      </c>
      <c r="O38" s="163">
        <v>15</v>
      </c>
      <c r="P38" s="163">
        <v>0</v>
      </c>
      <c r="Q38" s="163">
        <f t="shared" si="71"/>
        <v>3.375</v>
      </c>
      <c r="R38" s="163">
        <f t="shared" si="72"/>
        <v>22.171105161669594</v>
      </c>
      <c r="S38" s="163">
        <f t="shared" si="73"/>
        <v>0.75</v>
      </c>
      <c r="T38" s="163">
        <f t="shared" si="74"/>
        <v>0.08</v>
      </c>
      <c r="U38" s="163" t="e">
        <f t="shared" ca="1" si="75"/>
        <v>#NUM!</v>
      </c>
      <c r="V38" s="159">
        <f t="shared" si="76"/>
        <v>2.4761967448586226</v>
      </c>
      <c r="W38" s="159">
        <f t="shared" si="77"/>
        <v>3.6955188976087991</v>
      </c>
      <c r="X38" s="159">
        <f t="shared" si="78"/>
        <v>2.4761967448586226</v>
      </c>
      <c r="Y38" s="159">
        <f t="shared" si="79"/>
        <v>2.1693259110504575</v>
      </c>
      <c r="Z38" s="159">
        <f t="shared" si="80"/>
        <v>4.204119982655925</v>
      </c>
      <c r="AA38" s="159">
        <f t="shared" si="81"/>
        <v>1.0846629555252287</v>
      </c>
      <c r="AB38" s="159">
        <f t="shared" si="82"/>
        <v>3.8565805558721098</v>
      </c>
      <c r="AC38" s="159">
        <f t="shared" si="83"/>
        <v>1.5891573534439396</v>
      </c>
      <c r="AD38" s="159">
        <f t="shared" si="84"/>
        <v>3.0395787474602338</v>
      </c>
      <c r="AE38" s="159">
        <f t="shared" si="85"/>
        <v>0.7945786767219698</v>
      </c>
      <c r="AF38" s="159">
        <f t="shared" si="86"/>
        <v>6.2385861933225311</v>
      </c>
      <c r="AG38" s="387">
        <f t="shared" si="87"/>
        <v>3.8677903840434511</v>
      </c>
      <c r="AH38" s="159">
        <f t="shared" si="88"/>
        <v>1.7405056728195529</v>
      </c>
      <c r="AI38" s="159">
        <f t="shared" si="89"/>
        <v>2.7060880371035396</v>
      </c>
      <c r="AJ38" s="387">
        <f t="shared" si="90"/>
        <v>1.8840225498016838</v>
      </c>
      <c r="AK38" s="159">
        <f t="shared" si="91"/>
        <v>3.1699064669225674</v>
      </c>
      <c r="AL38" s="159">
        <f t="shared" si="92"/>
        <v>2.9765169477203948</v>
      </c>
      <c r="AM38" s="159">
        <f t="shared" si="93"/>
        <v>0.36808803710353949</v>
      </c>
      <c r="AN38" s="159">
        <f t="shared" si="94"/>
        <v>1.6067865550049063</v>
      </c>
      <c r="AO38" s="159">
        <f t="shared" si="95"/>
        <v>1.1351123953170998</v>
      </c>
      <c r="AP38" s="159">
        <f t="shared" si="96"/>
        <v>2.4972472696976191</v>
      </c>
      <c r="AQ38" s="159">
        <f t="shared" si="97"/>
        <v>0.56755619765854992</v>
      </c>
      <c r="AR38" s="159">
        <f t="shared" si="98"/>
        <v>15.296689263627192</v>
      </c>
      <c r="AS38" s="159">
        <f t="shared" si="99"/>
        <v>1.7165355977452703</v>
      </c>
      <c r="AT38" s="159">
        <f t="shared" si="100"/>
        <v>4.5608071549181854</v>
      </c>
      <c r="AU38" s="159">
        <f t="shared" si="101"/>
        <v>0.85826779887263516</v>
      </c>
      <c r="AV38" s="159">
        <f t="shared" si="102"/>
        <v>0.7945786767219698</v>
      </c>
      <c r="AW38" s="159">
        <f t="shared" si="103"/>
        <v>1.68164799306237</v>
      </c>
      <c r="AX38" s="159">
        <f t="shared" si="104"/>
        <v>0.3972893383609849</v>
      </c>
      <c r="AY38" s="159">
        <f t="shared" si="105"/>
        <v>16.204119982655925</v>
      </c>
      <c r="AZ38" s="159">
        <f t="shared" si="106"/>
        <v>3.3406423556119491</v>
      </c>
      <c r="BA38" s="159">
        <f t="shared" si="107"/>
        <v>8.1154701104434146</v>
      </c>
      <c r="BB38" s="159">
        <f t="shared" si="108"/>
        <v>1.6703211778059746</v>
      </c>
      <c r="BC38" s="159">
        <f t="shared" si="109"/>
        <v>1.2233989149528741</v>
      </c>
      <c r="BD38" s="159">
        <f t="shared" si="110"/>
        <v>1.4630337539642617</v>
      </c>
      <c r="BE38" s="159">
        <f t="shared" si="111"/>
        <v>14.27582970471987</v>
      </c>
      <c r="BF38" s="159">
        <f t="shared" si="112"/>
        <v>5.9984626645811172</v>
      </c>
      <c r="BG38" s="159">
        <f t="shared" si="113"/>
        <v>3.1821929158200777</v>
      </c>
      <c r="BH38" s="159">
        <f t="shared" si="114"/>
        <v>2.0389981915881235</v>
      </c>
      <c r="BI38" s="159">
        <f t="shared" si="115"/>
        <v>1.1098876754211642</v>
      </c>
      <c r="BJ38" s="159">
        <f t="shared" si="116"/>
        <v>6.1737697133919074</v>
      </c>
      <c r="BK38" s="159">
        <f t="shared" si="117"/>
        <v>4.810400864841279</v>
      </c>
      <c r="BL38" s="159">
        <f t="shared" si="118"/>
        <v>0.68661423909810804</v>
      </c>
      <c r="BM38" s="159">
        <f t="shared" si="119"/>
        <v>0.75674159687806652</v>
      </c>
      <c r="BN38" s="159">
        <f t="shared" si="120"/>
        <v>0.28588015882060291</v>
      </c>
      <c r="BO38" s="159">
        <f t="shared" si="121"/>
        <v>4.9422565947100567</v>
      </c>
      <c r="BP38" s="159">
        <f t="shared" si="122"/>
        <v>6.9804982976955188</v>
      </c>
      <c r="BQ38" s="159">
        <f t="shared" si="123"/>
        <v>1.78255619765855</v>
      </c>
      <c r="BR38" s="159">
        <f t="shared" si="124"/>
        <v>1.1939700750742825</v>
      </c>
      <c r="BS38" s="159">
        <f t="shared" si="125"/>
        <v>1.0258052757680456</v>
      </c>
      <c r="BT38" s="159">
        <f t="shared" si="126"/>
        <v>7.3728745921084462</v>
      </c>
      <c r="BU38" s="159">
        <f t="shared" si="127"/>
        <v>5.9901649407827646</v>
      </c>
      <c r="BV38" s="159">
        <f t="shared" si="128"/>
        <v>1.597698517901367</v>
      </c>
      <c r="BW38" s="159"/>
      <c r="BX38" s="159"/>
      <c r="BY38" s="159"/>
      <c r="BZ38" s="159"/>
      <c r="CA38" s="159"/>
      <c r="CB38" s="159">
        <f t="shared" si="129"/>
        <v>6.5788727129583062</v>
      </c>
      <c r="CC38" s="159">
        <f t="shared" si="130"/>
        <v>5.9473465109637367</v>
      </c>
      <c r="CD38" s="159">
        <f t="shared" si="131"/>
        <v>17.19983910047057</v>
      </c>
      <c r="CE38" s="159">
        <f t="shared" si="132"/>
        <v>5.9473465109637367</v>
      </c>
      <c r="CF38" s="159">
        <f t="shared" si="133"/>
        <v>7.0561667491946407</v>
      </c>
      <c r="CG38" s="159">
        <f t="shared" si="134"/>
        <v>22.07644025625596</v>
      </c>
      <c r="CH38" s="159">
        <f t="shared" si="135"/>
        <v>7.0561667491946407</v>
      </c>
      <c r="CI38" s="159">
        <f t="shared" si="136"/>
        <v>4.0510299956639813</v>
      </c>
    </row>
    <row r="39" spans="1:87" x14ac:dyDescent="0.25">
      <c r="A39" t="s">
        <v>1055</v>
      </c>
      <c r="C39" s="705">
        <v>28</v>
      </c>
      <c r="D39" s="371">
        <v>5</v>
      </c>
      <c r="E39" s="705" t="s">
        <v>595</v>
      </c>
      <c r="F39" s="317">
        <v>43062</v>
      </c>
      <c r="G39" s="530">
        <v>1</v>
      </c>
      <c r="H39" s="531">
        <v>7</v>
      </c>
      <c r="I39" s="371"/>
      <c r="J39" s="163">
        <v>0</v>
      </c>
      <c r="K39" s="163">
        <v>10</v>
      </c>
      <c r="L39" s="163">
        <v>13</v>
      </c>
      <c r="M39" s="163">
        <v>3</v>
      </c>
      <c r="N39" s="163">
        <v>13</v>
      </c>
      <c r="O39" s="163">
        <v>7</v>
      </c>
      <c r="P39" s="163">
        <v>10</v>
      </c>
      <c r="Q39" s="163">
        <f t="shared" si="71"/>
        <v>4.875</v>
      </c>
      <c r="R39" s="163">
        <f t="shared" si="72"/>
        <v>14.220222224575343</v>
      </c>
      <c r="S39" s="163">
        <f t="shared" si="73"/>
        <v>0.65</v>
      </c>
      <c r="T39" s="163">
        <f t="shared" si="74"/>
        <v>0.7</v>
      </c>
      <c r="U39" s="163" t="e">
        <f t="shared" ca="1" si="75"/>
        <v>#NUM!</v>
      </c>
      <c r="V39" s="159">
        <f t="shared" si="76"/>
        <v>4.6166941185765946</v>
      </c>
      <c r="W39" s="159">
        <f t="shared" si="77"/>
        <v>6.9956954262112063</v>
      </c>
      <c r="X39" s="159">
        <f t="shared" si="78"/>
        <v>4.6166941185765946</v>
      </c>
      <c r="Y39" s="159">
        <f t="shared" si="79"/>
        <v>6.2574274515298089</v>
      </c>
      <c r="Z39" s="159">
        <f t="shared" si="80"/>
        <v>12.126797386685675</v>
      </c>
      <c r="AA39" s="159">
        <f t="shared" si="81"/>
        <v>3.1287137257649045</v>
      </c>
      <c r="AB39" s="159">
        <f t="shared" si="82"/>
        <v>3.6001777780311905</v>
      </c>
      <c r="AC39" s="159">
        <f t="shared" si="83"/>
        <v>4.5839294121671852</v>
      </c>
      <c r="AD39" s="159">
        <f t="shared" si="84"/>
        <v>8.7676745105737428</v>
      </c>
      <c r="AE39" s="159">
        <f t="shared" si="85"/>
        <v>2.2919647060835926</v>
      </c>
      <c r="AF39" s="159">
        <f t="shared" si="86"/>
        <v>5.8238169938739848</v>
      </c>
      <c r="AG39" s="387">
        <f t="shared" si="87"/>
        <v>11.156653595750821</v>
      </c>
      <c r="AH39" s="159">
        <f t="shared" si="88"/>
        <v>5.0204941180878695</v>
      </c>
      <c r="AI39" s="159">
        <f t="shared" si="89"/>
        <v>2.5261751635765077</v>
      </c>
      <c r="AJ39" s="387">
        <f t="shared" si="90"/>
        <v>3.014556863371177</v>
      </c>
      <c r="AK39" s="159">
        <f t="shared" si="91"/>
        <v>9.1436052295609986</v>
      </c>
      <c r="AL39" s="159">
        <f t="shared" si="92"/>
        <v>8.5857725497734574</v>
      </c>
      <c r="AM39" s="159">
        <f t="shared" si="93"/>
        <v>2.0251751635765078</v>
      </c>
      <c r="AN39" s="159">
        <f t="shared" si="94"/>
        <v>2.0165176473654745</v>
      </c>
      <c r="AO39" s="159">
        <f t="shared" si="95"/>
        <v>3.2742352944051327</v>
      </c>
      <c r="AP39" s="159">
        <f t="shared" si="96"/>
        <v>7.203317647691291</v>
      </c>
      <c r="AQ39" s="159">
        <f t="shared" si="97"/>
        <v>1.6371176472025664</v>
      </c>
      <c r="AR39" s="159">
        <f t="shared" si="98"/>
        <v>14.279696733031276</v>
      </c>
      <c r="AS39" s="159">
        <f t="shared" si="99"/>
        <v>1.9664836602691378</v>
      </c>
      <c r="AT39" s="159">
        <f t="shared" si="100"/>
        <v>3.3941516342989027</v>
      </c>
      <c r="AU39" s="159">
        <f t="shared" si="101"/>
        <v>0.98324183013456889</v>
      </c>
      <c r="AV39" s="159">
        <f t="shared" si="102"/>
        <v>2.2919647060835926</v>
      </c>
      <c r="AW39" s="159">
        <f t="shared" si="103"/>
        <v>4.8507189546742708</v>
      </c>
      <c r="AX39" s="159">
        <f t="shared" si="104"/>
        <v>1.1459823530417963</v>
      </c>
      <c r="AY39" s="159">
        <f t="shared" si="105"/>
        <v>15.126797386685675</v>
      </c>
      <c r="AZ39" s="159">
        <f t="shared" si="106"/>
        <v>3.8270797388314759</v>
      </c>
      <c r="BA39" s="159">
        <f t="shared" si="107"/>
        <v>7.0748653600638072</v>
      </c>
      <c r="BB39" s="159">
        <f t="shared" si="108"/>
        <v>1.9135398694157379</v>
      </c>
      <c r="BC39" s="159">
        <f t="shared" si="109"/>
        <v>3.5288980395255312</v>
      </c>
      <c r="BD39" s="159">
        <f t="shared" si="110"/>
        <v>4.2201254905666143</v>
      </c>
      <c r="BE39" s="159">
        <f t="shared" si="111"/>
        <v>13.326708497670079</v>
      </c>
      <c r="BF39" s="159">
        <f t="shared" si="112"/>
        <v>7.7077228767635653</v>
      </c>
      <c r="BG39" s="159">
        <f t="shared" si="113"/>
        <v>3.6455581701912476</v>
      </c>
      <c r="BH39" s="159">
        <f t="shared" si="114"/>
        <v>5.8814967325425522</v>
      </c>
      <c r="BI39" s="159">
        <f t="shared" si="115"/>
        <v>3.2014745100850184</v>
      </c>
      <c r="BJ39" s="159">
        <f t="shared" si="116"/>
        <v>5.7633098043272426</v>
      </c>
      <c r="BK39" s="159">
        <f t="shared" si="117"/>
        <v>6.4908209159632806</v>
      </c>
      <c r="BL39" s="159">
        <f t="shared" si="118"/>
        <v>0.78659346410765507</v>
      </c>
      <c r="BM39" s="159">
        <f t="shared" si="119"/>
        <v>2.1828235296034215</v>
      </c>
      <c r="BN39" s="159">
        <f t="shared" si="120"/>
        <v>0.82462222229462601</v>
      </c>
      <c r="BO39" s="159">
        <f t="shared" si="121"/>
        <v>4.6136732029391307</v>
      </c>
      <c r="BP39" s="159">
        <f t="shared" si="122"/>
        <v>9.4530614392777785</v>
      </c>
      <c r="BQ39" s="159">
        <f t="shared" si="123"/>
        <v>2.0421176472025664</v>
      </c>
      <c r="BR39" s="159">
        <f t="shared" si="124"/>
        <v>3.4440104578187314</v>
      </c>
      <c r="BS39" s="159">
        <f t="shared" si="125"/>
        <v>2.9589385623513049</v>
      </c>
      <c r="BT39" s="159">
        <f t="shared" si="126"/>
        <v>6.8826928109419825</v>
      </c>
      <c r="BU39" s="159">
        <f t="shared" si="127"/>
        <v>8.1204915044477275</v>
      </c>
      <c r="BV39" s="159">
        <f t="shared" si="128"/>
        <v>1.8303424837889666</v>
      </c>
      <c r="BW39" s="159"/>
      <c r="BX39" s="159"/>
      <c r="BY39" s="159"/>
      <c r="BZ39" s="159"/>
      <c r="CA39" s="159"/>
      <c r="CB39" s="159">
        <f t="shared" si="129"/>
        <v>6.1414797389943843</v>
      </c>
      <c r="CC39" s="159">
        <f t="shared" si="130"/>
        <v>5.6790614384632372</v>
      </c>
      <c r="CD39" s="159">
        <f t="shared" si="131"/>
        <v>13.534773857408071</v>
      </c>
      <c r="CE39" s="159">
        <f t="shared" si="132"/>
        <v>5.6790614384632372</v>
      </c>
      <c r="CF39" s="159">
        <f t="shared" si="133"/>
        <v>5.6539947719051753</v>
      </c>
      <c r="CG39" s="159">
        <f t="shared" si="134"/>
        <v>14.70858562237269</v>
      </c>
      <c r="CH39" s="159">
        <f t="shared" si="135"/>
        <v>5.6539947719051753</v>
      </c>
      <c r="CI39" s="159">
        <f t="shared" si="136"/>
        <v>3.7816993466714188</v>
      </c>
    </row>
    <row r="40" spans="1:87" x14ac:dyDescent="0.25">
      <c r="F40" s="317">
        <v>42857</v>
      </c>
      <c r="G40" s="530"/>
      <c r="H40" s="531"/>
      <c r="I40" s="371"/>
      <c r="J40" s="163"/>
      <c r="K40" s="163"/>
      <c r="L40" s="163"/>
      <c r="M40" s="163"/>
      <c r="N40" s="163"/>
      <c r="O40" s="163"/>
      <c r="P40" s="163"/>
      <c r="Q40" s="163">
        <f t="shared" ref="Q40:Q83" si="137">((2*(N40+1))+(K40+1))/8</f>
        <v>0.375</v>
      </c>
      <c r="R40" s="163" t="e">
        <f t="shared" ref="R40:R83" si="138">1.66*(O40+(LOG(H40)*4/3)+G40)+0.55*(P40+(LOG(H40)*4/3)+G40)-7.6</f>
        <v>#NUM!</v>
      </c>
      <c r="S40" s="163">
        <f t="shared" ref="S40:S83" si="139">(0.5*O40+ 0.3*P40)/10</f>
        <v>0</v>
      </c>
      <c r="T40" s="163">
        <f t="shared" ref="T40:T83" si="140">(0.4*K40+0.3*P40)/10</f>
        <v>0</v>
      </c>
      <c r="U40" s="163" t="e">
        <f t="shared" ref="U40:U83" ca="1" si="141">IF(TODAY()-F40&gt;335,(P40+1+(LOG(H40)*4/3)),(P40+((TODAY()-F40)^0.5)/(336^0.5)+(LOG(H40)*4/3)))</f>
        <v>#NUM!</v>
      </c>
      <c r="V40" s="159" t="e">
        <f t="shared" ref="V40:V83" si="142">((J40+G40+(LOG(H40)*4/3))*0.597)+((K40+G40+(LOG(H40)*4/3))*0.276)</f>
        <v>#NUM!</v>
      </c>
      <c r="W40" s="159" t="e">
        <f t="shared" ref="W40:W83" si="143">((J40+G40+(LOG(H40)*4/3))*0.866)+((K40+G40+(LOG(H40)*4/3))*0.425)</f>
        <v>#NUM!</v>
      </c>
      <c r="X40" s="159" t="e">
        <f t="shared" ref="X40:X83" si="144">V40</f>
        <v>#NUM!</v>
      </c>
      <c r="Y40" s="159" t="e">
        <f t="shared" ref="Y40:Y83" si="145">((K40+G40+(LOG(H40)*4/3))*0.516)</f>
        <v>#NUM!</v>
      </c>
      <c r="Z40" s="159" t="e">
        <f t="shared" ref="Z40:Z83" si="146">(K40+G40+(LOG(H40)*4/3))*1</f>
        <v>#NUM!</v>
      </c>
      <c r="AA40" s="159" t="e">
        <f t="shared" ref="AA40:AA83" si="147">Y40/2</f>
        <v>#NUM!</v>
      </c>
      <c r="AB40" s="159" t="e">
        <f t="shared" ref="AB40:AB83" si="148">(L40+G40+(LOG(H40)*4/3))*0.238</f>
        <v>#NUM!</v>
      </c>
      <c r="AC40" s="159" t="e">
        <f t="shared" ref="AC40:AC83" si="149">((K40+G40+(LOG(H40)*4/3))*0.378)</f>
        <v>#NUM!</v>
      </c>
      <c r="AD40" s="159" t="e">
        <f t="shared" ref="AD40:AD83" si="150">(K40+G40+(LOG(H40)*4/3))*0.723</f>
        <v>#NUM!</v>
      </c>
      <c r="AE40" s="159" t="e">
        <f t="shared" ref="AE40:AE83" si="151">AC40/2</f>
        <v>#NUM!</v>
      </c>
      <c r="AF40" s="159" t="e">
        <f t="shared" ref="AF40:AF83" si="152">(L40+G40+(LOG(H40)*4/3))*0.385</f>
        <v>#NUM!</v>
      </c>
      <c r="AG40" s="387" t="e">
        <f t="shared" ref="AG40:AG83" si="153">((K40+G40+(LOG(H40)*4/3))*0.92)</f>
        <v>#NUM!</v>
      </c>
      <c r="AH40" s="159" t="e">
        <f t="shared" ref="AH40:AH83" si="154">(K40+G40+(LOG(H40)*4/3))*0.414</f>
        <v>#NUM!</v>
      </c>
      <c r="AI40" s="159" t="e">
        <f t="shared" ref="AI40:AI83" si="155">((L40+G40+(LOG(H40)*4/3))*0.167)</f>
        <v>#NUM!</v>
      </c>
      <c r="AJ40" s="387" t="e">
        <f t="shared" ref="AJ40:AJ83" si="156">(M40+G40+(LOG(H40)*4/3))*0.588</f>
        <v>#NUM!</v>
      </c>
      <c r="AK40" s="159" t="e">
        <f t="shared" ref="AK40:AK83" si="157">((K40+G40+(LOG(H40)*4/3))*0.754)</f>
        <v>#NUM!</v>
      </c>
      <c r="AL40" s="159" t="e">
        <f t="shared" ref="AL40:AL83" si="158">((K40+G40+(LOG(H40)*4/3))*0.708)</f>
        <v>#NUM!</v>
      </c>
      <c r="AM40" s="159" t="e">
        <f t="shared" ref="AM40:AM83" si="159">((P40+G40+(LOG(H40)*4/3))*0.167)</f>
        <v>#NUM!</v>
      </c>
      <c r="AN40" s="159" t="e">
        <f t="shared" ref="AN40:AN83" si="160">((Q40+G40+(LOG(H40)*4/3))*0.288)</f>
        <v>#NUM!</v>
      </c>
      <c r="AO40" s="159" t="e">
        <f t="shared" ref="AO40:AO83" si="161">((K40+G40+(LOG(H40)*4/3))*0.27)</f>
        <v>#NUM!</v>
      </c>
      <c r="AP40" s="159" t="e">
        <f t="shared" ref="AP40:AP83" si="162">((K40+G40+(LOG(H40)*4/3))*0.594)</f>
        <v>#NUM!</v>
      </c>
      <c r="AQ40" s="159" t="e">
        <f t="shared" ref="AQ40:AQ83" si="163">AO40/2</f>
        <v>#NUM!</v>
      </c>
      <c r="AR40" s="159" t="e">
        <f t="shared" ref="AR40:AR83" si="164">((L40+G40+(LOG(H40)*4/3))*0.944)</f>
        <v>#NUM!</v>
      </c>
      <c r="AS40" s="159" t="e">
        <f t="shared" ref="AS40:AS83" si="165">((N40+G40+(LOG(H40)*4/3))*0.13)</f>
        <v>#NUM!</v>
      </c>
      <c r="AT40" s="159" t="e">
        <f t="shared" ref="AT40:AT83" si="166">((O40+G40+(LOG(H40)*4/3))*0.173)+((N40+G40+(LOG(H40)*4/3))*0.12)</f>
        <v>#NUM!</v>
      </c>
      <c r="AU40" s="159" t="e">
        <f t="shared" ref="AU40:AU83" si="167">AS40/2</f>
        <v>#NUM!</v>
      </c>
      <c r="AV40" s="159" t="e">
        <f t="shared" ref="AV40:AV83" si="168">((K40+G40+(LOG(H40)*4/3))*0.189)</f>
        <v>#NUM!</v>
      </c>
      <c r="AW40" s="159" t="e">
        <f t="shared" ref="AW40:AW83" si="169">((K40+G40+(LOG(H40)*4/3))*0.4)</f>
        <v>#NUM!</v>
      </c>
      <c r="AX40" s="159" t="e">
        <f t="shared" ref="AX40:AX83" si="170">AV40/2</f>
        <v>#NUM!</v>
      </c>
      <c r="AY40" s="159" t="e">
        <f t="shared" ref="AY40:AY83" si="171">((L40+G40+(LOG(H40)*4/3))*1)</f>
        <v>#NUM!</v>
      </c>
      <c r="AZ40" s="159" t="e">
        <f t="shared" ref="AZ40:AZ83" si="172">((N40+G40+(LOG(H40)*4/3))*0.253)</f>
        <v>#NUM!</v>
      </c>
      <c r="BA40" s="159" t="e">
        <f t="shared" ref="BA40:BA83" si="173">((O40+G40+(LOG(H40)*4/3))*0.21)+((N40+G40+(LOG(H40)*4/3))*0.341)</f>
        <v>#NUM!</v>
      </c>
      <c r="BB40" s="159" t="e">
        <f t="shared" ref="BB40:BB83" si="174">AZ40/2</f>
        <v>#NUM!</v>
      </c>
      <c r="BC40" s="159" t="e">
        <f t="shared" ref="BC40:BC83" si="175">((K40+G40+(LOG(H40)*4/3))*0.291)</f>
        <v>#NUM!</v>
      </c>
      <c r="BD40" s="159" t="e">
        <f t="shared" ref="BD40:BD83" si="176">((K40+G40+(LOG(H40)*4/3))*0.348)</f>
        <v>#NUM!</v>
      </c>
      <c r="BE40" s="159" t="e">
        <f t="shared" ref="BE40:BE83" si="177">((L40+G40+(LOG(H40)*4/3))*0.881)</f>
        <v>#NUM!</v>
      </c>
      <c r="BF40" s="159" t="e">
        <f t="shared" ref="BF40:BF83" si="178">((M40+G40+(LOG(H40)*4/3))*0.574)+((N40+G40+(LOG(H40)*4/3))*0.315)</f>
        <v>#NUM!</v>
      </c>
      <c r="BG40" s="159" t="e">
        <f t="shared" ref="BG40:BG83" si="179">((N40+G40+(LOG(H40)*4/3))*0.241)</f>
        <v>#NUM!</v>
      </c>
      <c r="BH40" s="159" t="e">
        <f t="shared" ref="BH40:BH83" si="180">((K40+G40+(LOG(H40)*4/3))*0.485)</f>
        <v>#NUM!</v>
      </c>
      <c r="BI40" s="159" t="e">
        <f t="shared" ref="BI40:BI83" si="181">((K40+G40+(LOG(H40)*4/3))*0.264)</f>
        <v>#NUM!</v>
      </c>
      <c r="BJ40" s="159" t="e">
        <f t="shared" ref="BJ40:BJ83" si="182">((L40+G40+(LOG(H40)*4/3))*0.381)</f>
        <v>#NUM!</v>
      </c>
      <c r="BK40" s="159" t="e">
        <f t="shared" ref="BK40:BK83" si="183">((M40+G40+(LOG(H40)*4/3))*0.673)+((N40+G40+(LOG(H40)*4/3))*0.201)</f>
        <v>#NUM!</v>
      </c>
      <c r="BL40" s="159" t="e">
        <f t="shared" ref="BL40:BL83" si="184">((N40+G40+(LOG(H40)*4/3))*0.052)</f>
        <v>#NUM!</v>
      </c>
      <c r="BM40" s="159" t="e">
        <f t="shared" ref="BM40:BM83" si="185">((K40+G40+(LOG(H40)*4/3))*0.18)</f>
        <v>#NUM!</v>
      </c>
      <c r="BN40" s="159" t="e">
        <f t="shared" ref="BN40:BN83" si="186">(K40+G40+(LOG(H40)*4/3))*0.068</f>
        <v>#NUM!</v>
      </c>
      <c r="BO40" s="159" t="e">
        <f t="shared" ref="BO40:BO83" si="187">((L40+G40+(LOG(H40)*4/3))*0.305)</f>
        <v>#NUM!</v>
      </c>
      <c r="BP40" s="159" t="e">
        <f t="shared" ref="BP40:BP83" si="188">((M40+G40+(LOG(H40)*4/3))*1)+((N40+G40+(LOG(H40)*4/3))*0.286)</f>
        <v>#NUM!</v>
      </c>
      <c r="BQ40" s="159" t="e">
        <f t="shared" ref="BQ40:BQ83" si="189">((N40+G40+(LOG(H40)*4/3))*0.135)</f>
        <v>#NUM!</v>
      </c>
      <c r="BR40" s="159" t="e">
        <f t="shared" ref="BR40:BR83" si="190">((K40+G40+(LOG(H40)*4/3))*0.284)</f>
        <v>#NUM!</v>
      </c>
      <c r="BS40" s="159" t="e">
        <f t="shared" ref="BS40:BS83" si="191">(K40+G40+(LOG(H40)*4/3))*0.244</f>
        <v>#NUM!</v>
      </c>
      <c r="BT40" s="159" t="e">
        <f t="shared" ref="BT40:BT83" si="192">((L40+G40+(LOG(H40)*4/3))*0.455)</f>
        <v>#NUM!</v>
      </c>
      <c r="BU40" s="159" t="e">
        <f t="shared" ref="BU40:BU83" si="193">((M40+G40+(LOG(H40)*4/3))*0.864)+((N40+G40+(LOG(H40)*4/3))*0.244)</f>
        <v>#NUM!</v>
      </c>
      <c r="BV40" s="159" t="e">
        <f t="shared" ref="BV40:BV83" si="194">((N40+G40+(LOG(H40)*4/3))*0.121)</f>
        <v>#NUM!</v>
      </c>
      <c r="BW40" s="159"/>
      <c r="BX40" s="159"/>
      <c r="BY40" s="159"/>
      <c r="BZ40" s="159"/>
      <c r="CA40" s="159"/>
      <c r="CB40" s="159" t="e">
        <f t="shared" ref="CB40:CB83" si="195">((L40+G40+(LOG(H40)*4/3))*0.406)</f>
        <v>#NUM!</v>
      </c>
      <c r="CC40" s="159" t="e">
        <f t="shared" ref="CC40:CC83" si="196">IF(E40="TEC",((M40+G40+(LOG(H40)*4/3))*0.15)+((N40+G40+(LOG(H40)*4/3))*0.324)+((O40+G40+(LOG(H40)*4/3))*0.127),(((M40+G40+(LOG(H40)*4/3))*0.144)+((N40+G40+(LOG(H40)*4/3))*0.25)+((O40+G40+(LOG(H40)*4/3))*0.127)))</f>
        <v>#NUM!</v>
      </c>
      <c r="CD40" s="159" t="e">
        <f t="shared" ref="CD40:CD83" si="197">((N40+G40+(LOG(H40)*4/3))*0.543)+((O40+G40+(LOG(H40)*4/3))*0.583)</f>
        <v>#NUM!</v>
      </c>
      <c r="CE40" s="159" t="e">
        <f t="shared" ref="CE40:CE83" si="198">CC40</f>
        <v>#NUM!</v>
      </c>
      <c r="CF40" s="159" t="e">
        <f t="shared" ref="CF40:CF83" si="199">((O40+1+(LOG(H40)*4/3))*0.26)+((M40+G40+(LOG(H40)*4/3))*0.221)+((N40+G40+(LOG(H40)*4/3))*0.142)</f>
        <v>#NUM!</v>
      </c>
      <c r="CG40" s="159" t="e">
        <f t="shared" ref="CG40:CG83" si="200">((O40+G40+(LOG(H40)*4/3))*1)+((N40+G40+(LOG(H40)*4/3))*0.369)</f>
        <v>#NUM!</v>
      </c>
      <c r="CH40" s="159" t="e">
        <f t="shared" ref="CH40:CH83" si="201">CF40</f>
        <v>#NUM!</v>
      </c>
      <c r="CI40" s="159" t="e">
        <f t="shared" ref="CI40:CI83" si="202">((L40+G40+(LOG(H40)*4/3))*0.25)</f>
        <v>#NUM!</v>
      </c>
    </row>
    <row r="41" spans="1:87" x14ac:dyDescent="0.25">
      <c r="F41" s="317">
        <v>42857</v>
      </c>
      <c r="G41" s="530"/>
      <c r="H41" s="531"/>
      <c r="I41" s="371"/>
      <c r="J41" s="163"/>
      <c r="K41" s="163"/>
      <c r="L41" s="163"/>
      <c r="M41" s="163"/>
      <c r="N41" s="163"/>
      <c r="O41" s="163"/>
      <c r="P41" s="163"/>
      <c r="Q41" s="163">
        <f t="shared" si="137"/>
        <v>0.375</v>
      </c>
      <c r="R41" s="163" t="e">
        <f t="shared" si="138"/>
        <v>#NUM!</v>
      </c>
      <c r="S41" s="163">
        <f t="shared" si="139"/>
        <v>0</v>
      </c>
      <c r="T41" s="163">
        <f t="shared" si="140"/>
        <v>0</v>
      </c>
      <c r="U41" s="163" t="e">
        <f t="shared" ca="1" si="141"/>
        <v>#NUM!</v>
      </c>
      <c r="V41" s="159" t="e">
        <f t="shared" si="142"/>
        <v>#NUM!</v>
      </c>
      <c r="W41" s="159" t="e">
        <f t="shared" si="143"/>
        <v>#NUM!</v>
      </c>
      <c r="X41" s="159" t="e">
        <f t="shared" si="144"/>
        <v>#NUM!</v>
      </c>
      <c r="Y41" s="159" t="e">
        <f t="shared" si="145"/>
        <v>#NUM!</v>
      </c>
      <c r="Z41" s="159" t="e">
        <f t="shared" si="146"/>
        <v>#NUM!</v>
      </c>
      <c r="AA41" s="159" t="e">
        <f t="shared" si="147"/>
        <v>#NUM!</v>
      </c>
      <c r="AB41" s="159" t="e">
        <f t="shared" si="148"/>
        <v>#NUM!</v>
      </c>
      <c r="AC41" s="159" t="e">
        <f t="shared" si="149"/>
        <v>#NUM!</v>
      </c>
      <c r="AD41" s="159" t="e">
        <f t="shared" si="150"/>
        <v>#NUM!</v>
      </c>
      <c r="AE41" s="159" t="e">
        <f t="shared" si="151"/>
        <v>#NUM!</v>
      </c>
      <c r="AF41" s="159" t="e">
        <f t="shared" si="152"/>
        <v>#NUM!</v>
      </c>
      <c r="AG41" s="387" t="e">
        <f t="shared" si="153"/>
        <v>#NUM!</v>
      </c>
      <c r="AH41" s="159" t="e">
        <f t="shared" si="154"/>
        <v>#NUM!</v>
      </c>
      <c r="AI41" s="159" t="e">
        <f t="shared" si="155"/>
        <v>#NUM!</v>
      </c>
      <c r="AJ41" s="387" t="e">
        <f t="shared" si="156"/>
        <v>#NUM!</v>
      </c>
      <c r="AK41" s="159" t="e">
        <f t="shared" si="157"/>
        <v>#NUM!</v>
      </c>
      <c r="AL41" s="159" t="e">
        <f t="shared" si="158"/>
        <v>#NUM!</v>
      </c>
      <c r="AM41" s="159" t="e">
        <f t="shared" si="159"/>
        <v>#NUM!</v>
      </c>
      <c r="AN41" s="159" t="e">
        <f t="shared" si="160"/>
        <v>#NUM!</v>
      </c>
      <c r="AO41" s="159" t="e">
        <f t="shared" si="161"/>
        <v>#NUM!</v>
      </c>
      <c r="AP41" s="159" t="e">
        <f t="shared" si="162"/>
        <v>#NUM!</v>
      </c>
      <c r="AQ41" s="159" t="e">
        <f t="shared" si="163"/>
        <v>#NUM!</v>
      </c>
      <c r="AR41" s="159" t="e">
        <f t="shared" si="164"/>
        <v>#NUM!</v>
      </c>
      <c r="AS41" s="159" t="e">
        <f t="shared" si="165"/>
        <v>#NUM!</v>
      </c>
      <c r="AT41" s="159" t="e">
        <f t="shared" si="166"/>
        <v>#NUM!</v>
      </c>
      <c r="AU41" s="159" t="e">
        <f t="shared" si="167"/>
        <v>#NUM!</v>
      </c>
      <c r="AV41" s="159" t="e">
        <f t="shared" si="168"/>
        <v>#NUM!</v>
      </c>
      <c r="AW41" s="159" t="e">
        <f t="shared" si="169"/>
        <v>#NUM!</v>
      </c>
      <c r="AX41" s="159" t="e">
        <f t="shared" si="170"/>
        <v>#NUM!</v>
      </c>
      <c r="AY41" s="159" t="e">
        <f t="shared" si="171"/>
        <v>#NUM!</v>
      </c>
      <c r="AZ41" s="159" t="e">
        <f t="shared" si="172"/>
        <v>#NUM!</v>
      </c>
      <c r="BA41" s="159" t="e">
        <f t="shared" si="173"/>
        <v>#NUM!</v>
      </c>
      <c r="BB41" s="159" t="e">
        <f t="shared" si="174"/>
        <v>#NUM!</v>
      </c>
      <c r="BC41" s="159" t="e">
        <f t="shared" si="175"/>
        <v>#NUM!</v>
      </c>
      <c r="BD41" s="159" t="e">
        <f t="shared" si="176"/>
        <v>#NUM!</v>
      </c>
      <c r="BE41" s="159" t="e">
        <f t="shared" si="177"/>
        <v>#NUM!</v>
      </c>
      <c r="BF41" s="159" t="e">
        <f t="shared" si="178"/>
        <v>#NUM!</v>
      </c>
      <c r="BG41" s="159" t="e">
        <f t="shared" si="179"/>
        <v>#NUM!</v>
      </c>
      <c r="BH41" s="159" t="e">
        <f t="shared" si="180"/>
        <v>#NUM!</v>
      </c>
      <c r="BI41" s="159" t="e">
        <f t="shared" si="181"/>
        <v>#NUM!</v>
      </c>
      <c r="BJ41" s="159" t="e">
        <f t="shared" si="182"/>
        <v>#NUM!</v>
      </c>
      <c r="BK41" s="159" t="e">
        <f t="shared" si="183"/>
        <v>#NUM!</v>
      </c>
      <c r="BL41" s="159" t="e">
        <f t="shared" si="184"/>
        <v>#NUM!</v>
      </c>
      <c r="BM41" s="159" t="e">
        <f t="shared" si="185"/>
        <v>#NUM!</v>
      </c>
      <c r="BN41" s="159" t="e">
        <f t="shared" si="186"/>
        <v>#NUM!</v>
      </c>
      <c r="BO41" s="159" t="e">
        <f t="shared" si="187"/>
        <v>#NUM!</v>
      </c>
      <c r="BP41" s="159" t="e">
        <f t="shared" si="188"/>
        <v>#NUM!</v>
      </c>
      <c r="BQ41" s="159" t="e">
        <f t="shared" si="189"/>
        <v>#NUM!</v>
      </c>
      <c r="BR41" s="159" t="e">
        <f t="shared" si="190"/>
        <v>#NUM!</v>
      </c>
      <c r="BS41" s="159" t="e">
        <f t="shared" si="191"/>
        <v>#NUM!</v>
      </c>
      <c r="BT41" s="159" t="e">
        <f t="shared" si="192"/>
        <v>#NUM!</v>
      </c>
      <c r="BU41" s="159" t="e">
        <f t="shared" si="193"/>
        <v>#NUM!</v>
      </c>
      <c r="BV41" s="159" t="e">
        <f t="shared" si="194"/>
        <v>#NUM!</v>
      </c>
      <c r="BW41" s="159"/>
      <c r="BX41" s="159"/>
      <c r="BY41" s="159"/>
      <c r="BZ41" s="159"/>
      <c r="CA41" s="159"/>
      <c r="CB41" s="159" t="e">
        <f t="shared" si="195"/>
        <v>#NUM!</v>
      </c>
      <c r="CC41" s="159" t="e">
        <f t="shared" si="196"/>
        <v>#NUM!</v>
      </c>
      <c r="CD41" s="159" t="e">
        <f t="shared" si="197"/>
        <v>#NUM!</v>
      </c>
      <c r="CE41" s="159" t="e">
        <f t="shared" si="198"/>
        <v>#NUM!</v>
      </c>
      <c r="CF41" s="159" t="e">
        <f t="shared" si="199"/>
        <v>#NUM!</v>
      </c>
      <c r="CG41" s="159" t="e">
        <f t="shared" si="200"/>
        <v>#NUM!</v>
      </c>
      <c r="CH41" s="159" t="e">
        <f t="shared" si="201"/>
        <v>#NUM!</v>
      </c>
      <c r="CI41" s="159" t="e">
        <f t="shared" si="202"/>
        <v>#NUM!</v>
      </c>
    </row>
    <row r="42" spans="1:87" x14ac:dyDescent="0.25">
      <c r="F42" s="317">
        <v>42857</v>
      </c>
      <c r="G42" s="530"/>
      <c r="H42" s="531"/>
      <c r="I42" s="371"/>
      <c r="J42" s="163"/>
      <c r="K42" s="163"/>
      <c r="L42" s="163"/>
      <c r="M42" s="163"/>
      <c r="N42" s="163"/>
      <c r="O42" s="163"/>
      <c r="P42" s="163"/>
      <c r="Q42" s="163">
        <f t="shared" si="137"/>
        <v>0.375</v>
      </c>
      <c r="R42" s="163" t="e">
        <f t="shared" si="138"/>
        <v>#NUM!</v>
      </c>
      <c r="S42" s="163">
        <f t="shared" si="139"/>
        <v>0</v>
      </c>
      <c r="T42" s="163">
        <f t="shared" si="140"/>
        <v>0</v>
      </c>
      <c r="U42" s="163" t="e">
        <f t="shared" ca="1" si="141"/>
        <v>#NUM!</v>
      </c>
      <c r="V42" s="159" t="e">
        <f t="shared" si="142"/>
        <v>#NUM!</v>
      </c>
      <c r="W42" s="159" t="e">
        <f t="shared" si="143"/>
        <v>#NUM!</v>
      </c>
      <c r="X42" s="159" t="e">
        <f t="shared" si="144"/>
        <v>#NUM!</v>
      </c>
      <c r="Y42" s="159" t="e">
        <f t="shared" si="145"/>
        <v>#NUM!</v>
      </c>
      <c r="Z42" s="159" t="e">
        <f t="shared" si="146"/>
        <v>#NUM!</v>
      </c>
      <c r="AA42" s="159" t="e">
        <f t="shared" si="147"/>
        <v>#NUM!</v>
      </c>
      <c r="AB42" s="159" t="e">
        <f t="shared" si="148"/>
        <v>#NUM!</v>
      </c>
      <c r="AC42" s="159" t="e">
        <f t="shared" si="149"/>
        <v>#NUM!</v>
      </c>
      <c r="AD42" s="159" t="e">
        <f t="shared" si="150"/>
        <v>#NUM!</v>
      </c>
      <c r="AE42" s="159" t="e">
        <f t="shared" si="151"/>
        <v>#NUM!</v>
      </c>
      <c r="AF42" s="159" t="e">
        <f t="shared" si="152"/>
        <v>#NUM!</v>
      </c>
      <c r="AG42" s="387" t="e">
        <f t="shared" si="153"/>
        <v>#NUM!</v>
      </c>
      <c r="AH42" s="159" t="e">
        <f t="shared" si="154"/>
        <v>#NUM!</v>
      </c>
      <c r="AI42" s="159" t="e">
        <f t="shared" si="155"/>
        <v>#NUM!</v>
      </c>
      <c r="AJ42" s="387" t="e">
        <f t="shared" si="156"/>
        <v>#NUM!</v>
      </c>
      <c r="AK42" s="159" t="e">
        <f t="shared" si="157"/>
        <v>#NUM!</v>
      </c>
      <c r="AL42" s="159" t="e">
        <f t="shared" si="158"/>
        <v>#NUM!</v>
      </c>
      <c r="AM42" s="159" t="e">
        <f t="shared" si="159"/>
        <v>#NUM!</v>
      </c>
      <c r="AN42" s="159" t="e">
        <f t="shared" si="160"/>
        <v>#NUM!</v>
      </c>
      <c r="AO42" s="159" t="e">
        <f t="shared" si="161"/>
        <v>#NUM!</v>
      </c>
      <c r="AP42" s="159" t="e">
        <f t="shared" si="162"/>
        <v>#NUM!</v>
      </c>
      <c r="AQ42" s="159" t="e">
        <f t="shared" si="163"/>
        <v>#NUM!</v>
      </c>
      <c r="AR42" s="159" t="e">
        <f t="shared" si="164"/>
        <v>#NUM!</v>
      </c>
      <c r="AS42" s="159" t="e">
        <f t="shared" si="165"/>
        <v>#NUM!</v>
      </c>
      <c r="AT42" s="159" t="e">
        <f t="shared" si="166"/>
        <v>#NUM!</v>
      </c>
      <c r="AU42" s="159" t="e">
        <f t="shared" si="167"/>
        <v>#NUM!</v>
      </c>
      <c r="AV42" s="159" t="e">
        <f t="shared" si="168"/>
        <v>#NUM!</v>
      </c>
      <c r="AW42" s="159" t="e">
        <f t="shared" si="169"/>
        <v>#NUM!</v>
      </c>
      <c r="AX42" s="159" t="e">
        <f t="shared" si="170"/>
        <v>#NUM!</v>
      </c>
      <c r="AY42" s="159" t="e">
        <f t="shared" si="171"/>
        <v>#NUM!</v>
      </c>
      <c r="AZ42" s="159" t="e">
        <f t="shared" si="172"/>
        <v>#NUM!</v>
      </c>
      <c r="BA42" s="159" t="e">
        <f t="shared" si="173"/>
        <v>#NUM!</v>
      </c>
      <c r="BB42" s="159" t="e">
        <f t="shared" si="174"/>
        <v>#NUM!</v>
      </c>
      <c r="BC42" s="159" t="e">
        <f t="shared" si="175"/>
        <v>#NUM!</v>
      </c>
      <c r="BD42" s="159" t="e">
        <f t="shared" si="176"/>
        <v>#NUM!</v>
      </c>
      <c r="BE42" s="159" t="e">
        <f t="shared" si="177"/>
        <v>#NUM!</v>
      </c>
      <c r="BF42" s="159" t="e">
        <f t="shared" si="178"/>
        <v>#NUM!</v>
      </c>
      <c r="BG42" s="159" t="e">
        <f t="shared" si="179"/>
        <v>#NUM!</v>
      </c>
      <c r="BH42" s="159" t="e">
        <f t="shared" si="180"/>
        <v>#NUM!</v>
      </c>
      <c r="BI42" s="159" t="e">
        <f t="shared" si="181"/>
        <v>#NUM!</v>
      </c>
      <c r="BJ42" s="159" t="e">
        <f t="shared" si="182"/>
        <v>#NUM!</v>
      </c>
      <c r="BK42" s="159" t="e">
        <f t="shared" si="183"/>
        <v>#NUM!</v>
      </c>
      <c r="BL42" s="159" t="e">
        <f t="shared" si="184"/>
        <v>#NUM!</v>
      </c>
      <c r="BM42" s="159" t="e">
        <f t="shared" si="185"/>
        <v>#NUM!</v>
      </c>
      <c r="BN42" s="159" t="e">
        <f t="shared" si="186"/>
        <v>#NUM!</v>
      </c>
      <c r="BO42" s="159" t="e">
        <f t="shared" si="187"/>
        <v>#NUM!</v>
      </c>
      <c r="BP42" s="159" t="e">
        <f t="shared" si="188"/>
        <v>#NUM!</v>
      </c>
      <c r="BQ42" s="159" t="e">
        <f t="shared" si="189"/>
        <v>#NUM!</v>
      </c>
      <c r="BR42" s="159" t="e">
        <f t="shared" si="190"/>
        <v>#NUM!</v>
      </c>
      <c r="BS42" s="159" t="e">
        <f t="shared" si="191"/>
        <v>#NUM!</v>
      </c>
      <c r="BT42" s="159" t="e">
        <f t="shared" si="192"/>
        <v>#NUM!</v>
      </c>
      <c r="BU42" s="159" t="e">
        <f t="shared" si="193"/>
        <v>#NUM!</v>
      </c>
      <c r="BV42" s="159" t="e">
        <f t="shared" si="194"/>
        <v>#NUM!</v>
      </c>
      <c r="BW42" s="159"/>
      <c r="BX42" s="159"/>
      <c r="BY42" s="159"/>
      <c r="BZ42" s="159"/>
      <c r="CA42" s="159"/>
      <c r="CB42" s="159" t="e">
        <f t="shared" si="195"/>
        <v>#NUM!</v>
      </c>
      <c r="CC42" s="159" t="e">
        <f t="shared" si="196"/>
        <v>#NUM!</v>
      </c>
      <c r="CD42" s="159" t="e">
        <f t="shared" si="197"/>
        <v>#NUM!</v>
      </c>
      <c r="CE42" s="159" t="e">
        <f t="shared" si="198"/>
        <v>#NUM!</v>
      </c>
      <c r="CF42" s="159" t="e">
        <f t="shared" si="199"/>
        <v>#NUM!</v>
      </c>
      <c r="CG42" s="159" t="e">
        <f t="shared" si="200"/>
        <v>#NUM!</v>
      </c>
      <c r="CH42" s="159" t="e">
        <f t="shared" si="201"/>
        <v>#NUM!</v>
      </c>
      <c r="CI42" s="159" t="e">
        <f t="shared" si="202"/>
        <v>#NUM!</v>
      </c>
    </row>
    <row r="43" spans="1:87" x14ac:dyDescent="0.25">
      <c r="F43" s="317">
        <v>42857</v>
      </c>
      <c r="G43" s="530"/>
      <c r="H43" s="531"/>
      <c r="I43" s="371"/>
      <c r="J43" s="163"/>
      <c r="K43" s="163"/>
      <c r="L43" s="163"/>
      <c r="M43" s="163"/>
      <c r="N43" s="163"/>
      <c r="O43" s="163"/>
      <c r="P43" s="163"/>
      <c r="Q43" s="163">
        <f t="shared" si="137"/>
        <v>0.375</v>
      </c>
      <c r="R43" s="163" t="e">
        <f t="shared" si="138"/>
        <v>#NUM!</v>
      </c>
      <c r="S43" s="163">
        <f t="shared" si="139"/>
        <v>0</v>
      </c>
      <c r="T43" s="163">
        <f t="shared" si="140"/>
        <v>0</v>
      </c>
      <c r="U43" s="163" t="e">
        <f t="shared" ca="1" si="141"/>
        <v>#NUM!</v>
      </c>
      <c r="V43" s="159" t="e">
        <f t="shared" si="142"/>
        <v>#NUM!</v>
      </c>
      <c r="W43" s="159" t="e">
        <f t="shared" si="143"/>
        <v>#NUM!</v>
      </c>
      <c r="X43" s="159" t="e">
        <f t="shared" si="144"/>
        <v>#NUM!</v>
      </c>
      <c r="Y43" s="159" t="e">
        <f t="shared" si="145"/>
        <v>#NUM!</v>
      </c>
      <c r="Z43" s="159" t="e">
        <f t="shared" si="146"/>
        <v>#NUM!</v>
      </c>
      <c r="AA43" s="159" t="e">
        <f t="shared" si="147"/>
        <v>#NUM!</v>
      </c>
      <c r="AB43" s="159" t="e">
        <f t="shared" si="148"/>
        <v>#NUM!</v>
      </c>
      <c r="AC43" s="159" t="e">
        <f t="shared" si="149"/>
        <v>#NUM!</v>
      </c>
      <c r="AD43" s="159" t="e">
        <f t="shared" si="150"/>
        <v>#NUM!</v>
      </c>
      <c r="AE43" s="159" t="e">
        <f t="shared" si="151"/>
        <v>#NUM!</v>
      </c>
      <c r="AF43" s="159" t="e">
        <f t="shared" si="152"/>
        <v>#NUM!</v>
      </c>
      <c r="AG43" s="387" t="e">
        <f t="shared" si="153"/>
        <v>#NUM!</v>
      </c>
      <c r="AH43" s="159" t="e">
        <f t="shared" si="154"/>
        <v>#NUM!</v>
      </c>
      <c r="AI43" s="159" t="e">
        <f t="shared" si="155"/>
        <v>#NUM!</v>
      </c>
      <c r="AJ43" s="387" t="e">
        <f t="shared" si="156"/>
        <v>#NUM!</v>
      </c>
      <c r="AK43" s="159" t="e">
        <f t="shared" si="157"/>
        <v>#NUM!</v>
      </c>
      <c r="AL43" s="159" t="e">
        <f t="shared" si="158"/>
        <v>#NUM!</v>
      </c>
      <c r="AM43" s="159" t="e">
        <f t="shared" si="159"/>
        <v>#NUM!</v>
      </c>
      <c r="AN43" s="159" t="e">
        <f t="shared" si="160"/>
        <v>#NUM!</v>
      </c>
      <c r="AO43" s="159" t="e">
        <f t="shared" si="161"/>
        <v>#NUM!</v>
      </c>
      <c r="AP43" s="159" t="e">
        <f t="shared" si="162"/>
        <v>#NUM!</v>
      </c>
      <c r="AQ43" s="159" t="e">
        <f t="shared" si="163"/>
        <v>#NUM!</v>
      </c>
      <c r="AR43" s="159" t="e">
        <f t="shared" si="164"/>
        <v>#NUM!</v>
      </c>
      <c r="AS43" s="159" t="e">
        <f t="shared" si="165"/>
        <v>#NUM!</v>
      </c>
      <c r="AT43" s="159" t="e">
        <f t="shared" si="166"/>
        <v>#NUM!</v>
      </c>
      <c r="AU43" s="159" t="e">
        <f t="shared" si="167"/>
        <v>#NUM!</v>
      </c>
      <c r="AV43" s="159" t="e">
        <f t="shared" si="168"/>
        <v>#NUM!</v>
      </c>
      <c r="AW43" s="159" t="e">
        <f t="shared" si="169"/>
        <v>#NUM!</v>
      </c>
      <c r="AX43" s="159" t="e">
        <f t="shared" si="170"/>
        <v>#NUM!</v>
      </c>
      <c r="AY43" s="159" t="e">
        <f t="shared" si="171"/>
        <v>#NUM!</v>
      </c>
      <c r="AZ43" s="159" t="e">
        <f t="shared" si="172"/>
        <v>#NUM!</v>
      </c>
      <c r="BA43" s="159" t="e">
        <f t="shared" si="173"/>
        <v>#NUM!</v>
      </c>
      <c r="BB43" s="159" t="e">
        <f t="shared" si="174"/>
        <v>#NUM!</v>
      </c>
      <c r="BC43" s="159" t="e">
        <f t="shared" si="175"/>
        <v>#NUM!</v>
      </c>
      <c r="BD43" s="159" t="e">
        <f t="shared" si="176"/>
        <v>#NUM!</v>
      </c>
      <c r="BE43" s="159" t="e">
        <f t="shared" si="177"/>
        <v>#NUM!</v>
      </c>
      <c r="BF43" s="159" t="e">
        <f t="shared" si="178"/>
        <v>#NUM!</v>
      </c>
      <c r="BG43" s="159" t="e">
        <f t="shared" si="179"/>
        <v>#NUM!</v>
      </c>
      <c r="BH43" s="159" t="e">
        <f t="shared" si="180"/>
        <v>#NUM!</v>
      </c>
      <c r="BI43" s="159" t="e">
        <f t="shared" si="181"/>
        <v>#NUM!</v>
      </c>
      <c r="BJ43" s="159" t="e">
        <f t="shared" si="182"/>
        <v>#NUM!</v>
      </c>
      <c r="BK43" s="159" t="e">
        <f t="shared" si="183"/>
        <v>#NUM!</v>
      </c>
      <c r="BL43" s="159" t="e">
        <f t="shared" si="184"/>
        <v>#NUM!</v>
      </c>
      <c r="BM43" s="159" t="e">
        <f t="shared" si="185"/>
        <v>#NUM!</v>
      </c>
      <c r="BN43" s="159" t="e">
        <f t="shared" si="186"/>
        <v>#NUM!</v>
      </c>
      <c r="BO43" s="159" t="e">
        <f t="shared" si="187"/>
        <v>#NUM!</v>
      </c>
      <c r="BP43" s="159" t="e">
        <f t="shared" si="188"/>
        <v>#NUM!</v>
      </c>
      <c r="BQ43" s="159" t="e">
        <f t="shared" si="189"/>
        <v>#NUM!</v>
      </c>
      <c r="BR43" s="159" t="e">
        <f t="shared" si="190"/>
        <v>#NUM!</v>
      </c>
      <c r="BS43" s="159" t="e">
        <f t="shared" si="191"/>
        <v>#NUM!</v>
      </c>
      <c r="BT43" s="159" t="e">
        <f t="shared" si="192"/>
        <v>#NUM!</v>
      </c>
      <c r="BU43" s="159" t="e">
        <f t="shared" si="193"/>
        <v>#NUM!</v>
      </c>
      <c r="BV43" s="159" t="e">
        <f t="shared" si="194"/>
        <v>#NUM!</v>
      </c>
      <c r="BW43" s="159"/>
      <c r="BX43" s="159"/>
      <c r="BY43" s="159"/>
      <c r="BZ43" s="159"/>
      <c r="CA43" s="159"/>
      <c r="CB43" s="159" t="e">
        <f t="shared" si="195"/>
        <v>#NUM!</v>
      </c>
      <c r="CC43" s="159" t="e">
        <f t="shared" si="196"/>
        <v>#NUM!</v>
      </c>
      <c r="CD43" s="159" t="e">
        <f t="shared" si="197"/>
        <v>#NUM!</v>
      </c>
      <c r="CE43" s="159" t="e">
        <f t="shared" si="198"/>
        <v>#NUM!</v>
      </c>
      <c r="CF43" s="159" t="e">
        <f t="shared" si="199"/>
        <v>#NUM!</v>
      </c>
      <c r="CG43" s="159" t="e">
        <f t="shared" si="200"/>
        <v>#NUM!</v>
      </c>
      <c r="CH43" s="159" t="e">
        <f t="shared" si="201"/>
        <v>#NUM!</v>
      </c>
      <c r="CI43" s="159" t="e">
        <f t="shared" si="202"/>
        <v>#NUM!</v>
      </c>
    </row>
    <row r="44" spans="1:87" x14ac:dyDescent="0.25">
      <c r="F44" s="317">
        <v>42857</v>
      </c>
      <c r="G44" s="530"/>
      <c r="H44" s="531"/>
      <c r="I44" s="371"/>
      <c r="J44" s="163"/>
      <c r="K44" s="163"/>
      <c r="L44" s="163"/>
      <c r="M44" s="163"/>
      <c r="N44" s="163"/>
      <c r="O44" s="163"/>
      <c r="P44" s="163"/>
      <c r="Q44" s="163">
        <f t="shared" si="137"/>
        <v>0.375</v>
      </c>
      <c r="R44" s="163" t="e">
        <f t="shared" si="138"/>
        <v>#NUM!</v>
      </c>
      <c r="S44" s="163">
        <f t="shared" si="139"/>
        <v>0</v>
      </c>
      <c r="T44" s="163">
        <f t="shared" si="140"/>
        <v>0</v>
      </c>
      <c r="U44" s="163" t="e">
        <f t="shared" ca="1" si="141"/>
        <v>#NUM!</v>
      </c>
      <c r="V44" s="159" t="e">
        <f t="shared" si="142"/>
        <v>#NUM!</v>
      </c>
      <c r="W44" s="159" t="e">
        <f t="shared" si="143"/>
        <v>#NUM!</v>
      </c>
      <c r="X44" s="159" t="e">
        <f t="shared" si="144"/>
        <v>#NUM!</v>
      </c>
      <c r="Y44" s="159" t="e">
        <f t="shared" si="145"/>
        <v>#NUM!</v>
      </c>
      <c r="Z44" s="159" t="e">
        <f t="shared" si="146"/>
        <v>#NUM!</v>
      </c>
      <c r="AA44" s="159" t="e">
        <f t="shared" si="147"/>
        <v>#NUM!</v>
      </c>
      <c r="AB44" s="159" t="e">
        <f t="shared" si="148"/>
        <v>#NUM!</v>
      </c>
      <c r="AC44" s="159" t="e">
        <f t="shared" si="149"/>
        <v>#NUM!</v>
      </c>
      <c r="AD44" s="159" t="e">
        <f t="shared" si="150"/>
        <v>#NUM!</v>
      </c>
      <c r="AE44" s="159" t="e">
        <f t="shared" si="151"/>
        <v>#NUM!</v>
      </c>
      <c r="AF44" s="159" t="e">
        <f t="shared" si="152"/>
        <v>#NUM!</v>
      </c>
      <c r="AG44" s="387" t="e">
        <f t="shared" si="153"/>
        <v>#NUM!</v>
      </c>
      <c r="AH44" s="159" t="e">
        <f t="shared" si="154"/>
        <v>#NUM!</v>
      </c>
      <c r="AI44" s="159" t="e">
        <f t="shared" si="155"/>
        <v>#NUM!</v>
      </c>
      <c r="AJ44" s="387" t="e">
        <f t="shared" si="156"/>
        <v>#NUM!</v>
      </c>
      <c r="AK44" s="159" t="e">
        <f t="shared" si="157"/>
        <v>#NUM!</v>
      </c>
      <c r="AL44" s="159" t="e">
        <f t="shared" si="158"/>
        <v>#NUM!</v>
      </c>
      <c r="AM44" s="159" t="e">
        <f t="shared" si="159"/>
        <v>#NUM!</v>
      </c>
      <c r="AN44" s="159" t="e">
        <f t="shared" si="160"/>
        <v>#NUM!</v>
      </c>
      <c r="AO44" s="159" t="e">
        <f t="shared" si="161"/>
        <v>#NUM!</v>
      </c>
      <c r="AP44" s="159" t="e">
        <f t="shared" si="162"/>
        <v>#NUM!</v>
      </c>
      <c r="AQ44" s="159" t="e">
        <f t="shared" si="163"/>
        <v>#NUM!</v>
      </c>
      <c r="AR44" s="159" t="e">
        <f t="shared" si="164"/>
        <v>#NUM!</v>
      </c>
      <c r="AS44" s="159" t="e">
        <f t="shared" si="165"/>
        <v>#NUM!</v>
      </c>
      <c r="AT44" s="159" t="e">
        <f t="shared" si="166"/>
        <v>#NUM!</v>
      </c>
      <c r="AU44" s="159" t="e">
        <f t="shared" si="167"/>
        <v>#NUM!</v>
      </c>
      <c r="AV44" s="159" t="e">
        <f t="shared" si="168"/>
        <v>#NUM!</v>
      </c>
      <c r="AW44" s="159" t="e">
        <f t="shared" si="169"/>
        <v>#NUM!</v>
      </c>
      <c r="AX44" s="159" t="e">
        <f t="shared" si="170"/>
        <v>#NUM!</v>
      </c>
      <c r="AY44" s="159" t="e">
        <f t="shared" si="171"/>
        <v>#NUM!</v>
      </c>
      <c r="AZ44" s="159" t="e">
        <f t="shared" si="172"/>
        <v>#NUM!</v>
      </c>
      <c r="BA44" s="159" t="e">
        <f t="shared" si="173"/>
        <v>#NUM!</v>
      </c>
      <c r="BB44" s="159" t="e">
        <f t="shared" si="174"/>
        <v>#NUM!</v>
      </c>
      <c r="BC44" s="159" t="e">
        <f t="shared" si="175"/>
        <v>#NUM!</v>
      </c>
      <c r="BD44" s="159" t="e">
        <f t="shared" si="176"/>
        <v>#NUM!</v>
      </c>
      <c r="BE44" s="159" t="e">
        <f t="shared" si="177"/>
        <v>#NUM!</v>
      </c>
      <c r="BF44" s="159" t="e">
        <f t="shared" si="178"/>
        <v>#NUM!</v>
      </c>
      <c r="BG44" s="159" t="e">
        <f t="shared" si="179"/>
        <v>#NUM!</v>
      </c>
      <c r="BH44" s="159" t="e">
        <f t="shared" si="180"/>
        <v>#NUM!</v>
      </c>
      <c r="BI44" s="159" t="e">
        <f t="shared" si="181"/>
        <v>#NUM!</v>
      </c>
      <c r="BJ44" s="159" t="e">
        <f t="shared" si="182"/>
        <v>#NUM!</v>
      </c>
      <c r="BK44" s="159" t="e">
        <f t="shared" si="183"/>
        <v>#NUM!</v>
      </c>
      <c r="BL44" s="159" t="e">
        <f t="shared" si="184"/>
        <v>#NUM!</v>
      </c>
      <c r="BM44" s="159" t="e">
        <f t="shared" si="185"/>
        <v>#NUM!</v>
      </c>
      <c r="BN44" s="159" t="e">
        <f t="shared" si="186"/>
        <v>#NUM!</v>
      </c>
      <c r="BO44" s="159" t="e">
        <f t="shared" si="187"/>
        <v>#NUM!</v>
      </c>
      <c r="BP44" s="159" t="e">
        <f t="shared" si="188"/>
        <v>#NUM!</v>
      </c>
      <c r="BQ44" s="159" t="e">
        <f t="shared" si="189"/>
        <v>#NUM!</v>
      </c>
      <c r="BR44" s="159" t="e">
        <f t="shared" si="190"/>
        <v>#NUM!</v>
      </c>
      <c r="BS44" s="159" t="e">
        <f t="shared" si="191"/>
        <v>#NUM!</v>
      </c>
      <c r="BT44" s="159" t="e">
        <f t="shared" si="192"/>
        <v>#NUM!</v>
      </c>
      <c r="BU44" s="159" t="e">
        <f t="shared" si="193"/>
        <v>#NUM!</v>
      </c>
      <c r="BV44" s="159" t="e">
        <f t="shared" si="194"/>
        <v>#NUM!</v>
      </c>
      <c r="BW44" s="159"/>
      <c r="BX44" s="159"/>
      <c r="BY44" s="159"/>
      <c r="BZ44" s="159"/>
      <c r="CA44" s="159"/>
      <c r="CB44" s="159" t="e">
        <f t="shared" si="195"/>
        <v>#NUM!</v>
      </c>
      <c r="CC44" s="159" t="e">
        <f t="shared" si="196"/>
        <v>#NUM!</v>
      </c>
      <c r="CD44" s="159" t="e">
        <f t="shared" si="197"/>
        <v>#NUM!</v>
      </c>
      <c r="CE44" s="159" t="e">
        <f t="shared" si="198"/>
        <v>#NUM!</v>
      </c>
      <c r="CF44" s="159" t="e">
        <f t="shared" si="199"/>
        <v>#NUM!</v>
      </c>
      <c r="CG44" s="159" t="e">
        <f t="shared" si="200"/>
        <v>#NUM!</v>
      </c>
      <c r="CH44" s="159" t="e">
        <f t="shared" si="201"/>
        <v>#NUM!</v>
      </c>
      <c r="CI44" s="159" t="e">
        <f t="shared" si="202"/>
        <v>#NUM!</v>
      </c>
    </row>
    <row r="45" spans="1:87" x14ac:dyDescent="0.25">
      <c r="F45" s="317">
        <v>42857</v>
      </c>
      <c r="G45" s="530"/>
      <c r="H45" s="531"/>
      <c r="I45" s="371"/>
      <c r="J45" s="163"/>
      <c r="K45" s="163"/>
      <c r="L45" s="163"/>
      <c r="M45" s="163"/>
      <c r="N45" s="163"/>
      <c r="O45" s="163"/>
      <c r="P45" s="163"/>
      <c r="Q45" s="163">
        <f t="shared" si="137"/>
        <v>0.375</v>
      </c>
      <c r="R45" s="163" t="e">
        <f t="shared" si="138"/>
        <v>#NUM!</v>
      </c>
      <c r="S45" s="163">
        <f t="shared" si="139"/>
        <v>0</v>
      </c>
      <c r="T45" s="163">
        <f t="shared" si="140"/>
        <v>0</v>
      </c>
      <c r="U45" s="163" t="e">
        <f t="shared" ca="1" si="141"/>
        <v>#NUM!</v>
      </c>
      <c r="V45" s="159" t="e">
        <f t="shared" si="142"/>
        <v>#NUM!</v>
      </c>
      <c r="W45" s="159" t="e">
        <f t="shared" si="143"/>
        <v>#NUM!</v>
      </c>
      <c r="X45" s="159" t="e">
        <f t="shared" si="144"/>
        <v>#NUM!</v>
      </c>
      <c r="Y45" s="159" t="e">
        <f t="shared" si="145"/>
        <v>#NUM!</v>
      </c>
      <c r="Z45" s="159" t="e">
        <f t="shared" si="146"/>
        <v>#NUM!</v>
      </c>
      <c r="AA45" s="159" t="e">
        <f t="shared" si="147"/>
        <v>#NUM!</v>
      </c>
      <c r="AB45" s="159" t="e">
        <f t="shared" si="148"/>
        <v>#NUM!</v>
      </c>
      <c r="AC45" s="159" t="e">
        <f t="shared" si="149"/>
        <v>#NUM!</v>
      </c>
      <c r="AD45" s="159" t="e">
        <f t="shared" si="150"/>
        <v>#NUM!</v>
      </c>
      <c r="AE45" s="159" t="e">
        <f t="shared" si="151"/>
        <v>#NUM!</v>
      </c>
      <c r="AF45" s="159" t="e">
        <f t="shared" si="152"/>
        <v>#NUM!</v>
      </c>
      <c r="AG45" s="387" t="e">
        <f t="shared" si="153"/>
        <v>#NUM!</v>
      </c>
      <c r="AH45" s="159" t="e">
        <f t="shared" si="154"/>
        <v>#NUM!</v>
      </c>
      <c r="AI45" s="159" t="e">
        <f t="shared" si="155"/>
        <v>#NUM!</v>
      </c>
      <c r="AJ45" s="387" t="e">
        <f t="shared" si="156"/>
        <v>#NUM!</v>
      </c>
      <c r="AK45" s="159" t="e">
        <f t="shared" si="157"/>
        <v>#NUM!</v>
      </c>
      <c r="AL45" s="159" t="e">
        <f t="shared" si="158"/>
        <v>#NUM!</v>
      </c>
      <c r="AM45" s="159" t="e">
        <f t="shared" si="159"/>
        <v>#NUM!</v>
      </c>
      <c r="AN45" s="159" t="e">
        <f t="shared" si="160"/>
        <v>#NUM!</v>
      </c>
      <c r="AO45" s="159" t="e">
        <f t="shared" si="161"/>
        <v>#NUM!</v>
      </c>
      <c r="AP45" s="159" t="e">
        <f t="shared" si="162"/>
        <v>#NUM!</v>
      </c>
      <c r="AQ45" s="159" t="e">
        <f t="shared" si="163"/>
        <v>#NUM!</v>
      </c>
      <c r="AR45" s="159" t="e">
        <f t="shared" si="164"/>
        <v>#NUM!</v>
      </c>
      <c r="AS45" s="159" t="e">
        <f t="shared" si="165"/>
        <v>#NUM!</v>
      </c>
      <c r="AT45" s="159" t="e">
        <f t="shared" si="166"/>
        <v>#NUM!</v>
      </c>
      <c r="AU45" s="159" t="e">
        <f t="shared" si="167"/>
        <v>#NUM!</v>
      </c>
      <c r="AV45" s="159" t="e">
        <f t="shared" si="168"/>
        <v>#NUM!</v>
      </c>
      <c r="AW45" s="159" t="e">
        <f t="shared" si="169"/>
        <v>#NUM!</v>
      </c>
      <c r="AX45" s="159" t="e">
        <f t="shared" si="170"/>
        <v>#NUM!</v>
      </c>
      <c r="AY45" s="159" t="e">
        <f t="shared" si="171"/>
        <v>#NUM!</v>
      </c>
      <c r="AZ45" s="159" t="e">
        <f t="shared" si="172"/>
        <v>#NUM!</v>
      </c>
      <c r="BA45" s="159" t="e">
        <f t="shared" si="173"/>
        <v>#NUM!</v>
      </c>
      <c r="BB45" s="159" t="e">
        <f t="shared" si="174"/>
        <v>#NUM!</v>
      </c>
      <c r="BC45" s="159" t="e">
        <f t="shared" si="175"/>
        <v>#NUM!</v>
      </c>
      <c r="BD45" s="159" t="e">
        <f t="shared" si="176"/>
        <v>#NUM!</v>
      </c>
      <c r="BE45" s="159" t="e">
        <f t="shared" si="177"/>
        <v>#NUM!</v>
      </c>
      <c r="BF45" s="159" t="e">
        <f t="shared" si="178"/>
        <v>#NUM!</v>
      </c>
      <c r="BG45" s="159" t="e">
        <f t="shared" si="179"/>
        <v>#NUM!</v>
      </c>
      <c r="BH45" s="159" t="e">
        <f t="shared" si="180"/>
        <v>#NUM!</v>
      </c>
      <c r="BI45" s="159" t="e">
        <f t="shared" si="181"/>
        <v>#NUM!</v>
      </c>
      <c r="BJ45" s="159" t="e">
        <f t="shared" si="182"/>
        <v>#NUM!</v>
      </c>
      <c r="BK45" s="159" t="e">
        <f t="shared" si="183"/>
        <v>#NUM!</v>
      </c>
      <c r="BL45" s="159" t="e">
        <f t="shared" si="184"/>
        <v>#NUM!</v>
      </c>
      <c r="BM45" s="159" t="e">
        <f t="shared" si="185"/>
        <v>#NUM!</v>
      </c>
      <c r="BN45" s="159" t="e">
        <f t="shared" si="186"/>
        <v>#NUM!</v>
      </c>
      <c r="BO45" s="159" t="e">
        <f t="shared" si="187"/>
        <v>#NUM!</v>
      </c>
      <c r="BP45" s="159" t="e">
        <f t="shared" si="188"/>
        <v>#NUM!</v>
      </c>
      <c r="BQ45" s="159" t="e">
        <f t="shared" si="189"/>
        <v>#NUM!</v>
      </c>
      <c r="BR45" s="159" t="e">
        <f t="shared" si="190"/>
        <v>#NUM!</v>
      </c>
      <c r="BS45" s="159" t="e">
        <f t="shared" si="191"/>
        <v>#NUM!</v>
      </c>
      <c r="BT45" s="159" t="e">
        <f t="shared" si="192"/>
        <v>#NUM!</v>
      </c>
      <c r="BU45" s="159" t="e">
        <f t="shared" si="193"/>
        <v>#NUM!</v>
      </c>
      <c r="BV45" s="159" t="e">
        <f t="shared" si="194"/>
        <v>#NUM!</v>
      </c>
      <c r="BW45" s="159"/>
      <c r="BX45" s="159"/>
      <c r="BY45" s="159"/>
      <c r="BZ45" s="159"/>
      <c r="CA45" s="159"/>
      <c r="CB45" s="159" t="e">
        <f t="shared" si="195"/>
        <v>#NUM!</v>
      </c>
      <c r="CC45" s="159" t="e">
        <f t="shared" si="196"/>
        <v>#NUM!</v>
      </c>
      <c r="CD45" s="159" t="e">
        <f t="shared" si="197"/>
        <v>#NUM!</v>
      </c>
      <c r="CE45" s="159" t="e">
        <f t="shared" si="198"/>
        <v>#NUM!</v>
      </c>
      <c r="CF45" s="159" t="e">
        <f t="shared" si="199"/>
        <v>#NUM!</v>
      </c>
      <c r="CG45" s="159" t="e">
        <f t="shared" si="200"/>
        <v>#NUM!</v>
      </c>
      <c r="CH45" s="159" t="e">
        <f t="shared" si="201"/>
        <v>#NUM!</v>
      </c>
      <c r="CI45" s="159" t="e">
        <f t="shared" si="202"/>
        <v>#NUM!</v>
      </c>
    </row>
    <row r="46" spans="1:87" x14ac:dyDescent="0.25">
      <c r="F46" s="317">
        <v>42857</v>
      </c>
      <c r="G46" s="530"/>
      <c r="H46" s="531"/>
      <c r="I46" s="371"/>
      <c r="J46" s="163"/>
      <c r="K46" s="163"/>
      <c r="L46" s="163"/>
      <c r="M46" s="163"/>
      <c r="N46" s="163"/>
      <c r="O46" s="163"/>
      <c r="P46" s="163"/>
      <c r="Q46" s="163">
        <f t="shared" si="137"/>
        <v>0.375</v>
      </c>
      <c r="R46" s="163" t="e">
        <f t="shared" si="138"/>
        <v>#NUM!</v>
      </c>
      <c r="S46" s="163">
        <f t="shared" si="139"/>
        <v>0</v>
      </c>
      <c r="T46" s="163">
        <f t="shared" si="140"/>
        <v>0</v>
      </c>
      <c r="U46" s="163" t="e">
        <f t="shared" ca="1" si="141"/>
        <v>#NUM!</v>
      </c>
      <c r="V46" s="159" t="e">
        <f t="shared" si="142"/>
        <v>#NUM!</v>
      </c>
      <c r="W46" s="159" t="e">
        <f t="shared" si="143"/>
        <v>#NUM!</v>
      </c>
      <c r="X46" s="159" t="e">
        <f t="shared" si="144"/>
        <v>#NUM!</v>
      </c>
      <c r="Y46" s="159" t="e">
        <f t="shared" si="145"/>
        <v>#NUM!</v>
      </c>
      <c r="Z46" s="159" t="e">
        <f t="shared" si="146"/>
        <v>#NUM!</v>
      </c>
      <c r="AA46" s="159" t="e">
        <f t="shared" si="147"/>
        <v>#NUM!</v>
      </c>
      <c r="AB46" s="159" t="e">
        <f t="shared" si="148"/>
        <v>#NUM!</v>
      </c>
      <c r="AC46" s="159" t="e">
        <f t="shared" si="149"/>
        <v>#NUM!</v>
      </c>
      <c r="AD46" s="159" t="e">
        <f t="shared" si="150"/>
        <v>#NUM!</v>
      </c>
      <c r="AE46" s="159" t="e">
        <f t="shared" si="151"/>
        <v>#NUM!</v>
      </c>
      <c r="AF46" s="159" t="e">
        <f t="shared" si="152"/>
        <v>#NUM!</v>
      </c>
      <c r="AG46" s="387" t="e">
        <f t="shared" si="153"/>
        <v>#NUM!</v>
      </c>
      <c r="AH46" s="159" t="e">
        <f t="shared" si="154"/>
        <v>#NUM!</v>
      </c>
      <c r="AI46" s="159" t="e">
        <f t="shared" si="155"/>
        <v>#NUM!</v>
      </c>
      <c r="AJ46" s="387" t="e">
        <f t="shared" si="156"/>
        <v>#NUM!</v>
      </c>
      <c r="AK46" s="159" t="e">
        <f t="shared" si="157"/>
        <v>#NUM!</v>
      </c>
      <c r="AL46" s="159" t="e">
        <f t="shared" si="158"/>
        <v>#NUM!</v>
      </c>
      <c r="AM46" s="159" t="e">
        <f t="shared" si="159"/>
        <v>#NUM!</v>
      </c>
      <c r="AN46" s="159" t="e">
        <f t="shared" si="160"/>
        <v>#NUM!</v>
      </c>
      <c r="AO46" s="159" t="e">
        <f t="shared" si="161"/>
        <v>#NUM!</v>
      </c>
      <c r="AP46" s="159" t="e">
        <f t="shared" si="162"/>
        <v>#NUM!</v>
      </c>
      <c r="AQ46" s="159" t="e">
        <f t="shared" si="163"/>
        <v>#NUM!</v>
      </c>
      <c r="AR46" s="159" t="e">
        <f t="shared" si="164"/>
        <v>#NUM!</v>
      </c>
      <c r="AS46" s="159" t="e">
        <f t="shared" si="165"/>
        <v>#NUM!</v>
      </c>
      <c r="AT46" s="159" t="e">
        <f t="shared" si="166"/>
        <v>#NUM!</v>
      </c>
      <c r="AU46" s="159" t="e">
        <f t="shared" si="167"/>
        <v>#NUM!</v>
      </c>
      <c r="AV46" s="159" t="e">
        <f t="shared" si="168"/>
        <v>#NUM!</v>
      </c>
      <c r="AW46" s="159" t="e">
        <f t="shared" si="169"/>
        <v>#NUM!</v>
      </c>
      <c r="AX46" s="159" t="e">
        <f t="shared" si="170"/>
        <v>#NUM!</v>
      </c>
      <c r="AY46" s="159" t="e">
        <f t="shared" si="171"/>
        <v>#NUM!</v>
      </c>
      <c r="AZ46" s="159" t="e">
        <f t="shared" si="172"/>
        <v>#NUM!</v>
      </c>
      <c r="BA46" s="159" t="e">
        <f t="shared" si="173"/>
        <v>#NUM!</v>
      </c>
      <c r="BB46" s="159" t="e">
        <f t="shared" si="174"/>
        <v>#NUM!</v>
      </c>
      <c r="BC46" s="159" t="e">
        <f t="shared" si="175"/>
        <v>#NUM!</v>
      </c>
      <c r="BD46" s="159" t="e">
        <f t="shared" si="176"/>
        <v>#NUM!</v>
      </c>
      <c r="BE46" s="159" t="e">
        <f t="shared" si="177"/>
        <v>#NUM!</v>
      </c>
      <c r="BF46" s="159" t="e">
        <f t="shared" si="178"/>
        <v>#NUM!</v>
      </c>
      <c r="BG46" s="159" t="e">
        <f t="shared" si="179"/>
        <v>#NUM!</v>
      </c>
      <c r="BH46" s="159" t="e">
        <f t="shared" si="180"/>
        <v>#NUM!</v>
      </c>
      <c r="BI46" s="159" t="e">
        <f t="shared" si="181"/>
        <v>#NUM!</v>
      </c>
      <c r="BJ46" s="159" t="e">
        <f t="shared" si="182"/>
        <v>#NUM!</v>
      </c>
      <c r="BK46" s="159" t="e">
        <f t="shared" si="183"/>
        <v>#NUM!</v>
      </c>
      <c r="BL46" s="159" t="e">
        <f t="shared" si="184"/>
        <v>#NUM!</v>
      </c>
      <c r="BM46" s="159" t="e">
        <f t="shared" si="185"/>
        <v>#NUM!</v>
      </c>
      <c r="BN46" s="159" t="e">
        <f t="shared" si="186"/>
        <v>#NUM!</v>
      </c>
      <c r="BO46" s="159" t="e">
        <f t="shared" si="187"/>
        <v>#NUM!</v>
      </c>
      <c r="BP46" s="159" t="e">
        <f t="shared" si="188"/>
        <v>#NUM!</v>
      </c>
      <c r="BQ46" s="159" t="e">
        <f t="shared" si="189"/>
        <v>#NUM!</v>
      </c>
      <c r="BR46" s="159" t="e">
        <f t="shared" si="190"/>
        <v>#NUM!</v>
      </c>
      <c r="BS46" s="159" t="e">
        <f t="shared" si="191"/>
        <v>#NUM!</v>
      </c>
      <c r="BT46" s="159" t="e">
        <f t="shared" si="192"/>
        <v>#NUM!</v>
      </c>
      <c r="BU46" s="159" t="e">
        <f t="shared" si="193"/>
        <v>#NUM!</v>
      </c>
      <c r="BV46" s="159" t="e">
        <f t="shared" si="194"/>
        <v>#NUM!</v>
      </c>
      <c r="BW46" s="159"/>
      <c r="BX46" s="159"/>
      <c r="BY46" s="159"/>
      <c r="BZ46" s="159"/>
      <c r="CA46" s="159"/>
      <c r="CB46" s="159" t="e">
        <f t="shared" si="195"/>
        <v>#NUM!</v>
      </c>
      <c r="CC46" s="159" t="e">
        <f t="shared" si="196"/>
        <v>#NUM!</v>
      </c>
      <c r="CD46" s="159" t="e">
        <f t="shared" si="197"/>
        <v>#NUM!</v>
      </c>
      <c r="CE46" s="159" t="e">
        <f t="shared" si="198"/>
        <v>#NUM!</v>
      </c>
      <c r="CF46" s="159" t="e">
        <f t="shared" si="199"/>
        <v>#NUM!</v>
      </c>
      <c r="CG46" s="159" t="e">
        <f t="shared" si="200"/>
        <v>#NUM!</v>
      </c>
      <c r="CH46" s="159" t="e">
        <f t="shared" si="201"/>
        <v>#NUM!</v>
      </c>
      <c r="CI46" s="159" t="e">
        <f t="shared" si="202"/>
        <v>#NUM!</v>
      </c>
    </row>
    <row r="47" spans="1:87" x14ac:dyDescent="0.25">
      <c r="F47" s="317">
        <v>42857</v>
      </c>
      <c r="G47" s="530"/>
      <c r="H47" s="531"/>
      <c r="I47" s="371"/>
      <c r="J47" s="163"/>
      <c r="K47" s="163"/>
      <c r="L47" s="163"/>
      <c r="M47" s="163"/>
      <c r="N47" s="163"/>
      <c r="O47" s="163"/>
      <c r="P47" s="163"/>
      <c r="Q47" s="163">
        <f t="shared" si="137"/>
        <v>0.375</v>
      </c>
      <c r="R47" s="163" t="e">
        <f t="shared" si="138"/>
        <v>#NUM!</v>
      </c>
      <c r="S47" s="163">
        <f t="shared" si="139"/>
        <v>0</v>
      </c>
      <c r="T47" s="163">
        <f t="shared" si="140"/>
        <v>0</v>
      </c>
      <c r="U47" s="163" t="e">
        <f t="shared" ca="1" si="141"/>
        <v>#NUM!</v>
      </c>
      <c r="V47" s="159" t="e">
        <f t="shared" si="142"/>
        <v>#NUM!</v>
      </c>
      <c r="W47" s="159" t="e">
        <f t="shared" si="143"/>
        <v>#NUM!</v>
      </c>
      <c r="X47" s="159" t="e">
        <f t="shared" si="144"/>
        <v>#NUM!</v>
      </c>
      <c r="Y47" s="159" t="e">
        <f t="shared" si="145"/>
        <v>#NUM!</v>
      </c>
      <c r="Z47" s="159" t="e">
        <f t="shared" si="146"/>
        <v>#NUM!</v>
      </c>
      <c r="AA47" s="159" t="e">
        <f t="shared" si="147"/>
        <v>#NUM!</v>
      </c>
      <c r="AB47" s="159" t="e">
        <f t="shared" si="148"/>
        <v>#NUM!</v>
      </c>
      <c r="AC47" s="159" t="e">
        <f t="shared" si="149"/>
        <v>#NUM!</v>
      </c>
      <c r="AD47" s="159" t="e">
        <f t="shared" si="150"/>
        <v>#NUM!</v>
      </c>
      <c r="AE47" s="159" t="e">
        <f t="shared" si="151"/>
        <v>#NUM!</v>
      </c>
      <c r="AF47" s="159" t="e">
        <f t="shared" si="152"/>
        <v>#NUM!</v>
      </c>
      <c r="AG47" s="387" t="e">
        <f t="shared" si="153"/>
        <v>#NUM!</v>
      </c>
      <c r="AH47" s="159" t="e">
        <f t="shared" si="154"/>
        <v>#NUM!</v>
      </c>
      <c r="AI47" s="159" t="e">
        <f t="shared" si="155"/>
        <v>#NUM!</v>
      </c>
      <c r="AJ47" s="387" t="e">
        <f t="shared" si="156"/>
        <v>#NUM!</v>
      </c>
      <c r="AK47" s="159" t="e">
        <f t="shared" si="157"/>
        <v>#NUM!</v>
      </c>
      <c r="AL47" s="159" t="e">
        <f t="shared" si="158"/>
        <v>#NUM!</v>
      </c>
      <c r="AM47" s="159" t="e">
        <f t="shared" si="159"/>
        <v>#NUM!</v>
      </c>
      <c r="AN47" s="159" t="e">
        <f t="shared" si="160"/>
        <v>#NUM!</v>
      </c>
      <c r="AO47" s="159" t="e">
        <f t="shared" si="161"/>
        <v>#NUM!</v>
      </c>
      <c r="AP47" s="159" t="e">
        <f t="shared" si="162"/>
        <v>#NUM!</v>
      </c>
      <c r="AQ47" s="159" t="e">
        <f t="shared" si="163"/>
        <v>#NUM!</v>
      </c>
      <c r="AR47" s="159" t="e">
        <f t="shared" si="164"/>
        <v>#NUM!</v>
      </c>
      <c r="AS47" s="159" t="e">
        <f t="shared" si="165"/>
        <v>#NUM!</v>
      </c>
      <c r="AT47" s="159" t="e">
        <f t="shared" si="166"/>
        <v>#NUM!</v>
      </c>
      <c r="AU47" s="159" t="e">
        <f t="shared" si="167"/>
        <v>#NUM!</v>
      </c>
      <c r="AV47" s="159" t="e">
        <f t="shared" si="168"/>
        <v>#NUM!</v>
      </c>
      <c r="AW47" s="159" t="e">
        <f t="shared" si="169"/>
        <v>#NUM!</v>
      </c>
      <c r="AX47" s="159" t="e">
        <f t="shared" si="170"/>
        <v>#NUM!</v>
      </c>
      <c r="AY47" s="159" t="e">
        <f t="shared" si="171"/>
        <v>#NUM!</v>
      </c>
      <c r="AZ47" s="159" t="e">
        <f t="shared" si="172"/>
        <v>#NUM!</v>
      </c>
      <c r="BA47" s="159" t="e">
        <f t="shared" si="173"/>
        <v>#NUM!</v>
      </c>
      <c r="BB47" s="159" t="e">
        <f t="shared" si="174"/>
        <v>#NUM!</v>
      </c>
      <c r="BC47" s="159" t="e">
        <f t="shared" si="175"/>
        <v>#NUM!</v>
      </c>
      <c r="BD47" s="159" t="e">
        <f t="shared" si="176"/>
        <v>#NUM!</v>
      </c>
      <c r="BE47" s="159" t="e">
        <f t="shared" si="177"/>
        <v>#NUM!</v>
      </c>
      <c r="BF47" s="159" t="e">
        <f t="shared" si="178"/>
        <v>#NUM!</v>
      </c>
      <c r="BG47" s="159" t="e">
        <f t="shared" si="179"/>
        <v>#NUM!</v>
      </c>
      <c r="BH47" s="159" t="e">
        <f t="shared" si="180"/>
        <v>#NUM!</v>
      </c>
      <c r="BI47" s="159" t="e">
        <f t="shared" si="181"/>
        <v>#NUM!</v>
      </c>
      <c r="BJ47" s="159" t="e">
        <f t="shared" si="182"/>
        <v>#NUM!</v>
      </c>
      <c r="BK47" s="159" t="e">
        <f t="shared" si="183"/>
        <v>#NUM!</v>
      </c>
      <c r="BL47" s="159" t="e">
        <f t="shared" si="184"/>
        <v>#NUM!</v>
      </c>
      <c r="BM47" s="159" t="e">
        <f t="shared" si="185"/>
        <v>#NUM!</v>
      </c>
      <c r="BN47" s="159" t="e">
        <f t="shared" si="186"/>
        <v>#NUM!</v>
      </c>
      <c r="BO47" s="159" t="e">
        <f t="shared" si="187"/>
        <v>#NUM!</v>
      </c>
      <c r="BP47" s="159" t="e">
        <f t="shared" si="188"/>
        <v>#NUM!</v>
      </c>
      <c r="BQ47" s="159" t="e">
        <f t="shared" si="189"/>
        <v>#NUM!</v>
      </c>
      <c r="BR47" s="159" t="e">
        <f t="shared" si="190"/>
        <v>#NUM!</v>
      </c>
      <c r="BS47" s="159" t="e">
        <f t="shared" si="191"/>
        <v>#NUM!</v>
      </c>
      <c r="BT47" s="159" t="e">
        <f t="shared" si="192"/>
        <v>#NUM!</v>
      </c>
      <c r="BU47" s="159" t="e">
        <f t="shared" si="193"/>
        <v>#NUM!</v>
      </c>
      <c r="BV47" s="159" t="e">
        <f t="shared" si="194"/>
        <v>#NUM!</v>
      </c>
      <c r="BW47" s="159"/>
      <c r="BX47" s="159"/>
      <c r="BY47" s="159"/>
      <c r="BZ47" s="159"/>
      <c r="CA47" s="159"/>
      <c r="CB47" s="159" t="e">
        <f t="shared" si="195"/>
        <v>#NUM!</v>
      </c>
      <c r="CC47" s="159" t="e">
        <f t="shared" si="196"/>
        <v>#NUM!</v>
      </c>
      <c r="CD47" s="159" t="e">
        <f t="shared" si="197"/>
        <v>#NUM!</v>
      </c>
      <c r="CE47" s="159" t="e">
        <f t="shared" si="198"/>
        <v>#NUM!</v>
      </c>
      <c r="CF47" s="159" t="e">
        <f t="shared" si="199"/>
        <v>#NUM!</v>
      </c>
      <c r="CG47" s="159" t="e">
        <f t="shared" si="200"/>
        <v>#NUM!</v>
      </c>
      <c r="CH47" s="159" t="e">
        <f t="shared" si="201"/>
        <v>#NUM!</v>
      </c>
      <c r="CI47" s="159" t="e">
        <f t="shared" si="202"/>
        <v>#NUM!</v>
      </c>
    </row>
    <row r="48" spans="1:87" x14ac:dyDescent="0.25">
      <c r="F48" s="317">
        <v>42857</v>
      </c>
      <c r="G48" s="530"/>
      <c r="H48" s="531"/>
      <c r="I48" s="371"/>
      <c r="J48" s="163"/>
      <c r="K48" s="163"/>
      <c r="L48" s="163"/>
      <c r="M48" s="163"/>
      <c r="N48" s="163"/>
      <c r="O48" s="163"/>
      <c r="P48" s="163"/>
      <c r="Q48" s="163">
        <f t="shared" si="137"/>
        <v>0.375</v>
      </c>
      <c r="R48" s="163" t="e">
        <f t="shared" si="138"/>
        <v>#NUM!</v>
      </c>
      <c r="S48" s="163">
        <f t="shared" si="139"/>
        <v>0</v>
      </c>
      <c r="T48" s="163">
        <f t="shared" si="140"/>
        <v>0</v>
      </c>
      <c r="U48" s="163" t="e">
        <f t="shared" ca="1" si="141"/>
        <v>#NUM!</v>
      </c>
      <c r="V48" s="159" t="e">
        <f t="shared" si="142"/>
        <v>#NUM!</v>
      </c>
      <c r="W48" s="159" t="e">
        <f t="shared" si="143"/>
        <v>#NUM!</v>
      </c>
      <c r="X48" s="159" t="e">
        <f t="shared" si="144"/>
        <v>#NUM!</v>
      </c>
      <c r="Y48" s="159" t="e">
        <f t="shared" si="145"/>
        <v>#NUM!</v>
      </c>
      <c r="Z48" s="159" t="e">
        <f t="shared" si="146"/>
        <v>#NUM!</v>
      </c>
      <c r="AA48" s="159" t="e">
        <f t="shared" si="147"/>
        <v>#NUM!</v>
      </c>
      <c r="AB48" s="159" t="e">
        <f t="shared" si="148"/>
        <v>#NUM!</v>
      </c>
      <c r="AC48" s="159" t="e">
        <f t="shared" si="149"/>
        <v>#NUM!</v>
      </c>
      <c r="AD48" s="159" t="e">
        <f t="shared" si="150"/>
        <v>#NUM!</v>
      </c>
      <c r="AE48" s="159" t="e">
        <f t="shared" si="151"/>
        <v>#NUM!</v>
      </c>
      <c r="AF48" s="159" t="e">
        <f t="shared" si="152"/>
        <v>#NUM!</v>
      </c>
      <c r="AG48" s="387" t="e">
        <f t="shared" si="153"/>
        <v>#NUM!</v>
      </c>
      <c r="AH48" s="159" t="e">
        <f t="shared" si="154"/>
        <v>#NUM!</v>
      </c>
      <c r="AI48" s="159" t="e">
        <f t="shared" si="155"/>
        <v>#NUM!</v>
      </c>
      <c r="AJ48" s="387" t="e">
        <f t="shared" si="156"/>
        <v>#NUM!</v>
      </c>
      <c r="AK48" s="159" t="e">
        <f t="shared" si="157"/>
        <v>#NUM!</v>
      </c>
      <c r="AL48" s="159" t="e">
        <f t="shared" si="158"/>
        <v>#NUM!</v>
      </c>
      <c r="AM48" s="159" t="e">
        <f t="shared" si="159"/>
        <v>#NUM!</v>
      </c>
      <c r="AN48" s="159" t="e">
        <f t="shared" si="160"/>
        <v>#NUM!</v>
      </c>
      <c r="AO48" s="159" t="e">
        <f t="shared" si="161"/>
        <v>#NUM!</v>
      </c>
      <c r="AP48" s="159" t="e">
        <f t="shared" si="162"/>
        <v>#NUM!</v>
      </c>
      <c r="AQ48" s="159" t="e">
        <f t="shared" si="163"/>
        <v>#NUM!</v>
      </c>
      <c r="AR48" s="159" t="e">
        <f t="shared" si="164"/>
        <v>#NUM!</v>
      </c>
      <c r="AS48" s="159" t="e">
        <f t="shared" si="165"/>
        <v>#NUM!</v>
      </c>
      <c r="AT48" s="159" t="e">
        <f t="shared" si="166"/>
        <v>#NUM!</v>
      </c>
      <c r="AU48" s="159" t="e">
        <f t="shared" si="167"/>
        <v>#NUM!</v>
      </c>
      <c r="AV48" s="159" t="e">
        <f t="shared" si="168"/>
        <v>#NUM!</v>
      </c>
      <c r="AW48" s="159" t="e">
        <f t="shared" si="169"/>
        <v>#NUM!</v>
      </c>
      <c r="AX48" s="159" t="e">
        <f t="shared" si="170"/>
        <v>#NUM!</v>
      </c>
      <c r="AY48" s="159" t="e">
        <f t="shared" si="171"/>
        <v>#NUM!</v>
      </c>
      <c r="AZ48" s="159" t="e">
        <f t="shared" si="172"/>
        <v>#NUM!</v>
      </c>
      <c r="BA48" s="159" t="e">
        <f t="shared" si="173"/>
        <v>#NUM!</v>
      </c>
      <c r="BB48" s="159" t="e">
        <f t="shared" si="174"/>
        <v>#NUM!</v>
      </c>
      <c r="BC48" s="159" t="e">
        <f t="shared" si="175"/>
        <v>#NUM!</v>
      </c>
      <c r="BD48" s="159" t="e">
        <f t="shared" si="176"/>
        <v>#NUM!</v>
      </c>
      <c r="BE48" s="159" t="e">
        <f t="shared" si="177"/>
        <v>#NUM!</v>
      </c>
      <c r="BF48" s="159" t="e">
        <f t="shared" si="178"/>
        <v>#NUM!</v>
      </c>
      <c r="BG48" s="159" t="e">
        <f t="shared" si="179"/>
        <v>#NUM!</v>
      </c>
      <c r="BH48" s="159" t="e">
        <f t="shared" si="180"/>
        <v>#NUM!</v>
      </c>
      <c r="BI48" s="159" t="e">
        <f t="shared" si="181"/>
        <v>#NUM!</v>
      </c>
      <c r="BJ48" s="159" t="e">
        <f t="shared" si="182"/>
        <v>#NUM!</v>
      </c>
      <c r="BK48" s="159" t="e">
        <f t="shared" si="183"/>
        <v>#NUM!</v>
      </c>
      <c r="BL48" s="159" t="e">
        <f t="shared" si="184"/>
        <v>#NUM!</v>
      </c>
      <c r="BM48" s="159" t="e">
        <f t="shared" si="185"/>
        <v>#NUM!</v>
      </c>
      <c r="BN48" s="159" t="e">
        <f t="shared" si="186"/>
        <v>#NUM!</v>
      </c>
      <c r="BO48" s="159" t="e">
        <f t="shared" si="187"/>
        <v>#NUM!</v>
      </c>
      <c r="BP48" s="159" t="e">
        <f t="shared" si="188"/>
        <v>#NUM!</v>
      </c>
      <c r="BQ48" s="159" t="e">
        <f t="shared" si="189"/>
        <v>#NUM!</v>
      </c>
      <c r="BR48" s="159" t="e">
        <f t="shared" si="190"/>
        <v>#NUM!</v>
      </c>
      <c r="BS48" s="159" t="e">
        <f t="shared" si="191"/>
        <v>#NUM!</v>
      </c>
      <c r="BT48" s="159" t="e">
        <f t="shared" si="192"/>
        <v>#NUM!</v>
      </c>
      <c r="BU48" s="159" t="e">
        <f t="shared" si="193"/>
        <v>#NUM!</v>
      </c>
      <c r="BV48" s="159" t="e">
        <f t="shared" si="194"/>
        <v>#NUM!</v>
      </c>
      <c r="BW48" s="159"/>
      <c r="BX48" s="159"/>
      <c r="BY48" s="159"/>
      <c r="BZ48" s="159"/>
      <c r="CA48" s="159"/>
      <c r="CB48" s="159" t="e">
        <f t="shared" si="195"/>
        <v>#NUM!</v>
      </c>
      <c r="CC48" s="159" t="e">
        <f t="shared" si="196"/>
        <v>#NUM!</v>
      </c>
      <c r="CD48" s="159" t="e">
        <f t="shared" si="197"/>
        <v>#NUM!</v>
      </c>
      <c r="CE48" s="159" t="e">
        <f t="shared" si="198"/>
        <v>#NUM!</v>
      </c>
      <c r="CF48" s="159" t="e">
        <f t="shared" si="199"/>
        <v>#NUM!</v>
      </c>
      <c r="CG48" s="159" t="e">
        <f t="shared" si="200"/>
        <v>#NUM!</v>
      </c>
      <c r="CH48" s="159" t="e">
        <f t="shared" si="201"/>
        <v>#NUM!</v>
      </c>
      <c r="CI48" s="159" t="e">
        <f t="shared" si="202"/>
        <v>#NUM!</v>
      </c>
    </row>
    <row r="49" spans="6:87" x14ac:dyDescent="0.25">
      <c r="F49" s="317">
        <v>42857</v>
      </c>
      <c r="G49" s="530"/>
      <c r="H49" s="531"/>
      <c r="I49" s="371"/>
      <c r="J49" s="163"/>
      <c r="K49" s="163"/>
      <c r="L49" s="163"/>
      <c r="M49" s="163"/>
      <c r="N49" s="163"/>
      <c r="O49" s="163"/>
      <c r="P49" s="163"/>
      <c r="Q49" s="163">
        <f t="shared" si="137"/>
        <v>0.375</v>
      </c>
      <c r="R49" s="163" t="e">
        <f t="shared" si="138"/>
        <v>#NUM!</v>
      </c>
      <c r="S49" s="163">
        <f t="shared" si="139"/>
        <v>0</v>
      </c>
      <c r="T49" s="163">
        <f t="shared" si="140"/>
        <v>0</v>
      </c>
      <c r="U49" s="163" t="e">
        <f t="shared" ca="1" si="141"/>
        <v>#NUM!</v>
      </c>
      <c r="V49" s="159" t="e">
        <f t="shared" si="142"/>
        <v>#NUM!</v>
      </c>
      <c r="W49" s="159" t="e">
        <f t="shared" si="143"/>
        <v>#NUM!</v>
      </c>
      <c r="X49" s="159" t="e">
        <f t="shared" si="144"/>
        <v>#NUM!</v>
      </c>
      <c r="Y49" s="159" t="e">
        <f t="shared" si="145"/>
        <v>#NUM!</v>
      </c>
      <c r="Z49" s="159" t="e">
        <f t="shared" si="146"/>
        <v>#NUM!</v>
      </c>
      <c r="AA49" s="159" t="e">
        <f t="shared" si="147"/>
        <v>#NUM!</v>
      </c>
      <c r="AB49" s="159" t="e">
        <f t="shared" si="148"/>
        <v>#NUM!</v>
      </c>
      <c r="AC49" s="159" t="e">
        <f t="shared" si="149"/>
        <v>#NUM!</v>
      </c>
      <c r="AD49" s="159" t="e">
        <f t="shared" si="150"/>
        <v>#NUM!</v>
      </c>
      <c r="AE49" s="159" t="e">
        <f t="shared" si="151"/>
        <v>#NUM!</v>
      </c>
      <c r="AF49" s="159" t="e">
        <f t="shared" si="152"/>
        <v>#NUM!</v>
      </c>
      <c r="AG49" s="387" t="e">
        <f t="shared" si="153"/>
        <v>#NUM!</v>
      </c>
      <c r="AH49" s="159" t="e">
        <f t="shared" si="154"/>
        <v>#NUM!</v>
      </c>
      <c r="AI49" s="159" t="e">
        <f t="shared" si="155"/>
        <v>#NUM!</v>
      </c>
      <c r="AJ49" s="387" t="e">
        <f t="shared" si="156"/>
        <v>#NUM!</v>
      </c>
      <c r="AK49" s="159" t="e">
        <f t="shared" si="157"/>
        <v>#NUM!</v>
      </c>
      <c r="AL49" s="159" t="e">
        <f t="shared" si="158"/>
        <v>#NUM!</v>
      </c>
      <c r="AM49" s="159" t="e">
        <f t="shared" si="159"/>
        <v>#NUM!</v>
      </c>
      <c r="AN49" s="159" t="e">
        <f t="shared" si="160"/>
        <v>#NUM!</v>
      </c>
      <c r="AO49" s="159" t="e">
        <f t="shared" si="161"/>
        <v>#NUM!</v>
      </c>
      <c r="AP49" s="159" t="e">
        <f t="shared" si="162"/>
        <v>#NUM!</v>
      </c>
      <c r="AQ49" s="159" t="e">
        <f t="shared" si="163"/>
        <v>#NUM!</v>
      </c>
      <c r="AR49" s="159" t="e">
        <f t="shared" si="164"/>
        <v>#NUM!</v>
      </c>
      <c r="AS49" s="159" t="e">
        <f t="shared" si="165"/>
        <v>#NUM!</v>
      </c>
      <c r="AT49" s="159" t="e">
        <f t="shared" si="166"/>
        <v>#NUM!</v>
      </c>
      <c r="AU49" s="159" t="e">
        <f t="shared" si="167"/>
        <v>#NUM!</v>
      </c>
      <c r="AV49" s="159" t="e">
        <f t="shared" si="168"/>
        <v>#NUM!</v>
      </c>
      <c r="AW49" s="159" t="e">
        <f t="shared" si="169"/>
        <v>#NUM!</v>
      </c>
      <c r="AX49" s="159" t="e">
        <f t="shared" si="170"/>
        <v>#NUM!</v>
      </c>
      <c r="AY49" s="159" t="e">
        <f t="shared" si="171"/>
        <v>#NUM!</v>
      </c>
      <c r="AZ49" s="159" t="e">
        <f t="shared" si="172"/>
        <v>#NUM!</v>
      </c>
      <c r="BA49" s="159" t="e">
        <f t="shared" si="173"/>
        <v>#NUM!</v>
      </c>
      <c r="BB49" s="159" t="e">
        <f t="shared" si="174"/>
        <v>#NUM!</v>
      </c>
      <c r="BC49" s="159" t="e">
        <f t="shared" si="175"/>
        <v>#NUM!</v>
      </c>
      <c r="BD49" s="159" t="e">
        <f t="shared" si="176"/>
        <v>#NUM!</v>
      </c>
      <c r="BE49" s="159" t="e">
        <f t="shared" si="177"/>
        <v>#NUM!</v>
      </c>
      <c r="BF49" s="159" t="e">
        <f t="shared" si="178"/>
        <v>#NUM!</v>
      </c>
      <c r="BG49" s="159" t="e">
        <f t="shared" si="179"/>
        <v>#NUM!</v>
      </c>
      <c r="BH49" s="159" t="e">
        <f t="shared" si="180"/>
        <v>#NUM!</v>
      </c>
      <c r="BI49" s="159" t="e">
        <f t="shared" si="181"/>
        <v>#NUM!</v>
      </c>
      <c r="BJ49" s="159" t="e">
        <f t="shared" si="182"/>
        <v>#NUM!</v>
      </c>
      <c r="BK49" s="159" t="e">
        <f t="shared" si="183"/>
        <v>#NUM!</v>
      </c>
      <c r="BL49" s="159" t="e">
        <f t="shared" si="184"/>
        <v>#NUM!</v>
      </c>
      <c r="BM49" s="159" t="e">
        <f t="shared" si="185"/>
        <v>#NUM!</v>
      </c>
      <c r="BN49" s="159" t="e">
        <f t="shared" si="186"/>
        <v>#NUM!</v>
      </c>
      <c r="BO49" s="159" t="e">
        <f t="shared" si="187"/>
        <v>#NUM!</v>
      </c>
      <c r="BP49" s="159" t="e">
        <f t="shared" si="188"/>
        <v>#NUM!</v>
      </c>
      <c r="BQ49" s="159" t="e">
        <f t="shared" si="189"/>
        <v>#NUM!</v>
      </c>
      <c r="BR49" s="159" t="e">
        <f t="shared" si="190"/>
        <v>#NUM!</v>
      </c>
      <c r="BS49" s="159" t="e">
        <f t="shared" si="191"/>
        <v>#NUM!</v>
      </c>
      <c r="BT49" s="159" t="e">
        <f t="shared" si="192"/>
        <v>#NUM!</v>
      </c>
      <c r="BU49" s="159" t="e">
        <f t="shared" si="193"/>
        <v>#NUM!</v>
      </c>
      <c r="BV49" s="159" t="e">
        <f t="shared" si="194"/>
        <v>#NUM!</v>
      </c>
      <c r="BW49" s="159"/>
      <c r="BX49" s="159"/>
      <c r="BY49" s="159"/>
      <c r="BZ49" s="159"/>
      <c r="CA49" s="159"/>
      <c r="CB49" s="159" t="e">
        <f t="shared" si="195"/>
        <v>#NUM!</v>
      </c>
      <c r="CC49" s="159" t="e">
        <f t="shared" si="196"/>
        <v>#NUM!</v>
      </c>
      <c r="CD49" s="159" t="e">
        <f t="shared" si="197"/>
        <v>#NUM!</v>
      </c>
      <c r="CE49" s="159" t="e">
        <f t="shared" si="198"/>
        <v>#NUM!</v>
      </c>
      <c r="CF49" s="159" t="e">
        <f t="shared" si="199"/>
        <v>#NUM!</v>
      </c>
      <c r="CG49" s="159" t="e">
        <f t="shared" si="200"/>
        <v>#NUM!</v>
      </c>
      <c r="CH49" s="159" t="e">
        <f t="shared" si="201"/>
        <v>#NUM!</v>
      </c>
      <c r="CI49" s="159" t="e">
        <f t="shared" si="202"/>
        <v>#NUM!</v>
      </c>
    </row>
    <row r="50" spans="6:87" x14ac:dyDescent="0.25">
      <c r="F50" s="317">
        <v>42857</v>
      </c>
      <c r="G50" s="530"/>
      <c r="H50" s="531"/>
      <c r="I50" s="371"/>
      <c r="J50" s="163"/>
      <c r="K50" s="163"/>
      <c r="L50" s="163"/>
      <c r="M50" s="163"/>
      <c r="N50" s="163"/>
      <c r="O50" s="163"/>
      <c r="P50" s="163"/>
      <c r="Q50" s="163">
        <f t="shared" si="137"/>
        <v>0.375</v>
      </c>
      <c r="R50" s="163" t="e">
        <f t="shared" si="138"/>
        <v>#NUM!</v>
      </c>
      <c r="S50" s="163">
        <f t="shared" si="139"/>
        <v>0</v>
      </c>
      <c r="T50" s="163">
        <f t="shared" si="140"/>
        <v>0</v>
      </c>
      <c r="U50" s="163" t="e">
        <f t="shared" ca="1" si="141"/>
        <v>#NUM!</v>
      </c>
      <c r="V50" s="159" t="e">
        <f t="shared" si="142"/>
        <v>#NUM!</v>
      </c>
      <c r="W50" s="159" t="e">
        <f t="shared" si="143"/>
        <v>#NUM!</v>
      </c>
      <c r="X50" s="159" t="e">
        <f t="shared" si="144"/>
        <v>#NUM!</v>
      </c>
      <c r="Y50" s="159" t="e">
        <f t="shared" si="145"/>
        <v>#NUM!</v>
      </c>
      <c r="Z50" s="159" t="e">
        <f t="shared" si="146"/>
        <v>#NUM!</v>
      </c>
      <c r="AA50" s="159" t="e">
        <f t="shared" si="147"/>
        <v>#NUM!</v>
      </c>
      <c r="AB50" s="159" t="e">
        <f t="shared" si="148"/>
        <v>#NUM!</v>
      </c>
      <c r="AC50" s="159" t="e">
        <f t="shared" si="149"/>
        <v>#NUM!</v>
      </c>
      <c r="AD50" s="159" t="e">
        <f t="shared" si="150"/>
        <v>#NUM!</v>
      </c>
      <c r="AE50" s="159" t="e">
        <f t="shared" si="151"/>
        <v>#NUM!</v>
      </c>
      <c r="AF50" s="159" t="e">
        <f t="shared" si="152"/>
        <v>#NUM!</v>
      </c>
      <c r="AG50" s="387" t="e">
        <f t="shared" si="153"/>
        <v>#NUM!</v>
      </c>
      <c r="AH50" s="159" t="e">
        <f t="shared" si="154"/>
        <v>#NUM!</v>
      </c>
      <c r="AI50" s="159" t="e">
        <f t="shared" si="155"/>
        <v>#NUM!</v>
      </c>
      <c r="AJ50" s="387" t="e">
        <f t="shared" si="156"/>
        <v>#NUM!</v>
      </c>
      <c r="AK50" s="159" t="e">
        <f t="shared" si="157"/>
        <v>#NUM!</v>
      </c>
      <c r="AL50" s="159" t="e">
        <f t="shared" si="158"/>
        <v>#NUM!</v>
      </c>
      <c r="AM50" s="159" t="e">
        <f t="shared" si="159"/>
        <v>#NUM!</v>
      </c>
      <c r="AN50" s="159" t="e">
        <f t="shared" si="160"/>
        <v>#NUM!</v>
      </c>
      <c r="AO50" s="159" t="e">
        <f t="shared" si="161"/>
        <v>#NUM!</v>
      </c>
      <c r="AP50" s="159" t="e">
        <f t="shared" si="162"/>
        <v>#NUM!</v>
      </c>
      <c r="AQ50" s="159" t="e">
        <f t="shared" si="163"/>
        <v>#NUM!</v>
      </c>
      <c r="AR50" s="159" t="e">
        <f t="shared" si="164"/>
        <v>#NUM!</v>
      </c>
      <c r="AS50" s="159" t="e">
        <f t="shared" si="165"/>
        <v>#NUM!</v>
      </c>
      <c r="AT50" s="159" t="e">
        <f t="shared" si="166"/>
        <v>#NUM!</v>
      </c>
      <c r="AU50" s="159" t="e">
        <f t="shared" si="167"/>
        <v>#NUM!</v>
      </c>
      <c r="AV50" s="159" t="e">
        <f t="shared" si="168"/>
        <v>#NUM!</v>
      </c>
      <c r="AW50" s="159" t="e">
        <f t="shared" si="169"/>
        <v>#NUM!</v>
      </c>
      <c r="AX50" s="159" t="e">
        <f t="shared" si="170"/>
        <v>#NUM!</v>
      </c>
      <c r="AY50" s="159" t="e">
        <f t="shared" si="171"/>
        <v>#NUM!</v>
      </c>
      <c r="AZ50" s="159" t="e">
        <f t="shared" si="172"/>
        <v>#NUM!</v>
      </c>
      <c r="BA50" s="159" t="e">
        <f t="shared" si="173"/>
        <v>#NUM!</v>
      </c>
      <c r="BB50" s="159" t="e">
        <f t="shared" si="174"/>
        <v>#NUM!</v>
      </c>
      <c r="BC50" s="159" t="e">
        <f t="shared" si="175"/>
        <v>#NUM!</v>
      </c>
      <c r="BD50" s="159" t="e">
        <f t="shared" si="176"/>
        <v>#NUM!</v>
      </c>
      <c r="BE50" s="159" t="e">
        <f t="shared" si="177"/>
        <v>#NUM!</v>
      </c>
      <c r="BF50" s="159" t="e">
        <f t="shared" si="178"/>
        <v>#NUM!</v>
      </c>
      <c r="BG50" s="159" t="e">
        <f t="shared" si="179"/>
        <v>#NUM!</v>
      </c>
      <c r="BH50" s="159" t="e">
        <f t="shared" si="180"/>
        <v>#NUM!</v>
      </c>
      <c r="BI50" s="159" t="e">
        <f t="shared" si="181"/>
        <v>#NUM!</v>
      </c>
      <c r="BJ50" s="159" t="e">
        <f t="shared" si="182"/>
        <v>#NUM!</v>
      </c>
      <c r="BK50" s="159" t="e">
        <f t="shared" si="183"/>
        <v>#NUM!</v>
      </c>
      <c r="BL50" s="159" t="e">
        <f t="shared" si="184"/>
        <v>#NUM!</v>
      </c>
      <c r="BM50" s="159" t="e">
        <f t="shared" si="185"/>
        <v>#NUM!</v>
      </c>
      <c r="BN50" s="159" t="e">
        <f t="shared" si="186"/>
        <v>#NUM!</v>
      </c>
      <c r="BO50" s="159" t="e">
        <f t="shared" si="187"/>
        <v>#NUM!</v>
      </c>
      <c r="BP50" s="159" t="e">
        <f t="shared" si="188"/>
        <v>#NUM!</v>
      </c>
      <c r="BQ50" s="159" t="e">
        <f t="shared" si="189"/>
        <v>#NUM!</v>
      </c>
      <c r="BR50" s="159" t="e">
        <f t="shared" si="190"/>
        <v>#NUM!</v>
      </c>
      <c r="BS50" s="159" t="e">
        <f t="shared" si="191"/>
        <v>#NUM!</v>
      </c>
      <c r="BT50" s="159" t="e">
        <f t="shared" si="192"/>
        <v>#NUM!</v>
      </c>
      <c r="BU50" s="159" t="e">
        <f t="shared" si="193"/>
        <v>#NUM!</v>
      </c>
      <c r="BV50" s="159" t="e">
        <f t="shared" si="194"/>
        <v>#NUM!</v>
      </c>
      <c r="BW50" s="159"/>
      <c r="BX50" s="159"/>
      <c r="BY50" s="159"/>
      <c r="BZ50" s="159"/>
      <c r="CA50" s="159"/>
      <c r="CB50" s="159" t="e">
        <f t="shared" si="195"/>
        <v>#NUM!</v>
      </c>
      <c r="CC50" s="159" t="e">
        <f t="shared" si="196"/>
        <v>#NUM!</v>
      </c>
      <c r="CD50" s="159" t="e">
        <f t="shared" si="197"/>
        <v>#NUM!</v>
      </c>
      <c r="CE50" s="159" t="e">
        <f t="shared" si="198"/>
        <v>#NUM!</v>
      </c>
      <c r="CF50" s="159" t="e">
        <f t="shared" si="199"/>
        <v>#NUM!</v>
      </c>
      <c r="CG50" s="159" t="e">
        <f t="shared" si="200"/>
        <v>#NUM!</v>
      </c>
      <c r="CH50" s="159" t="e">
        <f t="shared" si="201"/>
        <v>#NUM!</v>
      </c>
      <c r="CI50" s="159" t="e">
        <f t="shared" si="202"/>
        <v>#NUM!</v>
      </c>
    </row>
    <row r="51" spans="6:87" x14ac:dyDescent="0.25">
      <c r="F51" s="317">
        <v>42857</v>
      </c>
      <c r="G51" s="530"/>
      <c r="H51" s="531"/>
      <c r="I51" s="371"/>
      <c r="J51" s="163"/>
      <c r="K51" s="163"/>
      <c r="L51" s="163"/>
      <c r="M51" s="163"/>
      <c r="N51" s="163"/>
      <c r="O51" s="163"/>
      <c r="P51" s="163"/>
      <c r="Q51" s="163">
        <f t="shared" si="137"/>
        <v>0.375</v>
      </c>
      <c r="R51" s="163" t="e">
        <f t="shared" si="138"/>
        <v>#NUM!</v>
      </c>
      <c r="S51" s="163">
        <f t="shared" si="139"/>
        <v>0</v>
      </c>
      <c r="T51" s="163">
        <f t="shared" si="140"/>
        <v>0</v>
      </c>
      <c r="U51" s="163" t="e">
        <f t="shared" ca="1" si="141"/>
        <v>#NUM!</v>
      </c>
      <c r="V51" s="159" t="e">
        <f t="shared" si="142"/>
        <v>#NUM!</v>
      </c>
      <c r="W51" s="159" t="e">
        <f t="shared" si="143"/>
        <v>#NUM!</v>
      </c>
      <c r="X51" s="159" t="e">
        <f t="shared" si="144"/>
        <v>#NUM!</v>
      </c>
      <c r="Y51" s="159" t="e">
        <f t="shared" si="145"/>
        <v>#NUM!</v>
      </c>
      <c r="Z51" s="159" t="e">
        <f t="shared" si="146"/>
        <v>#NUM!</v>
      </c>
      <c r="AA51" s="159" t="e">
        <f t="shared" si="147"/>
        <v>#NUM!</v>
      </c>
      <c r="AB51" s="159" t="e">
        <f t="shared" si="148"/>
        <v>#NUM!</v>
      </c>
      <c r="AC51" s="159" t="e">
        <f t="shared" si="149"/>
        <v>#NUM!</v>
      </c>
      <c r="AD51" s="159" t="e">
        <f t="shared" si="150"/>
        <v>#NUM!</v>
      </c>
      <c r="AE51" s="159" t="e">
        <f t="shared" si="151"/>
        <v>#NUM!</v>
      </c>
      <c r="AF51" s="159" t="e">
        <f t="shared" si="152"/>
        <v>#NUM!</v>
      </c>
      <c r="AG51" s="387" t="e">
        <f t="shared" si="153"/>
        <v>#NUM!</v>
      </c>
      <c r="AH51" s="159" t="e">
        <f t="shared" si="154"/>
        <v>#NUM!</v>
      </c>
      <c r="AI51" s="159" t="e">
        <f t="shared" si="155"/>
        <v>#NUM!</v>
      </c>
      <c r="AJ51" s="387" t="e">
        <f t="shared" si="156"/>
        <v>#NUM!</v>
      </c>
      <c r="AK51" s="159" t="e">
        <f t="shared" si="157"/>
        <v>#NUM!</v>
      </c>
      <c r="AL51" s="159" t="e">
        <f t="shared" si="158"/>
        <v>#NUM!</v>
      </c>
      <c r="AM51" s="159" t="e">
        <f t="shared" si="159"/>
        <v>#NUM!</v>
      </c>
      <c r="AN51" s="159" t="e">
        <f t="shared" si="160"/>
        <v>#NUM!</v>
      </c>
      <c r="AO51" s="159" t="e">
        <f t="shared" si="161"/>
        <v>#NUM!</v>
      </c>
      <c r="AP51" s="159" t="e">
        <f t="shared" si="162"/>
        <v>#NUM!</v>
      </c>
      <c r="AQ51" s="159" t="e">
        <f t="shared" si="163"/>
        <v>#NUM!</v>
      </c>
      <c r="AR51" s="159" t="e">
        <f t="shared" si="164"/>
        <v>#NUM!</v>
      </c>
      <c r="AS51" s="159" t="e">
        <f t="shared" si="165"/>
        <v>#NUM!</v>
      </c>
      <c r="AT51" s="159" t="e">
        <f t="shared" si="166"/>
        <v>#NUM!</v>
      </c>
      <c r="AU51" s="159" t="e">
        <f t="shared" si="167"/>
        <v>#NUM!</v>
      </c>
      <c r="AV51" s="159" t="e">
        <f t="shared" si="168"/>
        <v>#NUM!</v>
      </c>
      <c r="AW51" s="159" t="e">
        <f t="shared" si="169"/>
        <v>#NUM!</v>
      </c>
      <c r="AX51" s="159" t="e">
        <f t="shared" si="170"/>
        <v>#NUM!</v>
      </c>
      <c r="AY51" s="159" t="e">
        <f t="shared" si="171"/>
        <v>#NUM!</v>
      </c>
      <c r="AZ51" s="159" t="e">
        <f t="shared" si="172"/>
        <v>#NUM!</v>
      </c>
      <c r="BA51" s="159" t="e">
        <f t="shared" si="173"/>
        <v>#NUM!</v>
      </c>
      <c r="BB51" s="159" t="e">
        <f t="shared" si="174"/>
        <v>#NUM!</v>
      </c>
      <c r="BC51" s="159" t="e">
        <f t="shared" si="175"/>
        <v>#NUM!</v>
      </c>
      <c r="BD51" s="159" t="e">
        <f t="shared" si="176"/>
        <v>#NUM!</v>
      </c>
      <c r="BE51" s="159" t="e">
        <f t="shared" si="177"/>
        <v>#NUM!</v>
      </c>
      <c r="BF51" s="159" t="e">
        <f t="shared" si="178"/>
        <v>#NUM!</v>
      </c>
      <c r="BG51" s="159" t="e">
        <f t="shared" si="179"/>
        <v>#NUM!</v>
      </c>
      <c r="BH51" s="159" t="e">
        <f t="shared" si="180"/>
        <v>#NUM!</v>
      </c>
      <c r="BI51" s="159" t="e">
        <f t="shared" si="181"/>
        <v>#NUM!</v>
      </c>
      <c r="BJ51" s="159" t="e">
        <f t="shared" si="182"/>
        <v>#NUM!</v>
      </c>
      <c r="BK51" s="159" t="e">
        <f t="shared" si="183"/>
        <v>#NUM!</v>
      </c>
      <c r="BL51" s="159" t="e">
        <f t="shared" si="184"/>
        <v>#NUM!</v>
      </c>
      <c r="BM51" s="159" t="e">
        <f t="shared" si="185"/>
        <v>#NUM!</v>
      </c>
      <c r="BN51" s="159" t="e">
        <f t="shared" si="186"/>
        <v>#NUM!</v>
      </c>
      <c r="BO51" s="159" t="e">
        <f t="shared" si="187"/>
        <v>#NUM!</v>
      </c>
      <c r="BP51" s="159" t="e">
        <f t="shared" si="188"/>
        <v>#NUM!</v>
      </c>
      <c r="BQ51" s="159" t="e">
        <f t="shared" si="189"/>
        <v>#NUM!</v>
      </c>
      <c r="BR51" s="159" t="e">
        <f t="shared" si="190"/>
        <v>#NUM!</v>
      </c>
      <c r="BS51" s="159" t="e">
        <f t="shared" si="191"/>
        <v>#NUM!</v>
      </c>
      <c r="BT51" s="159" t="e">
        <f t="shared" si="192"/>
        <v>#NUM!</v>
      </c>
      <c r="BU51" s="159" t="e">
        <f t="shared" si="193"/>
        <v>#NUM!</v>
      </c>
      <c r="BV51" s="159" t="e">
        <f t="shared" si="194"/>
        <v>#NUM!</v>
      </c>
      <c r="BW51" s="159"/>
      <c r="BX51" s="159"/>
      <c r="BY51" s="159"/>
      <c r="BZ51" s="159"/>
      <c r="CA51" s="159"/>
      <c r="CB51" s="159" t="e">
        <f t="shared" si="195"/>
        <v>#NUM!</v>
      </c>
      <c r="CC51" s="159" t="e">
        <f t="shared" si="196"/>
        <v>#NUM!</v>
      </c>
      <c r="CD51" s="159" t="e">
        <f t="shared" si="197"/>
        <v>#NUM!</v>
      </c>
      <c r="CE51" s="159" t="e">
        <f t="shared" si="198"/>
        <v>#NUM!</v>
      </c>
      <c r="CF51" s="159" t="e">
        <f t="shared" si="199"/>
        <v>#NUM!</v>
      </c>
      <c r="CG51" s="159" t="e">
        <f t="shared" si="200"/>
        <v>#NUM!</v>
      </c>
      <c r="CH51" s="159" t="e">
        <f t="shared" si="201"/>
        <v>#NUM!</v>
      </c>
      <c r="CI51" s="159" t="e">
        <f t="shared" si="202"/>
        <v>#NUM!</v>
      </c>
    </row>
    <row r="52" spans="6:87" x14ac:dyDescent="0.25">
      <c r="F52" s="317">
        <v>42857</v>
      </c>
      <c r="G52" s="530"/>
      <c r="H52" s="531"/>
      <c r="I52" s="371"/>
      <c r="J52" s="163"/>
      <c r="K52" s="163"/>
      <c r="L52" s="163"/>
      <c r="M52" s="163"/>
      <c r="N52" s="163"/>
      <c r="O52" s="163"/>
      <c r="P52" s="163"/>
      <c r="Q52" s="163">
        <f t="shared" si="137"/>
        <v>0.375</v>
      </c>
      <c r="R52" s="163" t="e">
        <f t="shared" si="138"/>
        <v>#NUM!</v>
      </c>
      <c r="S52" s="163">
        <f t="shared" si="139"/>
        <v>0</v>
      </c>
      <c r="T52" s="163">
        <f t="shared" si="140"/>
        <v>0</v>
      </c>
      <c r="U52" s="163" t="e">
        <f t="shared" ca="1" si="141"/>
        <v>#NUM!</v>
      </c>
      <c r="V52" s="159" t="e">
        <f t="shared" si="142"/>
        <v>#NUM!</v>
      </c>
      <c r="W52" s="159" t="e">
        <f t="shared" si="143"/>
        <v>#NUM!</v>
      </c>
      <c r="X52" s="159" t="e">
        <f t="shared" si="144"/>
        <v>#NUM!</v>
      </c>
      <c r="Y52" s="159" t="e">
        <f t="shared" si="145"/>
        <v>#NUM!</v>
      </c>
      <c r="Z52" s="159" t="e">
        <f t="shared" si="146"/>
        <v>#NUM!</v>
      </c>
      <c r="AA52" s="159" t="e">
        <f t="shared" si="147"/>
        <v>#NUM!</v>
      </c>
      <c r="AB52" s="159" t="e">
        <f t="shared" si="148"/>
        <v>#NUM!</v>
      </c>
      <c r="AC52" s="159" t="e">
        <f t="shared" si="149"/>
        <v>#NUM!</v>
      </c>
      <c r="AD52" s="159" t="e">
        <f t="shared" si="150"/>
        <v>#NUM!</v>
      </c>
      <c r="AE52" s="159" t="e">
        <f t="shared" si="151"/>
        <v>#NUM!</v>
      </c>
      <c r="AF52" s="159" t="e">
        <f t="shared" si="152"/>
        <v>#NUM!</v>
      </c>
      <c r="AG52" s="387" t="e">
        <f t="shared" si="153"/>
        <v>#NUM!</v>
      </c>
      <c r="AH52" s="159" t="e">
        <f t="shared" si="154"/>
        <v>#NUM!</v>
      </c>
      <c r="AI52" s="159" t="e">
        <f t="shared" si="155"/>
        <v>#NUM!</v>
      </c>
      <c r="AJ52" s="387" t="e">
        <f t="shared" si="156"/>
        <v>#NUM!</v>
      </c>
      <c r="AK52" s="159" t="e">
        <f t="shared" si="157"/>
        <v>#NUM!</v>
      </c>
      <c r="AL52" s="159" t="e">
        <f t="shared" si="158"/>
        <v>#NUM!</v>
      </c>
      <c r="AM52" s="159" t="e">
        <f t="shared" si="159"/>
        <v>#NUM!</v>
      </c>
      <c r="AN52" s="159" t="e">
        <f t="shared" si="160"/>
        <v>#NUM!</v>
      </c>
      <c r="AO52" s="159" t="e">
        <f t="shared" si="161"/>
        <v>#NUM!</v>
      </c>
      <c r="AP52" s="159" t="e">
        <f t="shared" si="162"/>
        <v>#NUM!</v>
      </c>
      <c r="AQ52" s="159" t="e">
        <f t="shared" si="163"/>
        <v>#NUM!</v>
      </c>
      <c r="AR52" s="159" t="e">
        <f t="shared" si="164"/>
        <v>#NUM!</v>
      </c>
      <c r="AS52" s="159" t="e">
        <f t="shared" si="165"/>
        <v>#NUM!</v>
      </c>
      <c r="AT52" s="159" t="e">
        <f t="shared" si="166"/>
        <v>#NUM!</v>
      </c>
      <c r="AU52" s="159" t="e">
        <f t="shared" si="167"/>
        <v>#NUM!</v>
      </c>
      <c r="AV52" s="159" t="e">
        <f t="shared" si="168"/>
        <v>#NUM!</v>
      </c>
      <c r="AW52" s="159" t="e">
        <f t="shared" si="169"/>
        <v>#NUM!</v>
      </c>
      <c r="AX52" s="159" t="e">
        <f t="shared" si="170"/>
        <v>#NUM!</v>
      </c>
      <c r="AY52" s="159" t="e">
        <f t="shared" si="171"/>
        <v>#NUM!</v>
      </c>
      <c r="AZ52" s="159" t="e">
        <f t="shared" si="172"/>
        <v>#NUM!</v>
      </c>
      <c r="BA52" s="159" t="e">
        <f t="shared" si="173"/>
        <v>#NUM!</v>
      </c>
      <c r="BB52" s="159" t="e">
        <f t="shared" si="174"/>
        <v>#NUM!</v>
      </c>
      <c r="BC52" s="159" t="e">
        <f t="shared" si="175"/>
        <v>#NUM!</v>
      </c>
      <c r="BD52" s="159" t="e">
        <f t="shared" si="176"/>
        <v>#NUM!</v>
      </c>
      <c r="BE52" s="159" t="e">
        <f t="shared" si="177"/>
        <v>#NUM!</v>
      </c>
      <c r="BF52" s="159" t="e">
        <f t="shared" si="178"/>
        <v>#NUM!</v>
      </c>
      <c r="BG52" s="159" t="e">
        <f t="shared" si="179"/>
        <v>#NUM!</v>
      </c>
      <c r="BH52" s="159" t="e">
        <f t="shared" si="180"/>
        <v>#NUM!</v>
      </c>
      <c r="BI52" s="159" t="e">
        <f t="shared" si="181"/>
        <v>#NUM!</v>
      </c>
      <c r="BJ52" s="159" t="e">
        <f t="shared" si="182"/>
        <v>#NUM!</v>
      </c>
      <c r="BK52" s="159" t="e">
        <f t="shared" si="183"/>
        <v>#NUM!</v>
      </c>
      <c r="BL52" s="159" t="e">
        <f t="shared" si="184"/>
        <v>#NUM!</v>
      </c>
      <c r="BM52" s="159" t="e">
        <f t="shared" si="185"/>
        <v>#NUM!</v>
      </c>
      <c r="BN52" s="159" t="e">
        <f t="shared" si="186"/>
        <v>#NUM!</v>
      </c>
      <c r="BO52" s="159" t="e">
        <f t="shared" si="187"/>
        <v>#NUM!</v>
      </c>
      <c r="BP52" s="159" t="e">
        <f t="shared" si="188"/>
        <v>#NUM!</v>
      </c>
      <c r="BQ52" s="159" t="e">
        <f t="shared" si="189"/>
        <v>#NUM!</v>
      </c>
      <c r="BR52" s="159" t="e">
        <f t="shared" si="190"/>
        <v>#NUM!</v>
      </c>
      <c r="BS52" s="159" t="e">
        <f t="shared" si="191"/>
        <v>#NUM!</v>
      </c>
      <c r="BT52" s="159" t="e">
        <f t="shared" si="192"/>
        <v>#NUM!</v>
      </c>
      <c r="BU52" s="159" t="e">
        <f t="shared" si="193"/>
        <v>#NUM!</v>
      </c>
      <c r="BV52" s="159" t="e">
        <f t="shared" si="194"/>
        <v>#NUM!</v>
      </c>
      <c r="BW52" s="159"/>
      <c r="BX52" s="159"/>
      <c r="BY52" s="159"/>
      <c r="BZ52" s="159"/>
      <c r="CA52" s="159"/>
      <c r="CB52" s="159" t="e">
        <f t="shared" si="195"/>
        <v>#NUM!</v>
      </c>
      <c r="CC52" s="159" t="e">
        <f t="shared" si="196"/>
        <v>#NUM!</v>
      </c>
      <c r="CD52" s="159" t="e">
        <f t="shared" si="197"/>
        <v>#NUM!</v>
      </c>
      <c r="CE52" s="159" t="e">
        <f t="shared" si="198"/>
        <v>#NUM!</v>
      </c>
      <c r="CF52" s="159" t="e">
        <f t="shared" si="199"/>
        <v>#NUM!</v>
      </c>
      <c r="CG52" s="159" t="e">
        <f t="shared" si="200"/>
        <v>#NUM!</v>
      </c>
      <c r="CH52" s="159" t="e">
        <f t="shared" si="201"/>
        <v>#NUM!</v>
      </c>
      <c r="CI52" s="159" t="e">
        <f t="shared" si="202"/>
        <v>#NUM!</v>
      </c>
    </row>
    <row r="53" spans="6:87" x14ac:dyDescent="0.25">
      <c r="F53" s="317">
        <v>42857</v>
      </c>
      <c r="G53" s="530"/>
      <c r="H53" s="531"/>
      <c r="I53" s="371"/>
      <c r="J53" s="163"/>
      <c r="K53" s="163"/>
      <c r="L53" s="163"/>
      <c r="M53" s="163"/>
      <c r="N53" s="163"/>
      <c r="O53" s="163"/>
      <c r="P53" s="163"/>
      <c r="Q53" s="163">
        <f t="shared" si="137"/>
        <v>0.375</v>
      </c>
      <c r="R53" s="163" t="e">
        <f t="shared" si="138"/>
        <v>#NUM!</v>
      </c>
      <c r="S53" s="163">
        <f t="shared" si="139"/>
        <v>0</v>
      </c>
      <c r="T53" s="163">
        <f t="shared" si="140"/>
        <v>0</v>
      </c>
      <c r="U53" s="163" t="e">
        <f t="shared" ca="1" si="141"/>
        <v>#NUM!</v>
      </c>
      <c r="V53" s="159" t="e">
        <f t="shared" si="142"/>
        <v>#NUM!</v>
      </c>
      <c r="W53" s="159" t="e">
        <f t="shared" si="143"/>
        <v>#NUM!</v>
      </c>
      <c r="X53" s="159" t="e">
        <f t="shared" si="144"/>
        <v>#NUM!</v>
      </c>
      <c r="Y53" s="159" t="e">
        <f t="shared" si="145"/>
        <v>#NUM!</v>
      </c>
      <c r="Z53" s="159" t="e">
        <f t="shared" si="146"/>
        <v>#NUM!</v>
      </c>
      <c r="AA53" s="159" t="e">
        <f t="shared" si="147"/>
        <v>#NUM!</v>
      </c>
      <c r="AB53" s="159" t="e">
        <f t="shared" si="148"/>
        <v>#NUM!</v>
      </c>
      <c r="AC53" s="159" t="e">
        <f t="shared" si="149"/>
        <v>#NUM!</v>
      </c>
      <c r="AD53" s="159" t="e">
        <f t="shared" si="150"/>
        <v>#NUM!</v>
      </c>
      <c r="AE53" s="159" t="e">
        <f t="shared" si="151"/>
        <v>#NUM!</v>
      </c>
      <c r="AF53" s="159" t="e">
        <f t="shared" si="152"/>
        <v>#NUM!</v>
      </c>
      <c r="AG53" s="387" t="e">
        <f t="shared" si="153"/>
        <v>#NUM!</v>
      </c>
      <c r="AH53" s="159" t="e">
        <f t="shared" si="154"/>
        <v>#NUM!</v>
      </c>
      <c r="AI53" s="159" t="e">
        <f t="shared" si="155"/>
        <v>#NUM!</v>
      </c>
      <c r="AJ53" s="387" t="e">
        <f t="shared" si="156"/>
        <v>#NUM!</v>
      </c>
      <c r="AK53" s="159" t="e">
        <f t="shared" si="157"/>
        <v>#NUM!</v>
      </c>
      <c r="AL53" s="159" t="e">
        <f t="shared" si="158"/>
        <v>#NUM!</v>
      </c>
      <c r="AM53" s="159" t="e">
        <f t="shared" si="159"/>
        <v>#NUM!</v>
      </c>
      <c r="AN53" s="159" t="e">
        <f t="shared" si="160"/>
        <v>#NUM!</v>
      </c>
      <c r="AO53" s="159" t="e">
        <f t="shared" si="161"/>
        <v>#NUM!</v>
      </c>
      <c r="AP53" s="159" t="e">
        <f t="shared" si="162"/>
        <v>#NUM!</v>
      </c>
      <c r="AQ53" s="159" t="e">
        <f t="shared" si="163"/>
        <v>#NUM!</v>
      </c>
      <c r="AR53" s="159" t="e">
        <f t="shared" si="164"/>
        <v>#NUM!</v>
      </c>
      <c r="AS53" s="159" t="e">
        <f t="shared" si="165"/>
        <v>#NUM!</v>
      </c>
      <c r="AT53" s="159" t="e">
        <f t="shared" si="166"/>
        <v>#NUM!</v>
      </c>
      <c r="AU53" s="159" t="e">
        <f t="shared" si="167"/>
        <v>#NUM!</v>
      </c>
      <c r="AV53" s="159" t="e">
        <f t="shared" si="168"/>
        <v>#NUM!</v>
      </c>
      <c r="AW53" s="159" t="e">
        <f t="shared" si="169"/>
        <v>#NUM!</v>
      </c>
      <c r="AX53" s="159" t="e">
        <f t="shared" si="170"/>
        <v>#NUM!</v>
      </c>
      <c r="AY53" s="159" t="e">
        <f t="shared" si="171"/>
        <v>#NUM!</v>
      </c>
      <c r="AZ53" s="159" t="e">
        <f t="shared" si="172"/>
        <v>#NUM!</v>
      </c>
      <c r="BA53" s="159" t="e">
        <f t="shared" si="173"/>
        <v>#NUM!</v>
      </c>
      <c r="BB53" s="159" t="e">
        <f t="shared" si="174"/>
        <v>#NUM!</v>
      </c>
      <c r="BC53" s="159" t="e">
        <f t="shared" si="175"/>
        <v>#NUM!</v>
      </c>
      <c r="BD53" s="159" t="e">
        <f t="shared" si="176"/>
        <v>#NUM!</v>
      </c>
      <c r="BE53" s="159" t="e">
        <f t="shared" si="177"/>
        <v>#NUM!</v>
      </c>
      <c r="BF53" s="159" t="e">
        <f t="shared" si="178"/>
        <v>#NUM!</v>
      </c>
      <c r="BG53" s="159" t="e">
        <f t="shared" si="179"/>
        <v>#NUM!</v>
      </c>
      <c r="BH53" s="159" t="e">
        <f t="shared" si="180"/>
        <v>#NUM!</v>
      </c>
      <c r="BI53" s="159" t="e">
        <f t="shared" si="181"/>
        <v>#NUM!</v>
      </c>
      <c r="BJ53" s="159" t="e">
        <f t="shared" si="182"/>
        <v>#NUM!</v>
      </c>
      <c r="BK53" s="159" t="e">
        <f t="shared" si="183"/>
        <v>#NUM!</v>
      </c>
      <c r="BL53" s="159" t="e">
        <f t="shared" si="184"/>
        <v>#NUM!</v>
      </c>
      <c r="BM53" s="159" t="e">
        <f t="shared" si="185"/>
        <v>#NUM!</v>
      </c>
      <c r="BN53" s="159" t="e">
        <f t="shared" si="186"/>
        <v>#NUM!</v>
      </c>
      <c r="BO53" s="159" t="e">
        <f t="shared" si="187"/>
        <v>#NUM!</v>
      </c>
      <c r="BP53" s="159" t="e">
        <f t="shared" si="188"/>
        <v>#NUM!</v>
      </c>
      <c r="BQ53" s="159" t="e">
        <f t="shared" si="189"/>
        <v>#NUM!</v>
      </c>
      <c r="BR53" s="159" t="e">
        <f t="shared" si="190"/>
        <v>#NUM!</v>
      </c>
      <c r="BS53" s="159" t="e">
        <f t="shared" si="191"/>
        <v>#NUM!</v>
      </c>
      <c r="BT53" s="159" t="e">
        <f t="shared" si="192"/>
        <v>#NUM!</v>
      </c>
      <c r="BU53" s="159" t="e">
        <f t="shared" si="193"/>
        <v>#NUM!</v>
      </c>
      <c r="BV53" s="159" t="e">
        <f t="shared" si="194"/>
        <v>#NUM!</v>
      </c>
      <c r="BW53" s="159"/>
      <c r="BX53" s="159"/>
      <c r="BY53" s="159"/>
      <c r="BZ53" s="159"/>
      <c r="CA53" s="159"/>
      <c r="CB53" s="159" t="e">
        <f t="shared" si="195"/>
        <v>#NUM!</v>
      </c>
      <c r="CC53" s="159" t="e">
        <f t="shared" si="196"/>
        <v>#NUM!</v>
      </c>
      <c r="CD53" s="159" t="e">
        <f t="shared" si="197"/>
        <v>#NUM!</v>
      </c>
      <c r="CE53" s="159" t="e">
        <f t="shared" si="198"/>
        <v>#NUM!</v>
      </c>
      <c r="CF53" s="159" t="e">
        <f t="shared" si="199"/>
        <v>#NUM!</v>
      </c>
      <c r="CG53" s="159" t="e">
        <f t="shared" si="200"/>
        <v>#NUM!</v>
      </c>
      <c r="CH53" s="159" t="e">
        <f t="shared" si="201"/>
        <v>#NUM!</v>
      </c>
      <c r="CI53" s="159" t="e">
        <f t="shared" si="202"/>
        <v>#NUM!</v>
      </c>
    </row>
    <row r="54" spans="6:87" x14ac:dyDescent="0.25">
      <c r="F54" s="317">
        <v>42857</v>
      </c>
      <c r="G54" s="530"/>
      <c r="H54" s="531"/>
      <c r="I54" s="371"/>
      <c r="J54" s="163"/>
      <c r="K54" s="163"/>
      <c r="L54" s="163"/>
      <c r="M54" s="163"/>
      <c r="N54" s="163"/>
      <c r="O54" s="163"/>
      <c r="P54" s="163"/>
      <c r="Q54" s="163">
        <f t="shared" si="137"/>
        <v>0.375</v>
      </c>
      <c r="R54" s="163" t="e">
        <f t="shared" si="138"/>
        <v>#NUM!</v>
      </c>
      <c r="S54" s="163">
        <f t="shared" si="139"/>
        <v>0</v>
      </c>
      <c r="T54" s="163">
        <f t="shared" si="140"/>
        <v>0</v>
      </c>
      <c r="U54" s="163" t="e">
        <f t="shared" ca="1" si="141"/>
        <v>#NUM!</v>
      </c>
      <c r="V54" s="159" t="e">
        <f t="shared" si="142"/>
        <v>#NUM!</v>
      </c>
      <c r="W54" s="159" t="e">
        <f t="shared" si="143"/>
        <v>#NUM!</v>
      </c>
      <c r="X54" s="159" t="e">
        <f t="shared" si="144"/>
        <v>#NUM!</v>
      </c>
      <c r="Y54" s="159" t="e">
        <f t="shared" si="145"/>
        <v>#NUM!</v>
      </c>
      <c r="Z54" s="159" t="e">
        <f t="shared" si="146"/>
        <v>#NUM!</v>
      </c>
      <c r="AA54" s="159" t="e">
        <f t="shared" si="147"/>
        <v>#NUM!</v>
      </c>
      <c r="AB54" s="159" t="e">
        <f t="shared" si="148"/>
        <v>#NUM!</v>
      </c>
      <c r="AC54" s="159" t="e">
        <f t="shared" si="149"/>
        <v>#NUM!</v>
      </c>
      <c r="AD54" s="159" t="e">
        <f t="shared" si="150"/>
        <v>#NUM!</v>
      </c>
      <c r="AE54" s="159" t="e">
        <f t="shared" si="151"/>
        <v>#NUM!</v>
      </c>
      <c r="AF54" s="159" t="e">
        <f t="shared" si="152"/>
        <v>#NUM!</v>
      </c>
      <c r="AG54" s="387" t="e">
        <f t="shared" si="153"/>
        <v>#NUM!</v>
      </c>
      <c r="AH54" s="159" t="e">
        <f t="shared" si="154"/>
        <v>#NUM!</v>
      </c>
      <c r="AI54" s="159" t="e">
        <f t="shared" si="155"/>
        <v>#NUM!</v>
      </c>
      <c r="AJ54" s="387" t="e">
        <f t="shared" si="156"/>
        <v>#NUM!</v>
      </c>
      <c r="AK54" s="159" t="e">
        <f t="shared" si="157"/>
        <v>#NUM!</v>
      </c>
      <c r="AL54" s="159" t="e">
        <f t="shared" si="158"/>
        <v>#NUM!</v>
      </c>
      <c r="AM54" s="159" t="e">
        <f t="shared" si="159"/>
        <v>#NUM!</v>
      </c>
      <c r="AN54" s="159" t="e">
        <f t="shared" si="160"/>
        <v>#NUM!</v>
      </c>
      <c r="AO54" s="159" t="e">
        <f t="shared" si="161"/>
        <v>#NUM!</v>
      </c>
      <c r="AP54" s="159" t="e">
        <f t="shared" si="162"/>
        <v>#NUM!</v>
      </c>
      <c r="AQ54" s="159" t="e">
        <f t="shared" si="163"/>
        <v>#NUM!</v>
      </c>
      <c r="AR54" s="159" t="e">
        <f t="shared" si="164"/>
        <v>#NUM!</v>
      </c>
      <c r="AS54" s="159" t="e">
        <f t="shared" si="165"/>
        <v>#NUM!</v>
      </c>
      <c r="AT54" s="159" t="e">
        <f t="shared" si="166"/>
        <v>#NUM!</v>
      </c>
      <c r="AU54" s="159" t="e">
        <f t="shared" si="167"/>
        <v>#NUM!</v>
      </c>
      <c r="AV54" s="159" t="e">
        <f t="shared" si="168"/>
        <v>#NUM!</v>
      </c>
      <c r="AW54" s="159" t="e">
        <f t="shared" si="169"/>
        <v>#NUM!</v>
      </c>
      <c r="AX54" s="159" t="e">
        <f t="shared" si="170"/>
        <v>#NUM!</v>
      </c>
      <c r="AY54" s="159" t="e">
        <f t="shared" si="171"/>
        <v>#NUM!</v>
      </c>
      <c r="AZ54" s="159" t="e">
        <f t="shared" si="172"/>
        <v>#NUM!</v>
      </c>
      <c r="BA54" s="159" t="e">
        <f t="shared" si="173"/>
        <v>#NUM!</v>
      </c>
      <c r="BB54" s="159" t="e">
        <f t="shared" si="174"/>
        <v>#NUM!</v>
      </c>
      <c r="BC54" s="159" t="e">
        <f t="shared" si="175"/>
        <v>#NUM!</v>
      </c>
      <c r="BD54" s="159" t="e">
        <f t="shared" si="176"/>
        <v>#NUM!</v>
      </c>
      <c r="BE54" s="159" t="e">
        <f t="shared" si="177"/>
        <v>#NUM!</v>
      </c>
      <c r="BF54" s="159" t="e">
        <f t="shared" si="178"/>
        <v>#NUM!</v>
      </c>
      <c r="BG54" s="159" t="e">
        <f t="shared" si="179"/>
        <v>#NUM!</v>
      </c>
      <c r="BH54" s="159" t="e">
        <f t="shared" si="180"/>
        <v>#NUM!</v>
      </c>
      <c r="BI54" s="159" t="e">
        <f t="shared" si="181"/>
        <v>#NUM!</v>
      </c>
      <c r="BJ54" s="159" t="e">
        <f t="shared" si="182"/>
        <v>#NUM!</v>
      </c>
      <c r="BK54" s="159" t="e">
        <f t="shared" si="183"/>
        <v>#NUM!</v>
      </c>
      <c r="BL54" s="159" t="e">
        <f t="shared" si="184"/>
        <v>#NUM!</v>
      </c>
      <c r="BM54" s="159" t="e">
        <f t="shared" si="185"/>
        <v>#NUM!</v>
      </c>
      <c r="BN54" s="159" t="e">
        <f t="shared" si="186"/>
        <v>#NUM!</v>
      </c>
      <c r="BO54" s="159" t="e">
        <f t="shared" si="187"/>
        <v>#NUM!</v>
      </c>
      <c r="BP54" s="159" t="e">
        <f t="shared" si="188"/>
        <v>#NUM!</v>
      </c>
      <c r="BQ54" s="159" t="e">
        <f t="shared" si="189"/>
        <v>#NUM!</v>
      </c>
      <c r="BR54" s="159" t="e">
        <f t="shared" si="190"/>
        <v>#NUM!</v>
      </c>
      <c r="BS54" s="159" t="e">
        <f t="shared" si="191"/>
        <v>#NUM!</v>
      </c>
      <c r="BT54" s="159" t="e">
        <f t="shared" si="192"/>
        <v>#NUM!</v>
      </c>
      <c r="BU54" s="159" t="e">
        <f t="shared" si="193"/>
        <v>#NUM!</v>
      </c>
      <c r="BV54" s="159" t="e">
        <f t="shared" si="194"/>
        <v>#NUM!</v>
      </c>
      <c r="BW54" s="159"/>
      <c r="BX54" s="159"/>
      <c r="BY54" s="159"/>
      <c r="BZ54" s="159"/>
      <c r="CA54" s="159"/>
      <c r="CB54" s="159" t="e">
        <f t="shared" si="195"/>
        <v>#NUM!</v>
      </c>
      <c r="CC54" s="159" t="e">
        <f t="shared" si="196"/>
        <v>#NUM!</v>
      </c>
      <c r="CD54" s="159" t="e">
        <f t="shared" si="197"/>
        <v>#NUM!</v>
      </c>
      <c r="CE54" s="159" t="e">
        <f t="shared" si="198"/>
        <v>#NUM!</v>
      </c>
      <c r="CF54" s="159" t="e">
        <f t="shared" si="199"/>
        <v>#NUM!</v>
      </c>
      <c r="CG54" s="159" t="e">
        <f t="shared" si="200"/>
        <v>#NUM!</v>
      </c>
      <c r="CH54" s="159" t="e">
        <f t="shared" si="201"/>
        <v>#NUM!</v>
      </c>
      <c r="CI54" s="159" t="e">
        <f t="shared" si="202"/>
        <v>#NUM!</v>
      </c>
    </row>
    <row r="55" spans="6:87" x14ac:dyDescent="0.25">
      <c r="F55" s="317">
        <v>42857</v>
      </c>
      <c r="G55" s="530"/>
      <c r="H55" s="531"/>
      <c r="I55" s="371"/>
      <c r="J55" s="163"/>
      <c r="K55" s="163"/>
      <c r="L55" s="163"/>
      <c r="M55" s="163"/>
      <c r="N55" s="163"/>
      <c r="O55" s="163"/>
      <c r="P55" s="163"/>
      <c r="Q55" s="163">
        <f t="shared" si="137"/>
        <v>0.375</v>
      </c>
      <c r="R55" s="163" t="e">
        <f t="shared" si="138"/>
        <v>#NUM!</v>
      </c>
      <c r="S55" s="163">
        <f t="shared" si="139"/>
        <v>0</v>
      </c>
      <c r="T55" s="163">
        <f t="shared" si="140"/>
        <v>0</v>
      </c>
      <c r="U55" s="163" t="e">
        <f t="shared" ca="1" si="141"/>
        <v>#NUM!</v>
      </c>
      <c r="V55" s="159" t="e">
        <f t="shared" si="142"/>
        <v>#NUM!</v>
      </c>
      <c r="W55" s="159" t="e">
        <f t="shared" si="143"/>
        <v>#NUM!</v>
      </c>
      <c r="X55" s="159" t="e">
        <f t="shared" si="144"/>
        <v>#NUM!</v>
      </c>
      <c r="Y55" s="159" t="e">
        <f t="shared" si="145"/>
        <v>#NUM!</v>
      </c>
      <c r="Z55" s="159" t="e">
        <f t="shared" si="146"/>
        <v>#NUM!</v>
      </c>
      <c r="AA55" s="159" t="e">
        <f t="shared" si="147"/>
        <v>#NUM!</v>
      </c>
      <c r="AB55" s="159" t="e">
        <f t="shared" si="148"/>
        <v>#NUM!</v>
      </c>
      <c r="AC55" s="159" t="e">
        <f t="shared" si="149"/>
        <v>#NUM!</v>
      </c>
      <c r="AD55" s="159" t="e">
        <f t="shared" si="150"/>
        <v>#NUM!</v>
      </c>
      <c r="AE55" s="159" t="e">
        <f t="shared" si="151"/>
        <v>#NUM!</v>
      </c>
      <c r="AF55" s="159" t="e">
        <f t="shared" si="152"/>
        <v>#NUM!</v>
      </c>
      <c r="AG55" s="387" t="e">
        <f t="shared" si="153"/>
        <v>#NUM!</v>
      </c>
      <c r="AH55" s="159" t="e">
        <f t="shared" si="154"/>
        <v>#NUM!</v>
      </c>
      <c r="AI55" s="159" t="e">
        <f t="shared" si="155"/>
        <v>#NUM!</v>
      </c>
      <c r="AJ55" s="387" t="e">
        <f t="shared" si="156"/>
        <v>#NUM!</v>
      </c>
      <c r="AK55" s="159" t="e">
        <f t="shared" si="157"/>
        <v>#NUM!</v>
      </c>
      <c r="AL55" s="159" t="e">
        <f t="shared" si="158"/>
        <v>#NUM!</v>
      </c>
      <c r="AM55" s="159" t="e">
        <f t="shared" si="159"/>
        <v>#NUM!</v>
      </c>
      <c r="AN55" s="159" t="e">
        <f t="shared" si="160"/>
        <v>#NUM!</v>
      </c>
      <c r="AO55" s="159" t="e">
        <f t="shared" si="161"/>
        <v>#NUM!</v>
      </c>
      <c r="AP55" s="159" t="e">
        <f t="shared" si="162"/>
        <v>#NUM!</v>
      </c>
      <c r="AQ55" s="159" t="e">
        <f t="shared" si="163"/>
        <v>#NUM!</v>
      </c>
      <c r="AR55" s="159" t="e">
        <f t="shared" si="164"/>
        <v>#NUM!</v>
      </c>
      <c r="AS55" s="159" t="e">
        <f t="shared" si="165"/>
        <v>#NUM!</v>
      </c>
      <c r="AT55" s="159" t="e">
        <f t="shared" si="166"/>
        <v>#NUM!</v>
      </c>
      <c r="AU55" s="159" t="e">
        <f t="shared" si="167"/>
        <v>#NUM!</v>
      </c>
      <c r="AV55" s="159" t="e">
        <f t="shared" si="168"/>
        <v>#NUM!</v>
      </c>
      <c r="AW55" s="159" t="e">
        <f t="shared" si="169"/>
        <v>#NUM!</v>
      </c>
      <c r="AX55" s="159" t="e">
        <f t="shared" si="170"/>
        <v>#NUM!</v>
      </c>
      <c r="AY55" s="159" t="e">
        <f t="shared" si="171"/>
        <v>#NUM!</v>
      </c>
      <c r="AZ55" s="159" t="e">
        <f t="shared" si="172"/>
        <v>#NUM!</v>
      </c>
      <c r="BA55" s="159" t="e">
        <f t="shared" si="173"/>
        <v>#NUM!</v>
      </c>
      <c r="BB55" s="159" t="e">
        <f t="shared" si="174"/>
        <v>#NUM!</v>
      </c>
      <c r="BC55" s="159" t="e">
        <f t="shared" si="175"/>
        <v>#NUM!</v>
      </c>
      <c r="BD55" s="159" t="e">
        <f t="shared" si="176"/>
        <v>#NUM!</v>
      </c>
      <c r="BE55" s="159" t="e">
        <f t="shared" si="177"/>
        <v>#NUM!</v>
      </c>
      <c r="BF55" s="159" t="e">
        <f t="shared" si="178"/>
        <v>#NUM!</v>
      </c>
      <c r="BG55" s="159" t="e">
        <f t="shared" si="179"/>
        <v>#NUM!</v>
      </c>
      <c r="BH55" s="159" t="e">
        <f t="shared" si="180"/>
        <v>#NUM!</v>
      </c>
      <c r="BI55" s="159" t="e">
        <f t="shared" si="181"/>
        <v>#NUM!</v>
      </c>
      <c r="BJ55" s="159" t="e">
        <f t="shared" si="182"/>
        <v>#NUM!</v>
      </c>
      <c r="BK55" s="159" t="e">
        <f t="shared" si="183"/>
        <v>#NUM!</v>
      </c>
      <c r="BL55" s="159" t="e">
        <f t="shared" si="184"/>
        <v>#NUM!</v>
      </c>
      <c r="BM55" s="159" t="e">
        <f t="shared" si="185"/>
        <v>#NUM!</v>
      </c>
      <c r="BN55" s="159" t="e">
        <f t="shared" si="186"/>
        <v>#NUM!</v>
      </c>
      <c r="BO55" s="159" t="e">
        <f t="shared" si="187"/>
        <v>#NUM!</v>
      </c>
      <c r="BP55" s="159" t="e">
        <f t="shared" si="188"/>
        <v>#NUM!</v>
      </c>
      <c r="BQ55" s="159" t="e">
        <f t="shared" si="189"/>
        <v>#NUM!</v>
      </c>
      <c r="BR55" s="159" t="e">
        <f t="shared" si="190"/>
        <v>#NUM!</v>
      </c>
      <c r="BS55" s="159" t="e">
        <f t="shared" si="191"/>
        <v>#NUM!</v>
      </c>
      <c r="BT55" s="159" t="e">
        <f t="shared" si="192"/>
        <v>#NUM!</v>
      </c>
      <c r="BU55" s="159" t="e">
        <f t="shared" si="193"/>
        <v>#NUM!</v>
      </c>
      <c r="BV55" s="159" t="e">
        <f t="shared" si="194"/>
        <v>#NUM!</v>
      </c>
      <c r="BW55" s="159"/>
      <c r="BX55" s="159"/>
      <c r="BY55" s="159"/>
      <c r="BZ55" s="159"/>
      <c r="CA55" s="159"/>
      <c r="CB55" s="159" t="e">
        <f t="shared" si="195"/>
        <v>#NUM!</v>
      </c>
      <c r="CC55" s="159" t="e">
        <f t="shared" si="196"/>
        <v>#NUM!</v>
      </c>
      <c r="CD55" s="159" t="e">
        <f t="shared" si="197"/>
        <v>#NUM!</v>
      </c>
      <c r="CE55" s="159" t="e">
        <f t="shared" si="198"/>
        <v>#NUM!</v>
      </c>
      <c r="CF55" s="159" t="e">
        <f t="shared" si="199"/>
        <v>#NUM!</v>
      </c>
      <c r="CG55" s="159" t="e">
        <f t="shared" si="200"/>
        <v>#NUM!</v>
      </c>
      <c r="CH55" s="159" t="e">
        <f t="shared" si="201"/>
        <v>#NUM!</v>
      </c>
      <c r="CI55" s="159" t="e">
        <f t="shared" si="202"/>
        <v>#NUM!</v>
      </c>
    </row>
    <row r="56" spans="6:87" x14ac:dyDescent="0.25">
      <c r="F56" s="317">
        <v>42857</v>
      </c>
      <c r="G56" s="530"/>
      <c r="H56" s="531"/>
      <c r="I56" s="371"/>
      <c r="J56" s="163"/>
      <c r="K56" s="163"/>
      <c r="L56" s="163"/>
      <c r="M56" s="163"/>
      <c r="N56" s="163"/>
      <c r="O56" s="163"/>
      <c r="P56" s="163"/>
      <c r="Q56" s="163">
        <f t="shared" si="137"/>
        <v>0.375</v>
      </c>
      <c r="R56" s="163" t="e">
        <f t="shared" si="138"/>
        <v>#NUM!</v>
      </c>
      <c r="S56" s="163">
        <f t="shared" si="139"/>
        <v>0</v>
      </c>
      <c r="T56" s="163">
        <f t="shared" si="140"/>
        <v>0</v>
      </c>
      <c r="U56" s="163" t="e">
        <f t="shared" ca="1" si="141"/>
        <v>#NUM!</v>
      </c>
      <c r="V56" s="159" t="e">
        <f t="shared" si="142"/>
        <v>#NUM!</v>
      </c>
      <c r="W56" s="159" t="e">
        <f t="shared" si="143"/>
        <v>#NUM!</v>
      </c>
      <c r="X56" s="159" t="e">
        <f t="shared" si="144"/>
        <v>#NUM!</v>
      </c>
      <c r="Y56" s="159" t="e">
        <f t="shared" si="145"/>
        <v>#NUM!</v>
      </c>
      <c r="Z56" s="159" t="e">
        <f t="shared" si="146"/>
        <v>#NUM!</v>
      </c>
      <c r="AA56" s="159" t="e">
        <f t="shared" si="147"/>
        <v>#NUM!</v>
      </c>
      <c r="AB56" s="159" t="e">
        <f t="shared" si="148"/>
        <v>#NUM!</v>
      </c>
      <c r="AC56" s="159" t="e">
        <f t="shared" si="149"/>
        <v>#NUM!</v>
      </c>
      <c r="AD56" s="159" t="e">
        <f t="shared" si="150"/>
        <v>#NUM!</v>
      </c>
      <c r="AE56" s="159" t="e">
        <f t="shared" si="151"/>
        <v>#NUM!</v>
      </c>
      <c r="AF56" s="159" t="e">
        <f t="shared" si="152"/>
        <v>#NUM!</v>
      </c>
      <c r="AG56" s="387" t="e">
        <f t="shared" si="153"/>
        <v>#NUM!</v>
      </c>
      <c r="AH56" s="159" t="e">
        <f t="shared" si="154"/>
        <v>#NUM!</v>
      </c>
      <c r="AI56" s="159" t="e">
        <f t="shared" si="155"/>
        <v>#NUM!</v>
      </c>
      <c r="AJ56" s="387" t="e">
        <f t="shared" si="156"/>
        <v>#NUM!</v>
      </c>
      <c r="AK56" s="159" t="e">
        <f t="shared" si="157"/>
        <v>#NUM!</v>
      </c>
      <c r="AL56" s="159" t="e">
        <f t="shared" si="158"/>
        <v>#NUM!</v>
      </c>
      <c r="AM56" s="159" t="e">
        <f t="shared" si="159"/>
        <v>#NUM!</v>
      </c>
      <c r="AN56" s="159" t="e">
        <f t="shared" si="160"/>
        <v>#NUM!</v>
      </c>
      <c r="AO56" s="159" t="e">
        <f t="shared" si="161"/>
        <v>#NUM!</v>
      </c>
      <c r="AP56" s="159" t="e">
        <f t="shared" si="162"/>
        <v>#NUM!</v>
      </c>
      <c r="AQ56" s="159" t="e">
        <f t="shared" si="163"/>
        <v>#NUM!</v>
      </c>
      <c r="AR56" s="159" t="e">
        <f t="shared" si="164"/>
        <v>#NUM!</v>
      </c>
      <c r="AS56" s="159" t="e">
        <f t="shared" si="165"/>
        <v>#NUM!</v>
      </c>
      <c r="AT56" s="159" t="e">
        <f t="shared" si="166"/>
        <v>#NUM!</v>
      </c>
      <c r="AU56" s="159" t="e">
        <f t="shared" si="167"/>
        <v>#NUM!</v>
      </c>
      <c r="AV56" s="159" t="e">
        <f t="shared" si="168"/>
        <v>#NUM!</v>
      </c>
      <c r="AW56" s="159" t="e">
        <f t="shared" si="169"/>
        <v>#NUM!</v>
      </c>
      <c r="AX56" s="159" t="e">
        <f t="shared" si="170"/>
        <v>#NUM!</v>
      </c>
      <c r="AY56" s="159" t="e">
        <f t="shared" si="171"/>
        <v>#NUM!</v>
      </c>
      <c r="AZ56" s="159" t="e">
        <f t="shared" si="172"/>
        <v>#NUM!</v>
      </c>
      <c r="BA56" s="159" t="e">
        <f t="shared" si="173"/>
        <v>#NUM!</v>
      </c>
      <c r="BB56" s="159" t="e">
        <f t="shared" si="174"/>
        <v>#NUM!</v>
      </c>
      <c r="BC56" s="159" t="e">
        <f t="shared" si="175"/>
        <v>#NUM!</v>
      </c>
      <c r="BD56" s="159" t="e">
        <f t="shared" si="176"/>
        <v>#NUM!</v>
      </c>
      <c r="BE56" s="159" t="e">
        <f t="shared" si="177"/>
        <v>#NUM!</v>
      </c>
      <c r="BF56" s="159" t="e">
        <f t="shared" si="178"/>
        <v>#NUM!</v>
      </c>
      <c r="BG56" s="159" t="e">
        <f t="shared" si="179"/>
        <v>#NUM!</v>
      </c>
      <c r="BH56" s="159" t="e">
        <f t="shared" si="180"/>
        <v>#NUM!</v>
      </c>
      <c r="BI56" s="159" t="e">
        <f t="shared" si="181"/>
        <v>#NUM!</v>
      </c>
      <c r="BJ56" s="159" t="e">
        <f t="shared" si="182"/>
        <v>#NUM!</v>
      </c>
      <c r="BK56" s="159" t="e">
        <f t="shared" si="183"/>
        <v>#NUM!</v>
      </c>
      <c r="BL56" s="159" t="e">
        <f t="shared" si="184"/>
        <v>#NUM!</v>
      </c>
      <c r="BM56" s="159" t="e">
        <f t="shared" si="185"/>
        <v>#NUM!</v>
      </c>
      <c r="BN56" s="159" t="e">
        <f t="shared" si="186"/>
        <v>#NUM!</v>
      </c>
      <c r="BO56" s="159" t="e">
        <f t="shared" si="187"/>
        <v>#NUM!</v>
      </c>
      <c r="BP56" s="159" t="e">
        <f t="shared" si="188"/>
        <v>#NUM!</v>
      </c>
      <c r="BQ56" s="159" t="e">
        <f t="shared" si="189"/>
        <v>#NUM!</v>
      </c>
      <c r="BR56" s="159" t="e">
        <f t="shared" si="190"/>
        <v>#NUM!</v>
      </c>
      <c r="BS56" s="159" t="e">
        <f t="shared" si="191"/>
        <v>#NUM!</v>
      </c>
      <c r="BT56" s="159" t="e">
        <f t="shared" si="192"/>
        <v>#NUM!</v>
      </c>
      <c r="BU56" s="159" t="e">
        <f t="shared" si="193"/>
        <v>#NUM!</v>
      </c>
      <c r="BV56" s="159" t="e">
        <f t="shared" si="194"/>
        <v>#NUM!</v>
      </c>
      <c r="BW56" s="159"/>
      <c r="BX56" s="159"/>
      <c r="BY56" s="159"/>
      <c r="BZ56" s="159"/>
      <c r="CA56" s="159"/>
      <c r="CB56" s="159" t="e">
        <f t="shared" si="195"/>
        <v>#NUM!</v>
      </c>
      <c r="CC56" s="159" t="e">
        <f t="shared" si="196"/>
        <v>#NUM!</v>
      </c>
      <c r="CD56" s="159" t="e">
        <f t="shared" si="197"/>
        <v>#NUM!</v>
      </c>
      <c r="CE56" s="159" t="e">
        <f t="shared" si="198"/>
        <v>#NUM!</v>
      </c>
      <c r="CF56" s="159" t="e">
        <f t="shared" si="199"/>
        <v>#NUM!</v>
      </c>
      <c r="CG56" s="159" t="e">
        <f t="shared" si="200"/>
        <v>#NUM!</v>
      </c>
      <c r="CH56" s="159" t="e">
        <f t="shared" si="201"/>
        <v>#NUM!</v>
      </c>
      <c r="CI56" s="159" t="e">
        <f t="shared" si="202"/>
        <v>#NUM!</v>
      </c>
    </row>
    <row r="57" spans="6:87" x14ac:dyDescent="0.25">
      <c r="F57" s="317">
        <v>42857</v>
      </c>
      <c r="G57" s="530"/>
      <c r="H57" s="531"/>
      <c r="I57" s="371"/>
      <c r="J57" s="163"/>
      <c r="K57" s="163"/>
      <c r="L57" s="163"/>
      <c r="M57" s="163"/>
      <c r="N57" s="163"/>
      <c r="O57" s="163"/>
      <c r="P57" s="163"/>
      <c r="Q57" s="163">
        <f t="shared" si="137"/>
        <v>0.375</v>
      </c>
      <c r="R57" s="163" t="e">
        <f t="shared" si="138"/>
        <v>#NUM!</v>
      </c>
      <c r="S57" s="163">
        <f t="shared" si="139"/>
        <v>0</v>
      </c>
      <c r="T57" s="163">
        <f t="shared" si="140"/>
        <v>0</v>
      </c>
      <c r="U57" s="163" t="e">
        <f t="shared" ca="1" si="141"/>
        <v>#NUM!</v>
      </c>
      <c r="V57" s="159" t="e">
        <f t="shared" si="142"/>
        <v>#NUM!</v>
      </c>
      <c r="W57" s="159" t="e">
        <f t="shared" si="143"/>
        <v>#NUM!</v>
      </c>
      <c r="X57" s="159" t="e">
        <f t="shared" si="144"/>
        <v>#NUM!</v>
      </c>
      <c r="Y57" s="159" t="e">
        <f t="shared" si="145"/>
        <v>#NUM!</v>
      </c>
      <c r="Z57" s="159" t="e">
        <f t="shared" si="146"/>
        <v>#NUM!</v>
      </c>
      <c r="AA57" s="159" t="e">
        <f t="shared" si="147"/>
        <v>#NUM!</v>
      </c>
      <c r="AB57" s="159" t="e">
        <f t="shared" si="148"/>
        <v>#NUM!</v>
      </c>
      <c r="AC57" s="159" t="e">
        <f t="shared" si="149"/>
        <v>#NUM!</v>
      </c>
      <c r="AD57" s="159" t="e">
        <f t="shared" si="150"/>
        <v>#NUM!</v>
      </c>
      <c r="AE57" s="159" t="e">
        <f t="shared" si="151"/>
        <v>#NUM!</v>
      </c>
      <c r="AF57" s="159" t="e">
        <f t="shared" si="152"/>
        <v>#NUM!</v>
      </c>
      <c r="AG57" s="387" t="e">
        <f t="shared" si="153"/>
        <v>#NUM!</v>
      </c>
      <c r="AH57" s="159" t="e">
        <f t="shared" si="154"/>
        <v>#NUM!</v>
      </c>
      <c r="AI57" s="159" t="e">
        <f t="shared" si="155"/>
        <v>#NUM!</v>
      </c>
      <c r="AJ57" s="387" t="e">
        <f t="shared" si="156"/>
        <v>#NUM!</v>
      </c>
      <c r="AK57" s="159" t="e">
        <f t="shared" si="157"/>
        <v>#NUM!</v>
      </c>
      <c r="AL57" s="159" t="e">
        <f t="shared" si="158"/>
        <v>#NUM!</v>
      </c>
      <c r="AM57" s="159" t="e">
        <f t="shared" si="159"/>
        <v>#NUM!</v>
      </c>
      <c r="AN57" s="159" t="e">
        <f t="shared" si="160"/>
        <v>#NUM!</v>
      </c>
      <c r="AO57" s="159" t="e">
        <f t="shared" si="161"/>
        <v>#NUM!</v>
      </c>
      <c r="AP57" s="159" t="e">
        <f t="shared" si="162"/>
        <v>#NUM!</v>
      </c>
      <c r="AQ57" s="159" t="e">
        <f t="shared" si="163"/>
        <v>#NUM!</v>
      </c>
      <c r="AR57" s="159" t="e">
        <f t="shared" si="164"/>
        <v>#NUM!</v>
      </c>
      <c r="AS57" s="159" t="e">
        <f t="shared" si="165"/>
        <v>#NUM!</v>
      </c>
      <c r="AT57" s="159" t="e">
        <f t="shared" si="166"/>
        <v>#NUM!</v>
      </c>
      <c r="AU57" s="159" t="e">
        <f t="shared" si="167"/>
        <v>#NUM!</v>
      </c>
      <c r="AV57" s="159" t="e">
        <f t="shared" si="168"/>
        <v>#NUM!</v>
      </c>
      <c r="AW57" s="159" t="e">
        <f t="shared" si="169"/>
        <v>#NUM!</v>
      </c>
      <c r="AX57" s="159" t="e">
        <f t="shared" si="170"/>
        <v>#NUM!</v>
      </c>
      <c r="AY57" s="159" t="e">
        <f t="shared" si="171"/>
        <v>#NUM!</v>
      </c>
      <c r="AZ57" s="159" t="e">
        <f t="shared" si="172"/>
        <v>#NUM!</v>
      </c>
      <c r="BA57" s="159" t="e">
        <f t="shared" si="173"/>
        <v>#NUM!</v>
      </c>
      <c r="BB57" s="159" t="e">
        <f t="shared" si="174"/>
        <v>#NUM!</v>
      </c>
      <c r="BC57" s="159" t="e">
        <f t="shared" si="175"/>
        <v>#NUM!</v>
      </c>
      <c r="BD57" s="159" t="e">
        <f t="shared" si="176"/>
        <v>#NUM!</v>
      </c>
      <c r="BE57" s="159" t="e">
        <f t="shared" si="177"/>
        <v>#NUM!</v>
      </c>
      <c r="BF57" s="159" t="e">
        <f t="shared" si="178"/>
        <v>#NUM!</v>
      </c>
      <c r="BG57" s="159" t="e">
        <f t="shared" si="179"/>
        <v>#NUM!</v>
      </c>
      <c r="BH57" s="159" t="e">
        <f t="shared" si="180"/>
        <v>#NUM!</v>
      </c>
      <c r="BI57" s="159" t="e">
        <f t="shared" si="181"/>
        <v>#NUM!</v>
      </c>
      <c r="BJ57" s="159" t="e">
        <f t="shared" si="182"/>
        <v>#NUM!</v>
      </c>
      <c r="BK57" s="159" t="e">
        <f t="shared" si="183"/>
        <v>#NUM!</v>
      </c>
      <c r="BL57" s="159" t="e">
        <f t="shared" si="184"/>
        <v>#NUM!</v>
      </c>
      <c r="BM57" s="159" t="e">
        <f t="shared" si="185"/>
        <v>#NUM!</v>
      </c>
      <c r="BN57" s="159" t="e">
        <f t="shared" si="186"/>
        <v>#NUM!</v>
      </c>
      <c r="BO57" s="159" t="e">
        <f t="shared" si="187"/>
        <v>#NUM!</v>
      </c>
      <c r="BP57" s="159" t="e">
        <f t="shared" si="188"/>
        <v>#NUM!</v>
      </c>
      <c r="BQ57" s="159" t="e">
        <f t="shared" si="189"/>
        <v>#NUM!</v>
      </c>
      <c r="BR57" s="159" t="e">
        <f t="shared" si="190"/>
        <v>#NUM!</v>
      </c>
      <c r="BS57" s="159" t="e">
        <f t="shared" si="191"/>
        <v>#NUM!</v>
      </c>
      <c r="BT57" s="159" t="e">
        <f t="shared" si="192"/>
        <v>#NUM!</v>
      </c>
      <c r="BU57" s="159" t="e">
        <f t="shared" si="193"/>
        <v>#NUM!</v>
      </c>
      <c r="BV57" s="159" t="e">
        <f t="shared" si="194"/>
        <v>#NUM!</v>
      </c>
      <c r="BW57" s="159"/>
      <c r="BX57" s="159"/>
      <c r="BY57" s="159"/>
      <c r="BZ57" s="159"/>
      <c r="CA57" s="159"/>
      <c r="CB57" s="159" t="e">
        <f t="shared" si="195"/>
        <v>#NUM!</v>
      </c>
      <c r="CC57" s="159" t="e">
        <f t="shared" si="196"/>
        <v>#NUM!</v>
      </c>
      <c r="CD57" s="159" t="e">
        <f t="shared" si="197"/>
        <v>#NUM!</v>
      </c>
      <c r="CE57" s="159" t="e">
        <f t="shared" si="198"/>
        <v>#NUM!</v>
      </c>
      <c r="CF57" s="159" t="e">
        <f t="shared" si="199"/>
        <v>#NUM!</v>
      </c>
      <c r="CG57" s="159" t="e">
        <f t="shared" si="200"/>
        <v>#NUM!</v>
      </c>
      <c r="CH57" s="159" t="e">
        <f t="shared" si="201"/>
        <v>#NUM!</v>
      </c>
      <c r="CI57" s="159" t="e">
        <f t="shared" si="202"/>
        <v>#NUM!</v>
      </c>
    </row>
    <row r="58" spans="6:87" x14ac:dyDescent="0.25">
      <c r="F58" s="317">
        <v>42857</v>
      </c>
      <c r="G58" s="530"/>
      <c r="H58" s="531"/>
      <c r="I58" s="371"/>
      <c r="J58" s="163"/>
      <c r="K58" s="163"/>
      <c r="L58" s="163"/>
      <c r="M58" s="163"/>
      <c r="N58" s="163"/>
      <c r="O58" s="163"/>
      <c r="P58" s="163"/>
      <c r="Q58" s="163">
        <f t="shared" si="137"/>
        <v>0.375</v>
      </c>
      <c r="R58" s="163" t="e">
        <f t="shared" si="138"/>
        <v>#NUM!</v>
      </c>
      <c r="S58" s="163">
        <f t="shared" si="139"/>
        <v>0</v>
      </c>
      <c r="T58" s="163">
        <f t="shared" si="140"/>
        <v>0</v>
      </c>
      <c r="U58" s="163" t="e">
        <f t="shared" ca="1" si="141"/>
        <v>#NUM!</v>
      </c>
      <c r="V58" s="159" t="e">
        <f t="shared" si="142"/>
        <v>#NUM!</v>
      </c>
      <c r="W58" s="159" t="e">
        <f t="shared" si="143"/>
        <v>#NUM!</v>
      </c>
      <c r="X58" s="159" t="e">
        <f t="shared" si="144"/>
        <v>#NUM!</v>
      </c>
      <c r="Y58" s="159" t="e">
        <f t="shared" si="145"/>
        <v>#NUM!</v>
      </c>
      <c r="Z58" s="159" t="e">
        <f t="shared" si="146"/>
        <v>#NUM!</v>
      </c>
      <c r="AA58" s="159" t="e">
        <f t="shared" si="147"/>
        <v>#NUM!</v>
      </c>
      <c r="AB58" s="159" t="e">
        <f t="shared" si="148"/>
        <v>#NUM!</v>
      </c>
      <c r="AC58" s="159" t="e">
        <f t="shared" si="149"/>
        <v>#NUM!</v>
      </c>
      <c r="AD58" s="159" t="e">
        <f t="shared" si="150"/>
        <v>#NUM!</v>
      </c>
      <c r="AE58" s="159" t="e">
        <f t="shared" si="151"/>
        <v>#NUM!</v>
      </c>
      <c r="AF58" s="159" t="e">
        <f t="shared" si="152"/>
        <v>#NUM!</v>
      </c>
      <c r="AG58" s="387" t="e">
        <f t="shared" si="153"/>
        <v>#NUM!</v>
      </c>
      <c r="AH58" s="159" t="e">
        <f t="shared" si="154"/>
        <v>#NUM!</v>
      </c>
      <c r="AI58" s="159" t="e">
        <f t="shared" si="155"/>
        <v>#NUM!</v>
      </c>
      <c r="AJ58" s="387" t="e">
        <f t="shared" si="156"/>
        <v>#NUM!</v>
      </c>
      <c r="AK58" s="159" t="e">
        <f t="shared" si="157"/>
        <v>#NUM!</v>
      </c>
      <c r="AL58" s="159" t="e">
        <f t="shared" si="158"/>
        <v>#NUM!</v>
      </c>
      <c r="AM58" s="159" t="e">
        <f t="shared" si="159"/>
        <v>#NUM!</v>
      </c>
      <c r="AN58" s="159" t="e">
        <f t="shared" si="160"/>
        <v>#NUM!</v>
      </c>
      <c r="AO58" s="159" t="e">
        <f t="shared" si="161"/>
        <v>#NUM!</v>
      </c>
      <c r="AP58" s="159" t="e">
        <f t="shared" si="162"/>
        <v>#NUM!</v>
      </c>
      <c r="AQ58" s="159" t="e">
        <f t="shared" si="163"/>
        <v>#NUM!</v>
      </c>
      <c r="AR58" s="159" t="e">
        <f t="shared" si="164"/>
        <v>#NUM!</v>
      </c>
      <c r="AS58" s="159" t="e">
        <f t="shared" si="165"/>
        <v>#NUM!</v>
      </c>
      <c r="AT58" s="159" t="e">
        <f t="shared" si="166"/>
        <v>#NUM!</v>
      </c>
      <c r="AU58" s="159" t="e">
        <f t="shared" si="167"/>
        <v>#NUM!</v>
      </c>
      <c r="AV58" s="159" t="e">
        <f t="shared" si="168"/>
        <v>#NUM!</v>
      </c>
      <c r="AW58" s="159" t="e">
        <f t="shared" si="169"/>
        <v>#NUM!</v>
      </c>
      <c r="AX58" s="159" t="e">
        <f t="shared" si="170"/>
        <v>#NUM!</v>
      </c>
      <c r="AY58" s="159" t="e">
        <f t="shared" si="171"/>
        <v>#NUM!</v>
      </c>
      <c r="AZ58" s="159" t="e">
        <f t="shared" si="172"/>
        <v>#NUM!</v>
      </c>
      <c r="BA58" s="159" t="e">
        <f t="shared" si="173"/>
        <v>#NUM!</v>
      </c>
      <c r="BB58" s="159" t="e">
        <f t="shared" si="174"/>
        <v>#NUM!</v>
      </c>
      <c r="BC58" s="159" t="e">
        <f t="shared" si="175"/>
        <v>#NUM!</v>
      </c>
      <c r="BD58" s="159" t="e">
        <f t="shared" si="176"/>
        <v>#NUM!</v>
      </c>
      <c r="BE58" s="159" t="e">
        <f t="shared" si="177"/>
        <v>#NUM!</v>
      </c>
      <c r="BF58" s="159" t="e">
        <f t="shared" si="178"/>
        <v>#NUM!</v>
      </c>
      <c r="BG58" s="159" t="e">
        <f t="shared" si="179"/>
        <v>#NUM!</v>
      </c>
      <c r="BH58" s="159" t="e">
        <f t="shared" si="180"/>
        <v>#NUM!</v>
      </c>
      <c r="BI58" s="159" t="e">
        <f t="shared" si="181"/>
        <v>#NUM!</v>
      </c>
      <c r="BJ58" s="159" t="e">
        <f t="shared" si="182"/>
        <v>#NUM!</v>
      </c>
      <c r="BK58" s="159" t="e">
        <f t="shared" si="183"/>
        <v>#NUM!</v>
      </c>
      <c r="BL58" s="159" t="e">
        <f t="shared" si="184"/>
        <v>#NUM!</v>
      </c>
      <c r="BM58" s="159" t="e">
        <f t="shared" si="185"/>
        <v>#NUM!</v>
      </c>
      <c r="BN58" s="159" t="e">
        <f t="shared" si="186"/>
        <v>#NUM!</v>
      </c>
      <c r="BO58" s="159" t="e">
        <f t="shared" si="187"/>
        <v>#NUM!</v>
      </c>
      <c r="BP58" s="159" t="e">
        <f t="shared" si="188"/>
        <v>#NUM!</v>
      </c>
      <c r="BQ58" s="159" t="e">
        <f t="shared" si="189"/>
        <v>#NUM!</v>
      </c>
      <c r="BR58" s="159" t="e">
        <f t="shared" si="190"/>
        <v>#NUM!</v>
      </c>
      <c r="BS58" s="159" t="e">
        <f t="shared" si="191"/>
        <v>#NUM!</v>
      </c>
      <c r="BT58" s="159" t="e">
        <f t="shared" si="192"/>
        <v>#NUM!</v>
      </c>
      <c r="BU58" s="159" t="e">
        <f t="shared" si="193"/>
        <v>#NUM!</v>
      </c>
      <c r="BV58" s="159" t="e">
        <f t="shared" si="194"/>
        <v>#NUM!</v>
      </c>
      <c r="BW58" s="159"/>
      <c r="BX58" s="159"/>
      <c r="BY58" s="159"/>
      <c r="BZ58" s="159"/>
      <c r="CA58" s="159"/>
      <c r="CB58" s="159" t="e">
        <f t="shared" si="195"/>
        <v>#NUM!</v>
      </c>
      <c r="CC58" s="159" t="e">
        <f t="shared" si="196"/>
        <v>#NUM!</v>
      </c>
      <c r="CD58" s="159" t="e">
        <f t="shared" si="197"/>
        <v>#NUM!</v>
      </c>
      <c r="CE58" s="159" t="e">
        <f t="shared" si="198"/>
        <v>#NUM!</v>
      </c>
      <c r="CF58" s="159" t="e">
        <f t="shared" si="199"/>
        <v>#NUM!</v>
      </c>
      <c r="CG58" s="159" t="e">
        <f t="shared" si="200"/>
        <v>#NUM!</v>
      </c>
      <c r="CH58" s="159" t="e">
        <f t="shared" si="201"/>
        <v>#NUM!</v>
      </c>
      <c r="CI58" s="159" t="e">
        <f t="shared" si="202"/>
        <v>#NUM!</v>
      </c>
    </row>
    <row r="59" spans="6:87" x14ac:dyDescent="0.25">
      <c r="F59" s="317">
        <v>42857</v>
      </c>
      <c r="G59" s="530"/>
      <c r="H59" s="531"/>
      <c r="I59" s="371"/>
      <c r="J59" s="163"/>
      <c r="K59" s="163"/>
      <c r="L59" s="163"/>
      <c r="M59" s="163"/>
      <c r="N59" s="163"/>
      <c r="O59" s="163"/>
      <c r="P59" s="163"/>
      <c r="Q59" s="163">
        <f t="shared" si="137"/>
        <v>0.375</v>
      </c>
      <c r="R59" s="163" t="e">
        <f t="shared" si="138"/>
        <v>#NUM!</v>
      </c>
      <c r="S59" s="163">
        <f t="shared" si="139"/>
        <v>0</v>
      </c>
      <c r="T59" s="163">
        <f t="shared" si="140"/>
        <v>0</v>
      </c>
      <c r="U59" s="163" t="e">
        <f t="shared" ca="1" si="141"/>
        <v>#NUM!</v>
      </c>
      <c r="V59" s="159" t="e">
        <f t="shared" si="142"/>
        <v>#NUM!</v>
      </c>
      <c r="W59" s="159" t="e">
        <f t="shared" si="143"/>
        <v>#NUM!</v>
      </c>
      <c r="X59" s="159" t="e">
        <f t="shared" si="144"/>
        <v>#NUM!</v>
      </c>
      <c r="Y59" s="159" t="e">
        <f t="shared" si="145"/>
        <v>#NUM!</v>
      </c>
      <c r="Z59" s="159" t="e">
        <f t="shared" si="146"/>
        <v>#NUM!</v>
      </c>
      <c r="AA59" s="159" t="e">
        <f t="shared" si="147"/>
        <v>#NUM!</v>
      </c>
      <c r="AB59" s="159" t="e">
        <f t="shared" si="148"/>
        <v>#NUM!</v>
      </c>
      <c r="AC59" s="159" t="e">
        <f t="shared" si="149"/>
        <v>#NUM!</v>
      </c>
      <c r="AD59" s="159" t="e">
        <f t="shared" si="150"/>
        <v>#NUM!</v>
      </c>
      <c r="AE59" s="159" t="e">
        <f t="shared" si="151"/>
        <v>#NUM!</v>
      </c>
      <c r="AF59" s="159" t="e">
        <f t="shared" si="152"/>
        <v>#NUM!</v>
      </c>
      <c r="AG59" s="387" t="e">
        <f t="shared" si="153"/>
        <v>#NUM!</v>
      </c>
      <c r="AH59" s="159" t="e">
        <f t="shared" si="154"/>
        <v>#NUM!</v>
      </c>
      <c r="AI59" s="159" t="e">
        <f t="shared" si="155"/>
        <v>#NUM!</v>
      </c>
      <c r="AJ59" s="387" t="e">
        <f t="shared" si="156"/>
        <v>#NUM!</v>
      </c>
      <c r="AK59" s="159" t="e">
        <f t="shared" si="157"/>
        <v>#NUM!</v>
      </c>
      <c r="AL59" s="159" t="e">
        <f t="shared" si="158"/>
        <v>#NUM!</v>
      </c>
      <c r="AM59" s="159" t="e">
        <f t="shared" si="159"/>
        <v>#NUM!</v>
      </c>
      <c r="AN59" s="159" t="e">
        <f t="shared" si="160"/>
        <v>#NUM!</v>
      </c>
      <c r="AO59" s="159" t="e">
        <f t="shared" si="161"/>
        <v>#NUM!</v>
      </c>
      <c r="AP59" s="159" t="e">
        <f t="shared" si="162"/>
        <v>#NUM!</v>
      </c>
      <c r="AQ59" s="159" t="e">
        <f t="shared" si="163"/>
        <v>#NUM!</v>
      </c>
      <c r="AR59" s="159" t="e">
        <f t="shared" si="164"/>
        <v>#NUM!</v>
      </c>
      <c r="AS59" s="159" t="e">
        <f t="shared" si="165"/>
        <v>#NUM!</v>
      </c>
      <c r="AT59" s="159" t="e">
        <f t="shared" si="166"/>
        <v>#NUM!</v>
      </c>
      <c r="AU59" s="159" t="e">
        <f t="shared" si="167"/>
        <v>#NUM!</v>
      </c>
      <c r="AV59" s="159" t="e">
        <f t="shared" si="168"/>
        <v>#NUM!</v>
      </c>
      <c r="AW59" s="159" t="e">
        <f t="shared" si="169"/>
        <v>#NUM!</v>
      </c>
      <c r="AX59" s="159" t="e">
        <f t="shared" si="170"/>
        <v>#NUM!</v>
      </c>
      <c r="AY59" s="159" t="e">
        <f t="shared" si="171"/>
        <v>#NUM!</v>
      </c>
      <c r="AZ59" s="159" t="e">
        <f t="shared" si="172"/>
        <v>#NUM!</v>
      </c>
      <c r="BA59" s="159" t="e">
        <f t="shared" si="173"/>
        <v>#NUM!</v>
      </c>
      <c r="BB59" s="159" t="e">
        <f t="shared" si="174"/>
        <v>#NUM!</v>
      </c>
      <c r="BC59" s="159" t="e">
        <f t="shared" si="175"/>
        <v>#NUM!</v>
      </c>
      <c r="BD59" s="159" t="e">
        <f t="shared" si="176"/>
        <v>#NUM!</v>
      </c>
      <c r="BE59" s="159" t="e">
        <f t="shared" si="177"/>
        <v>#NUM!</v>
      </c>
      <c r="BF59" s="159" t="e">
        <f t="shared" si="178"/>
        <v>#NUM!</v>
      </c>
      <c r="BG59" s="159" t="e">
        <f t="shared" si="179"/>
        <v>#NUM!</v>
      </c>
      <c r="BH59" s="159" t="e">
        <f t="shared" si="180"/>
        <v>#NUM!</v>
      </c>
      <c r="BI59" s="159" t="e">
        <f t="shared" si="181"/>
        <v>#NUM!</v>
      </c>
      <c r="BJ59" s="159" t="e">
        <f t="shared" si="182"/>
        <v>#NUM!</v>
      </c>
      <c r="BK59" s="159" t="e">
        <f t="shared" si="183"/>
        <v>#NUM!</v>
      </c>
      <c r="BL59" s="159" t="e">
        <f t="shared" si="184"/>
        <v>#NUM!</v>
      </c>
      <c r="BM59" s="159" t="e">
        <f t="shared" si="185"/>
        <v>#NUM!</v>
      </c>
      <c r="BN59" s="159" t="e">
        <f t="shared" si="186"/>
        <v>#NUM!</v>
      </c>
      <c r="BO59" s="159" t="e">
        <f t="shared" si="187"/>
        <v>#NUM!</v>
      </c>
      <c r="BP59" s="159" t="e">
        <f t="shared" si="188"/>
        <v>#NUM!</v>
      </c>
      <c r="BQ59" s="159" t="e">
        <f t="shared" si="189"/>
        <v>#NUM!</v>
      </c>
      <c r="BR59" s="159" t="e">
        <f t="shared" si="190"/>
        <v>#NUM!</v>
      </c>
      <c r="BS59" s="159" t="e">
        <f t="shared" si="191"/>
        <v>#NUM!</v>
      </c>
      <c r="BT59" s="159" t="e">
        <f t="shared" si="192"/>
        <v>#NUM!</v>
      </c>
      <c r="BU59" s="159" t="e">
        <f t="shared" si="193"/>
        <v>#NUM!</v>
      </c>
      <c r="BV59" s="159" t="e">
        <f t="shared" si="194"/>
        <v>#NUM!</v>
      </c>
      <c r="BW59" s="159"/>
      <c r="BX59" s="159"/>
      <c r="BY59" s="159"/>
      <c r="BZ59" s="159"/>
      <c r="CA59" s="159"/>
      <c r="CB59" s="159" t="e">
        <f t="shared" si="195"/>
        <v>#NUM!</v>
      </c>
      <c r="CC59" s="159" t="e">
        <f t="shared" si="196"/>
        <v>#NUM!</v>
      </c>
      <c r="CD59" s="159" t="e">
        <f t="shared" si="197"/>
        <v>#NUM!</v>
      </c>
      <c r="CE59" s="159" t="e">
        <f t="shared" si="198"/>
        <v>#NUM!</v>
      </c>
      <c r="CF59" s="159" t="e">
        <f t="shared" si="199"/>
        <v>#NUM!</v>
      </c>
      <c r="CG59" s="159" t="e">
        <f t="shared" si="200"/>
        <v>#NUM!</v>
      </c>
      <c r="CH59" s="159" t="e">
        <f t="shared" si="201"/>
        <v>#NUM!</v>
      </c>
      <c r="CI59" s="159" t="e">
        <f t="shared" si="202"/>
        <v>#NUM!</v>
      </c>
    </row>
    <row r="60" spans="6:87" x14ac:dyDescent="0.25">
      <c r="F60" s="317">
        <v>42857</v>
      </c>
      <c r="G60" s="530"/>
      <c r="H60" s="531"/>
      <c r="I60" s="371"/>
      <c r="J60" s="163"/>
      <c r="K60" s="163"/>
      <c r="L60" s="163"/>
      <c r="M60" s="163"/>
      <c r="N60" s="163"/>
      <c r="O60" s="163"/>
      <c r="P60" s="163"/>
      <c r="Q60" s="163">
        <f t="shared" si="137"/>
        <v>0.375</v>
      </c>
      <c r="R60" s="163" t="e">
        <f t="shared" si="138"/>
        <v>#NUM!</v>
      </c>
      <c r="S60" s="163">
        <f t="shared" si="139"/>
        <v>0</v>
      </c>
      <c r="T60" s="163">
        <f t="shared" si="140"/>
        <v>0</v>
      </c>
      <c r="U60" s="163" t="e">
        <f t="shared" ca="1" si="141"/>
        <v>#NUM!</v>
      </c>
      <c r="V60" s="159" t="e">
        <f t="shared" si="142"/>
        <v>#NUM!</v>
      </c>
      <c r="W60" s="159" t="e">
        <f t="shared" si="143"/>
        <v>#NUM!</v>
      </c>
      <c r="X60" s="159" t="e">
        <f t="shared" si="144"/>
        <v>#NUM!</v>
      </c>
      <c r="Y60" s="159" t="e">
        <f t="shared" si="145"/>
        <v>#NUM!</v>
      </c>
      <c r="Z60" s="159" t="e">
        <f t="shared" si="146"/>
        <v>#NUM!</v>
      </c>
      <c r="AA60" s="159" t="e">
        <f t="shared" si="147"/>
        <v>#NUM!</v>
      </c>
      <c r="AB60" s="159" t="e">
        <f t="shared" si="148"/>
        <v>#NUM!</v>
      </c>
      <c r="AC60" s="159" t="e">
        <f t="shared" si="149"/>
        <v>#NUM!</v>
      </c>
      <c r="AD60" s="159" t="e">
        <f t="shared" si="150"/>
        <v>#NUM!</v>
      </c>
      <c r="AE60" s="159" t="e">
        <f t="shared" si="151"/>
        <v>#NUM!</v>
      </c>
      <c r="AF60" s="159" t="e">
        <f t="shared" si="152"/>
        <v>#NUM!</v>
      </c>
      <c r="AG60" s="387" t="e">
        <f t="shared" si="153"/>
        <v>#NUM!</v>
      </c>
      <c r="AH60" s="159" t="e">
        <f t="shared" si="154"/>
        <v>#NUM!</v>
      </c>
      <c r="AI60" s="159" t="e">
        <f t="shared" si="155"/>
        <v>#NUM!</v>
      </c>
      <c r="AJ60" s="387" t="e">
        <f t="shared" si="156"/>
        <v>#NUM!</v>
      </c>
      <c r="AK60" s="159" t="e">
        <f t="shared" si="157"/>
        <v>#NUM!</v>
      </c>
      <c r="AL60" s="159" t="e">
        <f t="shared" si="158"/>
        <v>#NUM!</v>
      </c>
      <c r="AM60" s="159" t="e">
        <f t="shared" si="159"/>
        <v>#NUM!</v>
      </c>
      <c r="AN60" s="159" t="e">
        <f t="shared" si="160"/>
        <v>#NUM!</v>
      </c>
      <c r="AO60" s="159" t="e">
        <f t="shared" si="161"/>
        <v>#NUM!</v>
      </c>
      <c r="AP60" s="159" t="e">
        <f t="shared" si="162"/>
        <v>#NUM!</v>
      </c>
      <c r="AQ60" s="159" t="e">
        <f t="shared" si="163"/>
        <v>#NUM!</v>
      </c>
      <c r="AR60" s="159" t="e">
        <f t="shared" si="164"/>
        <v>#NUM!</v>
      </c>
      <c r="AS60" s="159" t="e">
        <f t="shared" si="165"/>
        <v>#NUM!</v>
      </c>
      <c r="AT60" s="159" t="e">
        <f t="shared" si="166"/>
        <v>#NUM!</v>
      </c>
      <c r="AU60" s="159" t="e">
        <f t="shared" si="167"/>
        <v>#NUM!</v>
      </c>
      <c r="AV60" s="159" t="e">
        <f t="shared" si="168"/>
        <v>#NUM!</v>
      </c>
      <c r="AW60" s="159" t="e">
        <f t="shared" si="169"/>
        <v>#NUM!</v>
      </c>
      <c r="AX60" s="159" t="e">
        <f t="shared" si="170"/>
        <v>#NUM!</v>
      </c>
      <c r="AY60" s="159" t="e">
        <f t="shared" si="171"/>
        <v>#NUM!</v>
      </c>
      <c r="AZ60" s="159" t="e">
        <f t="shared" si="172"/>
        <v>#NUM!</v>
      </c>
      <c r="BA60" s="159" t="e">
        <f t="shared" si="173"/>
        <v>#NUM!</v>
      </c>
      <c r="BB60" s="159" t="e">
        <f t="shared" si="174"/>
        <v>#NUM!</v>
      </c>
      <c r="BC60" s="159" t="e">
        <f t="shared" si="175"/>
        <v>#NUM!</v>
      </c>
      <c r="BD60" s="159" t="e">
        <f t="shared" si="176"/>
        <v>#NUM!</v>
      </c>
      <c r="BE60" s="159" t="e">
        <f t="shared" si="177"/>
        <v>#NUM!</v>
      </c>
      <c r="BF60" s="159" t="e">
        <f t="shared" si="178"/>
        <v>#NUM!</v>
      </c>
      <c r="BG60" s="159" t="e">
        <f t="shared" si="179"/>
        <v>#NUM!</v>
      </c>
      <c r="BH60" s="159" t="e">
        <f t="shared" si="180"/>
        <v>#NUM!</v>
      </c>
      <c r="BI60" s="159" t="e">
        <f t="shared" si="181"/>
        <v>#NUM!</v>
      </c>
      <c r="BJ60" s="159" t="e">
        <f t="shared" si="182"/>
        <v>#NUM!</v>
      </c>
      <c r="BK60" s="159" t="e">
        <f t="shared" si="183"/>
        <v>#NUM!</v>
      </c>
      <c r="BL60" s="159" t="e">
        <f t="shared" si="184"/>
        <v>#NUM!</v>
      </c>
      <c r="BM60" s="159" t="e">
        <f t="shared" si="185"/>
        <v>#NUM!</v>
      </c>
      <c r="BN60" s="159" t="e">
        <f t="shared" si="186"/>
        <v>#NUM!</v>
      </c>
      <c r="BO60" s="159" t="e">
        <f t="shared" si="187"/>
        <v>#NUM!</v>
      </c>
      <c r="BP60" s="159" t="e">
        <f t="shared" si="188"/>
        <v>#NUM!</v>
      </c>
      <c r="BQ60" s="159" t="e">
        <f t="shared" si="189"/>
        <v>#NUM!</v>
      </c>
      <c r="BR60" s="159" t="e">
        <f t="shared" si="190"/>
        <v>#NUM!</v>
      </c>
      <c r="BS60" s="159" t="e">
        <f t="shared" si="191"/>
        <v>#NUM!</v>
      </c>
      <c r="BT60" s="159" t="e">
        <f t="shared" si="192"/>
        <v>#NUM!</v>
      </c>
      <c r="BU60" s="159" t="e">
        <f t="shared" si="193"/>
        <v>#NUM!</v>
      </c>
      <c r="BV60" s="159" t="e">
        <f t="shared" si="194"/>
        <v>#NUM!</v>
      </c>
      <c r="BW60" s="159"/>
      <c r="BX60" s="159"/>
      <c r="BY60" s="159"/>
      <c r="BZ60" s="159"/>
      <c r="CA60" s="159"/>
      <c r="CB60" s="159" t="e">
        <f t="shared" si="195"/>
        <v>#NUM!</v>
      </c>
      <c r="CC60" s="159" t="e">
        <f t="shared" si="196"/>
        <v>#NUM!</v>
      </c>
      <c r="CD60" s="159" t="e">
        <f t="shared" si="197"/>
        <v>#NUM!</v>
      </c>
      <c r="CE60" s="159" t="e">
        <f t="shared" si="198"/>
        <v>#NUM!</v>
      </c>
      <c r="CF60" s="159" t="e">
        <f t="shared" si="199"/>
        <v>#NUM!</v>
      </c>
      <c r="CG60" s="159" t="e">
        <f t="shared" si="200"/>
        <v>#NUM!</v>
      </c>
      <c r="CH60" s="159" t="e">
        <f t="shared" si="201"/>
        <v>#NUM!</v>
      </c>
      <c r="CI60" s="159" t="e">
        <f t="shared" si="202"/>
        <v>#NUM!</v>
      </c>
    </row>
    <row r="61" spans="6:87" x14ac:dyDescent="0.25">
      <c r="F61" s="317">
        <v>42857</v>
      </c>
      <c r="G61" s="530"/>
      <c r="H61" s="531"/>
      <c r="I61" s="371"/>
      <c r="J61" s="163"/>
      <c r="K61" s="163"/>
      <c r="L61" s="163"/>
      <c r="M61" s="163"/>
      <c r="N61" s="163"/>
      <c r="O61" s="163"/>
      <c r="P61" s="163"/>
      <c r="Q61" s="163">
        <f t="shared" si="137"/>
        <v>0.375</v>
      </c>
      <c r="R61" s="163" t="e">
        <f t="shared" si="138"/>
        <v>#NUM!</v>
      </c>
      <c r="S61" s="163">
        <f t="shared" si="139"/>
        <v>0</v>
      </c>
      <c r="T61" s="163">
        <f t="shared" si="140"/>
        <v>0</v>
      </c>
      <c r="U61" s="163" t="e">
        <f t="shared" ca="1" si="141"/>
        <v>#NUM!</v>
      </c>
      <c r="V61" s="159" t="e">
        <f t="shared" si="142"/>
        <v>#NUM!</v>
      </c>
      <c r="W61" s="159" t="e">
        <f t="shared" si="143"/>
        <v>#NUM!</v>
      </c>
      <c r="X61" s="159" t="e">
        <f t="shared" si="144"/>
        <v>#NUM!</v>
      </c>
      <c r="Y61" s="159" t="e">
        <f t="shared" si="145"/>
        <v>#NUM!</v>
      </c>
      <c r="Z61" s="159" t="e">
        <f t="shared" si="146"/>
        <v>#NUM!</v>
      </c>
      <c r="AA61" s="159" t="e">
        <f t="shared" si="147"/>
        <v>#NUM!</v>
      </c>
      <c r="AB61" s="159" t="e">
        <f t="shared" si="148"/>
        <v>#NUM!</v>
      </c>
      <c r="AC61" s="159" t="e">
        <f t="shared" si="149"/>
        <v>#NUM!</v>
      </c>
      <c r="AD61" s="159" t="e">
        <f t="shared" si="150"/>
        <v>#NUM!</v>
      </c>
      <c r="AE61" s="159" t="e">
        <f t="shared" si="151"/>
        <v>#NUM!</v>
      </c>
      <c r="AF61" s="159" t="e">
        <f t="shared" si="152"/>
        <v>#NUM!</v>
      </c>
      <c r="AG61" s="387" t="e">
        <f t="shared" si="153"/>
        <v>#NUM!</v>
      </c>
      <c r="AH61" s="159" t="e">
        <f t="shared" si="154"/>
        <v>#NUM!</v>
      </c>
      <c r="AI61" s="159" t="e">
        <f t="shared" si="155"/>
        <v>#NUM!</v>
      </c>
      <c r="AJ61" s="387" t="e">
        <f t="shared" si="156"/>
        <v>#NUM!</v>
      </c>
      <c r="AK61" s="159" t="e">
        <f t="shared" si="157"/>
        <v>#NUM!</v>
      </c>
      <c r="AL61" s="159" t="e">
        <f t="shared" si="158"/>
        <v>#NUM!</v>
      </c>
      <c r="AM61" s="159" t="e">
        <f t="shared" si="159"/>
        <v>#NUM!</v>
      </c>
      <c r="AN61" s="159" t="e">
        <f t="shared" si="160"/>
        <v>#NUM!</v>
      </c>
      <c r="AO61" s="159" t="e">
        <f t="shared" si="161"/>
        <v>#NUM!</v>
      </c>
      <c r="AP61" s="159" t="e">
        <f t="shared" si="162"/>
        <v>#NUM!</v>
      </c>
      <c r="AQ61" s="159" t="e">
        <f t="shared" si="163"/>
        <v>#NUM!</v>
      </c>
      <c r="AR61" s="159" t="e">
        <f t="shared" si="164"/>
        <v>#NUM!</v>
      </c>
      <c r="AS61" s="159" t="e">
        <f t="shared" si="165"/>
        <v>#NUM!</v>
      </c>
      <c r="AT61" s="159" t="e">
        <f t="shared" si="166"/>
        <v>#NUM!</v>
      </c>
      <c r="AU61" s="159" t="e">
        <f t="shared" si="167"/>
        <v>#NUM!</v>
      </c>
      <c r="AV61" s="159" t="e">
        <f t="shared" si="168"/>
        <v>#NUM!</v>
      </c>
      <c r="AW61" s="159" t="e">
        <f t="shared" si="169"/>
        <v>#NUM!</v>
      </c>
      <c r="AX61" s="159" t="e">
        <f t="shared" si="170"/>
        <v>#NUM!</v>
      </c>
      <c r="AY61" s="159" t="e">
        <f t="shared" si="171"/>
        <v>#NUM!</v>
      </c>
      <c r="AZ61" s="159" t="e">
        <f t="shared" si="172"/>
        <v>#NUM!</v>
      </c>
      <c r="BA61" s="159" t="e">
        <f t="shared" si="173"/>
        <v>#NUM!</v>
      </c>
      <c r="BB61" s="159" t="e">
        <f t="shared" si="174"/>
        <v>#NUM!</v>
      </c>
      <c r="BC61" s="159" t="e">
        <f t="shared" si="175"/>
        <v>#NUM!</v>
      </c>
      <c r="BD61" s="159" t="e">
        <f t="shared" si="176"/>
        <v>#NUM!</v>
      </c>
      <c r="BE61" s="159" t="e">
        <f t="shared" si="177"/>
        <v>#NUM!</v>
      </c>
      <c r="BF61" s="159" t="e">
        <f t="shared" si="178"/>
        <v>#NUM!</v>
      </c>
      <c r="BG61" s="159" t="e">
        <f t="shared" si="179"/>
        <v>#NUM!</v>
      </c>
      <c r="BH61" s="159" t="e">
        <f t="shared" si="180"/>
        <v>#NUM!</v>
      </c>
      <c r="BI61" s="159" t="e">
        <f t="shared" si="181"/>
        <v>#NUM!</v>
      </c>
      <c r="BJ61" s="159" t="e">
        <f t="shared" si="182"/>
        <v>#NUM!</v>
      </c>
      <c r="BK61" s="159" t="e">
        <f t="shared" si="183"/>
        <v>#NUM!</v>
      </c>
      <c r="BL61" s="159" t="e">
        <f t="shared" si="184"/>
        <v>#NUM!</v>
      </c>
      <c r="BM61" s="159" t="e">
        <f t="shared" si="185"/>
        <v>#NUM!</v>
      </c>
      <c r="BN61" s="159" t="e">
        <f t="shared" si="186"/>
        <v>#NUM!</v>
      </c>
      <c r="BO61" s="159" t="e">
        <f t="shared" si="187"/>
        <v>#NUM!</v>
      </c>
      <c r="BP61" s="159" t="e">
        <f t="shared" si="188"/>
        <v>#NUM!</v>
      </c>
      <c r="BQ61" s="159" t="e">
        <f t="shared" si="189"/>
        <v>#NUM!</v>
      </c>
      <c r="BR61" s="159" t="e">
        <f t="shared" si="190"/>
        <v>#NUM!</v>
      </c>
      <c r="BS61" s="159" t="e">
        <f t="shared" si="191"/>
        <v>#NUM!</v>
      </c>
      <c r="BT61" s="159" t="e">
        <f t="shared" si="192"/>
        <v>#NUM!</v>
      </c>
      <c r="BU61" s="159" t="e">
        <f t="shared" si="193"/>
        <v>#NUM!</v>
      </c>
      <c r="BV61" s="159" t="e">
        <f t="shared" si="194"/>
        <v>#NUM!</v>
      </c>
      <c r="BW61" s="159"/>
      <c r="BX61" s="159"/>
      <c r="BY61" s="159"/>
      <c r="BZ61" s="159"/>
      <c r="CA61" s="159"/>
      <c r="CB61" s="159" t="e">
        <f t="shared" si="195"/>
        <v>#NUM!</v>
      </c>
      <c r="CC61" s="159" t="e">
        <f t="shared" si="196"/>
        <v>#NUM!</v>
      </c>
      <c r="CD61" s="159" t="e">
        <f t="shared" si="197"/>
        <v>#NUM!</v>
      </c>
      <c r="CE61" s="159" t="e">
        <f t="shared" si="198"/>
        <v>#NUM!</v>
      </c>
      <c r="CF61" s="159" t="e">
        <f t="shared" si="199"/>
        <v>#NUM!</v>
      </c>
      <c r="CG61" s="159" t="e">
        <f t="shared" si="200"/>
        <v>#NUM!</v>
      </c>
      <c r="CH61" s="159" t="e">
        <f t="shared" si="201"/>
        <v>#NUM!</v>
      </c>
      <c r="CI61" s="159" t="e">
        <f t="shared" si="202"/>
        <v>#NUM!</v>
      </c>
    </row>
    <row r="62" spans="6:87" x14ac:dyDescent="0.25">
      <c r="F62" s="317">
        <v>42857</v>
      </c>
      <c r="G62" s="530"/>
      <c r="H62" s="531"/>
      <c r="I62" s="371"/>
      <c r="J62" s="163"/>
      <c r="K62" s="163"/>
      <c r="L62" s="163"/>
      <c r="M62" s="163"/>
      <c r="N62" s="163"/>
      <c r="O62" s="163"/>
      <c r="P62" s="163"/>
      <c r="Q62" s="163">
        <f t="shared" si="137"/>
        <v>0.375</v>
      </c>
      <c r="R62" s="163" t="e">
        <f t="shared" si="138"/>
        <v>#NUM!</v>
      </c>
      <c r="S62" s="163">
        <f t="shared" si="139"/>
        <v>0</v>
      </c>
      <c r="T62" s="163">
        <f t="shared" si="140"/>
        <v>0</v>
      </c>
      <c r="U62" s="163" t="e">
        <f t="shared" ca="1" si="141"/>
        <v>#NUM!</v>
      </c>
      <c r="V62" s="159" t="e">
        <f t="shared" si="142"/>
        <v>#NUM!</v>
      </c>
      <c r="W62" s="159" t="e">
        <f t="shared" si="143"/>
        <v>#NUM!</v>
      </c>
      <c r="X62" s="159" t="e">
        <f t="shared" si="144"/>
        <v>#NUM!</v>
      </c>
      <c r="Y62" s="159" t="e">
        <f t="shared" si="145"/>
        <v>#NUM!</v>
      </c>
      <c r="Z62" s="159" t="e">
        <f t="shared" si="146"/>
        <v>#NUM!</v>
      </c>
      <c r="AA62" s="159" t="e">
        <f t="shared" si="147"/>
        <v>#NUM!</v>
      </c>
      <c r="AB62" s="159" t="e">
        <f t="shared" si="148"/>
        <v>#NUM!</v>
      </c>
      <c r="AC62" s="159" t="e">
        <f t="shared" si="149"/>
        <v>#NUM!</v>
      </c>
      <c r="AD62" s="159" t="e">
        <f t="shared" si="150"/>
        <v>#NUM!</v>
      </c>
      <c r="AE62" s="159" t="e">
        <f t="shared" si="151"/>
        <v>#NUM!</v>
      </c>
      <c r="AF62" s="159" t="e">
        <f t="shared" si="152"/>
        <v>#NUM!</v>
      </c>
      <c r="AG62" s="387" t="e">
        <f t="shared" si="153"/>
        <v>#NUM!</v>
      </c>
      <c r="AH62" s="159" t="e">
        <f t="shared" si="154"/>
        <v>#NUM!</v>
      </c>
      <c r="AI62" s="159" t="e">
        <f t="shared" si="155"/>
        <v>#NUM!</v>
      </c>
      <c r="AJ62" s="387" t="e">
        <f t="shared" si="156"/>
        <v>#NUM!</v>
      </c>
      <c r="AK62" s="159" t="e">
        <f t="shared" si="157"/>
        <v>#NUM!</v>
      </c>
      <c r="AL62" s="159" t="e">
        <f t="shared" si="158"/>
        <v>#NUM!</v>
      </c>
      <c r="AM62" s="159" t="e">
        <f t="shared" si="159"/>
        <v>#NUM!</v>
      </c>
      <c r="AN62" s="159" t="e">
        <f t="shared" si="160"/>
        <v>#NUM!</v>
      </c>
      <c r="AO62" s="159" t="e">
        <f t="shared" si="161"/>
        <v>#NUM!</v>
      </c>
      <c r="AP62" s="159" t="e">
        <f t="shared" si="162"/>
        <v>#NUM!</v>
      </c>
      <c r="AQ62" s="159" t="e">
        <f t="shared" si="163"/>
        <v>#NUM!</v>
      </c>
      <c r="AR62" s="159" t="e">
        <f t="shared" si="164"/>
        <v>#NUM!</v>
      </c>
      <c r="AS62" s="159" t="e">
        <f t="shared" si="165"/>
        <v>#NUM!</v>
      </c>
      <c r="AT62" s="159" t="e">
        <f t="shared" si="166"/>
        <v>#NUM!</v>
      </c>
      <c r="AU62" s="159" t="e">
        <f t="shared" si="167"/>
        <v>#NUM!</v>
      </c>
      <c r="AV62" s="159" t="e">
        <f t="shared" si="168"/>
        <v>#NUM!</v>
      </c>
      <c r="AW62" s="159" t="e">
        <f t="shared" si="169"/>
        <v>#NUM!</v>
      </c>
      <c r="AX62" s="159" t="e">
        <f t="shared" si="170"/>
        <v>#NUM!</v>
      </c>
      <c r="AY62" s="159" t="e">
        <f t="shared" si="171"/>
        <v>#NUM!</v>
      </c>
      <c r="AZ62" s="159" t="e">
        <f t="shared" si="172"/>
        <v>#NUM!</v>
      </c>
      <c r="BA62" s="159" t="e">
        <f t="shared" si="173"/>
        <v>#NUM!</v>
      </c>
      <c r="BB62" s="159" t="e">
        <f t="shared" si="174"/>
        <v>#NUM!</v>
      </c>
      <c r="BC62" s="159" t="e">
        <f t="shared" si="175"/>
        <v>#NUM!</v>
      </c>
      <c r="BD62" s="159" t="e">
        <f t="shared" si="176"/>
        <v>#NUM!</v>
      </c>
      <c r="BE62" s="159" t="e">
        <f t="shared" si="177"/>
        <v>#NUM!</v>
      </c>
      <c r="BF62" s="159" t="e">
        <f t="shared" si="178"/>
        <v>#NUM!</v>
      </c>
      <c r="BG62" s="159" t="e">
        <f t="shared" si="179"/>
        <v>#NUM!</v>
      </c>
      <c r="BH62" s="159" t="e">
        <f t="shared" si="180"/>
        <v>#NUM!</v>
      </c>
      <c r="BI62" s="159" t="e">
        <f t="shared" si="181"/>
        <v>#NUM!</v>
      </c>
      <c r="BJ62" s="159" t="e">
        <f t="shared" si="182"/>
        <v>#NUM!</v>
      </c>
      <c r="BK62" s="159" t="e">
        <f t="shared" si="183"/>
        <v>#NUM!</v>
      </c>
      <c r="BL62" s="159" t="e">
        <f t="shared" si="184"/>
        <v>#NUM!</v>
      </c>
      <c r="BM62" s="159" t="e">
        <f t="shared" si="185"/>
        <v>#NUM!</v>
      </c>
      <c r="BN62" s="159" t="e">
        <f t="shared" si="186"/>
        <v>#NUM!</v>
      </c>
      <c r="BO62" s="159" t="e">
        <f t="shared" si="187"/>
        <v>#NUM!</v>
      </c>
      <c r="BP62" s="159" t="e">
        <f t="shared" si="188"/>
        <v>#NUM!</v>
      </c>
      <c r="BQ62" s="159" t="e">
        <f t="shared" si="189"/>
        <v>#NUM!</v>
      </c>
      <c r="BR62" s="159" t="e">
        <f t="shared" si="190"/>
        <v>#NUM!</v>
      </c>
      <c r="BS62" s="159" t="e">
        <f t="shared" si="191"/>
        <v>#NUM!</v>
      </c>
      <c r="BT62" s="159" t="e">
        <f t="shared" si="192"/>
        <v>#NUM!</v>
      </c>
      <c r="BU62" s="159" t="e">
        <f t="shared" si="193"/>
        <v>#NUM!</v>
      </c>
      <c r="BV62" s="159" t="e">
        <f t="shared" si="194"/>
        <v>#NUM!</v>
      </c>
      <c r="BW62" s="159"/>
      <c r="BX62" s="159"/>
      <c r="BY62" s="159"/>
      <c r="BZ62" s="159"/>
      <c r="CA62" s="159"/>
      <c r="CB62" s="159" t="e">
        <f t="shared" si="195"/>
        <v>#NUM!</v>
      </c>
      <c r="CC62" s="159" t="e">
        <f t="shared" si="196"/>
        <v>#NUM!</v>
      </c>
      <c r="CD62" s="159" t="e">
        <f t="shared" si="197"/>
        <v>#NUM!</v>
      </c>
      <c r="CE62" s="159" t="e">
        <f t="shared" si="198"/>
        <v>#NUM!</v>
      </c>
      <c r="CF62" s="159" t="e">
        <f t="shared" si="199"/>
        <v>#NUM!</v>
      </c>
      <c r="CG62" s="159" t="e">
        <f t="shared" si="200"/>
        <v>#NUM!</v>
      </c>
      <c r="CH62" s="159" t="e">
        <f t="shared" si="201"/>
        <v>#NUM!</v>
      </c>
      <c r="CI62" s="159" t="e">
        <f t="shared" si="202"/>
        <v>#NUM!</v>
      </c>
    </row>
    <row r="63" spans="6:87" x14ac:dyDescent="0.25">
      <c r="F63" s="317">
        <v>42857</v>
      </c>
      <c r="G63" s="530"/>
      <c r="H63" s="531"/>
      <c r="I63" s="371"/>
      <c r="J63" s="163"/>
      <c r="K63" s="163"/>
      <c r="L63" s="163"/>
      <c r="M63" s="163"/>
      <c r="N63" s="163"/>
      <c r="O63" s="163"/>
      <c r="P63" s="163"/>
      <c r="Q63" s="163">
        <f t="shared" si="137"/>
        <v>0.375</v>
      </c>
      <c r="R63" s="163" t="e">
        <f t="shared" si="138"/>
        <v>#NUM!</v>
      </c>
      <c r="S63" s="163">
        <f t="shared" si="139"/>
        <v>0</v>
      </c>
      <c r="T63" s="163">
        <f t="shared" si="140"/>
        <v>0</v>
      </c>
      <c r="U63" s="163" t="e">
        <f t="shared" ca="1" si="141"/>
        <v>#NUM!</v>
      </c>
      <c r="V63" s="159" t="e">
        <f t="shared" si="142"/>
        <v>#NUM!</v>
      </c>
      <c r="W63" s="159" t="e">
        <f t="shared" si="143"/>
        <v>#NUM!</v>
      </c>
      <c r="X63" s="159" t="e">
        <f t="shared" si="144"/>
        <v>#NUM!</v>
      </c>
      <c r="Y63" s="159" t="e">
        <f t="shared" si="145"/>
        <v>#NUM!</v>
      </c>
      <c r="Z63" s="159" t="e">
        <f t="shared" si="146"/>
        <v>#NUM!</v>
      </c>
      <c r="AA63" s="159" t="e">
        <f t="shared" si="147"/>
        <v>#NUM!</v>
      </c>
      <c r="AB63" s="159" t="e">
        <f t="shared" si="148"/>
        <v>#NUM!</v>
      </c>
      <c r="AC63" s="159" t="e">
        <f t="shared" si="149"/>
        <v>#NUM!</v>
      </c>
      <c r="AD63" s="159" t="e">
        <f t="shared" si="150"/>
        <v>#NUM!</v>
      </c>
      <c r="AE63" s="159" t="e">
        <f t="shared" si="151"/>
        <v>#NUM!</v>
      </c>
      <c r="AF63" s="159" t="e">
        <f t="shared" si="152"/>
        <v>#NUM!</v>
      </c>
      <c r="AG63" s="387" t="e">
        <f t="shared" si="153"/>
        <v>#NUM!</v>
      </c>
      <c r="AH63" s="159" t="e">
        <f t="shared" si="154"/>
        <v>#NUM!</v>
      </c>
      <c r="AI63" s="159" t="e">
        <f t="shared" si="155"/>
        <v>#NUM!</v>
      </c>
      <c r="AJ63" s="387" t="e">
        <f t="shared" si="156"/>
        <v>#NUM!</v>
      </c>
      <c r="AK63" s="159" t="e">
        <f t="shared" si="157"/>
        <v>#NUM!</v>
      </c>
      <c r="AL63" s="159" t="e">
        <f t="shared" si="158"/>
        <v>#NUM!</v>
      </c>
      <c r="AM63" s="159" t="e">
        <f t="shared" si="159"/>
        <v>#NUM!</v>
      </c>
      <c r="AN63" s="159" t="e">
        <f t="shared" si="160"/>
        <v>#NUM!</v>
      </c>
      <c r="AO63" s="159" t="e">
        <f t="shared" si="161"/>
        <v>#NUM!</v>
      </c>
      <c r="AP63" s="159" t="e">
        <f t="shared" si="162"/>
        <v>#NUM!</v>
      </c>
      <c r="AQ63" s="159" t="e">
        <f t="shared" si="163"/>
        <v>#NUM!</v>
      </c>
      <c r="AR63" s="159" t="e">
        <f t="shared" si="164"/>
        <v>#NUM!</v>
      </c>
      <c r="AS63" s="159" t="e">
        <f t="shared" si="165"/>
        <v>#NUM!</v>
      </c>
      <c r="AT63" s="159" t="e">
        <f t="shared" si="166"/>
        <v>#NUM!</v>
      </c>
      <c r="AU63" s="159" t="e">
        <f t="shared" si="167"/>
        <v>#NUM!</v>
      </c>
      <c r="AV63" s="159" t="e">
        <f t="shared" si="168"/>
        <v>#NUM!</v>
      </c>
      <c r="AW63" s="159" t="e">
        <f t="shared" si="169"/>
        <v>#NUM!</v>
      </c>
      <c r="AX63" s="159" t="e">
        <f t="shared" si="170"/>
        <v>#NUM!</v>
      </c>
      <c r="AY63" s="159" t="e">
        <f t="shared" si="171"/>
        <v>#NUM!</v>
      </c>
      <c r="AZ63" s="159" t="e">
        <f t="shared" si="172"/>
        <v>#NUM!</v>
      </c>
      <c r="BA63" s="159" t="e">
        <f t="shared" si="173"/>
        <v>#NUM!</v>
      </c>
      <c r="BB63" s="159" t="e">
        <f t="shared" si="174"/>
        <v>#NUM!</v>
      </c>
      <c r="BC63" s="159" t="e">
        <f t="shared" si="175"/>
        <v>#NUM!</v>
      </c>
      <c r="BD63" s="159" t="e">
        <f t="shared" si="176"/>
        <v>#NUM!</v>
      </c>
      <c r="BE63" s="159" t="e">
        <f t="shared" si="177"/>
        <v>#NUM!</v>
      </c>
      <c r="BF63" s="159" t="e">
        <f t="shared" si="178"/>
        <v>#NUM!</v>
      </c>
      <c r="BG63" s="159" t="e">
        <f t="shared" si="179"/>
        <v>#NUM!</v>
      </c>
      <c r="BH63" s="159" t="e">
        <f t="shared" si="180"/>
        <v>#NUM!</v>
      </c>
      <c r="BI63" s="159" t="e">
        <f t="shared" si="181"/>
        <v>#NUM!</v>
      </c>
      <c r="BJ63" s="159" t="e">
        <f t="shared" si="182"/>
        <v>#NUM!</v>
      </c>
      <c r="BK63" s="159" t="e">
        <f t="shared" si="183"/>
        <v>#NUM!</v>
      </c>
      <c r="BL63" s="159" t="e">
        <f t="shared" si="184"/>
        <v>#NUM!</v>
      </c>
      <c r="BM63" s="159" t="e">
        <f t="shared" si="185"/>
        <v>#NUM!</v>
      </c>
      <c r="BN63" s="159" t="e">
        <f t="shared" si="186"/>
        <v>#NUM!</v>
      </c>
      <c r="BO63" s="159" t="e">
        <f t="shared" si="187"/>
        <v>#NUM!</v>
      </c>
      <c r="BP63" s="159" t="e">
        <f t="shared" si="188"/>
        <v>#NUM!</v>
      </c>
      <c r="BQ63" s="159" t="e">
        <f t="shared" si="189"/>
        <v>#NUM!</v>
      </c>
      <c r="BR63" s="159" t="e">
        <f t="shared" si="190"/>
        <v>#NUM!</v>
      </c>
      <c r="BS63" s="159" t="e">
        <f t="shared" si="191"/>
        <v>#NUM!</v>
      </c>
      <c r="BT63" s="159" t="e">
        <f t="shared" si="192"/>
        <v>#NUM!</v>
      </c>
      <c r="BU63" s="159" t="e">
        <f t="shared" si="193"/>
        <v>#NUM!</v>
      </c>
      <c r="BV63" s="159" t="e">
        <f t="shared" si="194"/>
        <v>#NUM!</v>
      </c>
      <c r="BW63" s="159"/>
      <c r="BX63" s="159"/>
      <c r="BY63" s="159"/>
      <c r="BZ63" s="159"/>
      <c r="CA63" s="159"/>
      <c r="CB63" s="159" t="e">
        <f t="shared" si="195"/>
        <v>#NUM!</v>
      </c>
      <c r="CC63" s="159" t="e">
        <f t="shared" si="196"/>
        <v>#NUM!</v>
      </c>
      <c r="CD63" s="159" t="e">
        <f t="shared" si="197"/>
        <v>#NUM!</v>
      </c>
      <c r="CE63" s="159" t="e">
        <f t="shared" si="198"/>
        <v>#NUM!</v>
      </c>
      <c r="CF63" s="159" t="e">
        <f t="shared" si="199"/>
        <v>#NUM!</v>
      </c>
      <c r="CG63" s="159" t="e">
        <f t="shared" si="200"/>
        <v>#NUM!</v>
      </c>
      <c r="CH63" s="159" t="e">
        <f t="shared" si="201"/>
        <v>#NUM!</v>
      </c>
      <c r="CI63" s="159" t="e">
        <f t="shared" si="202"/>
        <v>#NUM!</v>
      </c>
    </row>
    <row r="64" spans="6:87" x14ac:dyDescent="0.25">
      <c r="F64" s="317">
        <v>42857</v>
      </c>
      <c r="G64" s="530"/>
      <c r="H64" s="531"/>
      <c r="I64" s="371"/>
      <c r="J64" s="163"/>
      <c r="K64" s="163"/>
      <c r="L64" s="163"/>
      <c r="M64" s="163"/>
      <c r="N64" s="163"/>
      <c r="O64" s="163"/>
      <c r="P64" s="163"/>
      <c r="Q64" s="163">
        <f t="shared" si="137"/>
        <v>0.375</v>
      </c>
      <c r="R64" s="163" t="e">
        <f t="shared" si="138"/>
        <v>#NUM!</v>
      </c>
      <c r="S64" s="163">
        <f t="shared" si="139"/>
        <v>0</v>
      </c>
      <c r="T64" s="163">
        <f t="shared" si="140"/>
        <v>0</v>
      </c>
      <c r="U64" s="163" t="e">
        <f t="shared" ca="1" si="141"/>
        <v>#NUM!</v>
      </c>
      <c r="V64" s="159" t="e">
        <f t="shared" si="142"/>
        <v>#NUM!</v>
      </c>
      <c r="W64" s="159" t="e">
        <f t="shared" si="143"/>
        <v>#NUM!</v>
      </c>
      <c r="X64" s="159" t="e">
        <f t="shared" si="144"/>
        <v>#NUM!</v>
      </c>
      <c r="Y64" s="159" t="e">
        <f t="shared" si="145"/>
        <v>#NUM!</v>
      </c>
      <c r="Z64" s="159" t="e">
        <f t="shared" si="146"/>
        <v>#NUM!</v>
      </c>
      <c r="AA64" s="159" t="e">
        <f t="shared" si="147"/>
        <v>#NUM!</v>
      </c>
      <c r="AB64" s="159" t="e">
        <f t="shared" si="148"/>
        <v>#NUM!</v>
      </c>
      <c r="AC64" s="159" t="e">
        <f t="shared" si="149"/>
        <v>#NUM!</v>
      </c>
      <c r="AD64" s="159" t="e">
        <f t="shared" si="150"/>
        <v>#NUM!</v>
      </c>
      <c r="AE64" s="159" t="e">
        <f t="shared" si="151"/>
        <v>#NUM!</v>
      </c>
      <c r="AF64" s="159" t="e">
        <f t="shared" si="152"/>
        <v>#NUM!</v>
      </c>
      <c r="AG64" s="387" t="e">
        <f t="shared" si="153"/>
        <v>#NUM!</v>
      </c>
      <c r="AH64" s="159" t="e">
        <f t="shared" si="154"/>
        <v>#NUM!</v>
      </c>
      <c r="AI64" s="159" t="e">
        <f t="shared" si="155"/>
        <v>#NUM!</v>
      </c>
      <c r="AJ64" s="387" t="e">
        <f t="shared" si="156"/>
        <v>#NUM!</v>
      </c>
      <c r="AK64" s="159" t="e">
        <f t="shared" si="157"/>
        <v>#NUM!</v>
      </c>
      <c r="AL64" s="159" t="e">
        <f t="shared" si="158"/>
        <v>#NUM!</v>
      </c>
      <c r="AM64" s="159" t="e">
        <f t="shared" si="159"/>
        <v>#NUM!</v>
      </c>
      <c r="AN64" s="159" t="e">
        <f t="shared" si="160"/>
        <v>#NUM!</v>
      </c>
      <c r="AO64" s="159" t="e">
        <f t="shared" si="161"/>
        <v>#NUM!</v>
      </c>
      <c r="AP64" s="159" t="e">
        <f t="shared" si="162"/>
        <v>#NUM!</v>
      </c>
      <c r="AQ64" s="159" t="e">
        <f t="shared" si="163"/>
        <v>#NUM!</v>
      </c>
      <c r="AR64" s="159" t="e">
        <f t="shared" si="164"/>
        <v>#NUM!</v>
      </c>
      <c r="AS64" s="159" t="e">
        <f t="shared" si="165"/>
        <v>#NUM!</v>
      </c>
      <c r="AT64" s="159" t="e">
        <f t="shared" si="166"/>
        <v>#NUM!</v>
      </c>
      <c r="AU64" s="159" t="e">
        <f t="shared" si="167"/>
        <v>#NUM!</v>
      </c>
      <c r="AV64" s="159" t="e">
        <f t="shared" si="168"/>
        <v>#NUM!</v>
      </c>
      <c r="AW64" s="159" t="e">
        <f t="shared" si="169"/>
        <v>#NUM!</v>
      </c>
      <c r="AX64" s="159" t="e">
        <f t="shared" si="170"/>
        <v>#NUM!</v>
      </c>
      <c r="AY64" s="159" t="e">
        <f t="shared" si="171"/>
        <v>#NUM!</v>
      </c>
      <c r="AZ64" s="159" t="e">
        <f t="shared" si="172"/>
        <v>#NUM!</v>
      </c>
      <c r="BA64" s="159" t="e">
        <f t="shared" si="173"/>
        <v>#NUM!</v>
      </c>
      <c r="BB64" s="159" t="e">
        <f t="shared" si="174"/>
        <v>#NUM!</v>
      </c>
      <c r="BC64" s="159" t="e">
        <f t="shared" si="175"/>
        <v>#NUM!</v>
      </c>
      <c r="BD64" s="159" t="e">
        <f t="shared" si="176"/>
        <v>#NUM!</v>
      </c>
      <c r="BE64" s="159" t="e">
        <f t="shared" si="177"/>
        <v>#NUM!</v>
      </c>
      <c r="BF64" s="159" t="e">
        <f t="shared" si="178"/>
        <v>#NUM!</v>
      </c>
      <c r="BG64" s="159" t="e">
        <f t="shared" si="179"/>
        <v>#NUM!</v>
      </c>
      <c r="BH64" s="159" t="e">
        <f t="shared" si="180"/>
        <v>#NUM!</v>
      </c>
      <c r="BI64" s="159" t="e">
        <f t="shared" si="181"/>
        <v>#NUM!</v>
      </c>
      <c r="BJ64" s="159" t="e">
        <f t="shared" si="182"/>
        <v>#NUM!</v>
      </c>
      <c r="BK64" s="159" t="e">
        <f t="shared" si="183"/>
        <v>#NUM!</v>
      </c>
      <c r="BL64" s="159" t="e">
        <f t="shared" si="184"/>
        <v>#NUM!</v>
      </c>
      <c r="BM64" s="159" t="e">
        <f t="shared" si="185"/>
        <v>#NUM!</v>
      </c>
      <c r="BN64" s="159" t="e">
        <f t="shared" si="186"/>
        <v>#NUM!</v>
      </c>
      <c r="BO64" s="159" t="e">
        <f t="shared" si="187"/>
        <v>#NUM!</v>
      </c>
      <c r="BP64" s="159" t="e">
        <f t="shared" si="188"/>
        <v>#NUM!</v>
      </c>
      <c r="BQ64" s="159" t="e">
        <f t="shared" si="189"/>
        <v>#NUM!</v>
      </c>
      <c r="BR64" s="159" t="e">
        <f t="shared" si="190"/>
        <v>#NUM!</v>
      </c>
      <c r="BS64" s="159" t="e">
        <f t="shared" si="191"/>
        <v>#NUM!</v>
      </c>
      <c r="BT64" s="159" t="e">
        <f t="shared" si="192"/>
        <v>#NUM!</v>
      </c>
      <c r="BU64" s="159" t="e">
        <f t="shared" si="193"/>
        <v>#NUM!</v>
      </c>
      <c r="BV64" s="159" t="e">
        <f t="shared" si="194"/>
        <v>#NUM!</v>
      </c>
      <c r="BW64" s="159"/>
      <c r="BX64" s="159"/>
      <c r="BY64" s="159"/>
      <c r="BZ64" s="159"/>
      <c r="CA64" s="159"/>
      <c r="CB64" s="159" t="e">
        <f t="shared" si="195"/>
        <v>#NUM!</v>
      </c>
      <c r="CC64" s="159" t="e">
        <f t="shared" si="196"/>
        <v>#NUM!</v>
      </c>
      <c r="CD64" s="159" t="e">
        <f t="shared" si="197"/>
        <v>#NUM!</v>
      </c>
      <c r="CE64" s="159" t="e">
        <f t="shared" si="198"/>
        <v>#NUM!</v>
      </c>
      <c r="CF64" s="159" t="e">
        <f t="shared" si="199"/>
        <v>#NUM!</v>
      </c>
      <c r="CG64" s="159" t="e">
        <f t="shared" si="200"/>
        <v>#NUM!</v>
      </c>
      <c r="CH64" s="159" t="e">
        <f t="shared" si="201"/>
        <v>#NUM!</v>
      </c>
      <c r="CI64" s="159" t="e">
        <f t="shared" si="202"/>
        <v>#NUM!</v>
      </c>
    </row>
    <row r="65" spans="6:87" x14ac:dyDescent="0.25">
      <c r="F65" s="317">
        <v>42857</v>
      </c>
      <c r="G65" s="530"/>
      <c r="H65" s="531"/>
      <c r="I65" s="371"/>
      <c r="J65" s="163"/>
      <c r="K65" s="163"/>
      <c r="L65" s="163"/>
      <c r="M65" s="163"/>
      <c r="N65" s="163"/>
      <c r="O65" s="163"/>
      <c r="P65" s="163"/>
      <c r="Q65" s="163">
        <f t="shared" si="137"/>
        <v>0.375</v>
      </c>
      <c r="R65" s="163" t="e">
        <f t="shared" si="138"/>
        <v>#NUM!</v>
      </c>
      <c r="S65" s="163">
        <f t="shared" si="139"/>
        <v>0</v>
      </c>
      <c r="T65" s="163">
        <f t="shared" si="140"/>
        <v>0</v>
      </c>
      <c r="U65" s="163" t="e">
        <f t="shared" ca="1" si="141"/>
        <v>#NUM!</v>
      </c>
      <c r="V65" s="159" t="e">
        <f t="shared" si="142"/>
        <v>#NUM!</v>
      </c>
      <c r="W65" s="159" t="e">
        <f t="shared" si="143"/>
        <v>#NUM!</v>
      </c>
      <c r="X65" s="159" t="e">
        <f t="shared" si="144"/>
        <v>#NUM!</v>
      </c>
      <c r="Y65" s="159" t="e">
        <f t="shared" si="145"/>
        <v>#NUM!</v>
      </c>
      <c r="Z65" s="159" t="e">
        <f t="shared" si="146"/>
        <v>#NUM!</v>
      </c>
      <c r="AA65" s="159" t="e">
        <f t="shared" si="147"/>
        <v>#NUM!</v>
      </c>
      <c r="AB65" s="159" t="e">
        <f t="shared" si="148"/>
        <v>#NUM!</v>
      </c>
      <c r="AC65" s="159" t="e">
        <f t="shared" si="149"/>
        <v>#NUM!</v>
      </c>
      <c r="AD65" s="159" t="e">
        <f t="shared" si="150"/>
        <v>#NUM!</v>
      </c>
      <c r="AE65" s="159" t="e">
        <f t="shared" si="151"/>
        <v>#NUM!</v>
      </c>
      <c r="AF65" s="159" t="e">
        <f t="shared" si="152"/>
        <v>#NUM!</v>
      </c>
      <c r="AG65" s="387" t="e">
        <f t="shared" si="153"/>
        <v>#NUM!</v>
      </c>
      <c r="AH65" s="159" t="e">
        <f t="shared" si="154"/>
        <v>#NUM!</v>
      </c>
      <c r="AI65" s="159" t="e">
        <f t="shared" si="155"/>
        <v>#NUM!</v>
      </c>
      <c r="AJ65" s="387" t="e">
        <f t="shared" si="156"/>
        <v>#NUM!</v>
      </c>
      <c r="AK65" s="159" t="e">
        <f t="shared" si="157"/>
        <v>#NUM!</v>
      </c>
      <c r="AL65" s="159" t="e">
        <f t="shared" si="158"/>
        <v>#NUM!</v>
      </c>
      <c r="AM65" s="159" t="e">
        <f t="shared" si="159"/>
        <v>#NUM!</v>
      </c>
      <c r="AN65" s="159" t="e">
        <f t="shared" si="160"/>
        <v>#NUM!</v>
      </c>
      <c r="AO65" s="159" t="e">
        <f t="shared" si="161"/>
        <v>#NUM!</v>
      </c>
      <c r="AP65" s="159" t="e">
        <f t="shared" si="162"/>
        <v>#NUM!</v>
      </c>
      <c r="AQ65" s="159" t="e">
        <f t="shared" si="163"/>
        <v>#NUM!</v>
      </c>
      <c r="AR65" s="159" t="e">
        <f t="shared" si="164"/>
        <v>#NUM!</v>
      </c>
      <c r="AS65" s="159" t="e">
        <f t="shared" si="165"/>
        <v>#NUM!</v>
      </c>
      <c r="AT65" s="159" t="e">
        <f t="shared" si="166"/>
        <v>#NUM!</v>
      </c>
      <c r="AU65" s="159" t="e">
        <f t="shared" si="167"/>
        <v>#NUM!</v>
      </c>
      <c r="AV65" s="159" t="e">
        <f t="shared" si="168"/>
        <v>#NUM!</v>
      </c>
      <c r="AW65" s="159" t="e">
        <f t="shared" si="169"/>
        <v>#NUM!</v>
      </c>
      <c r="AX65" s="159" t="e">
        <f t="shared" si="170"/>
        <v>#NUM!</v>
      </c>
      <c r="AY65" s="159" t="e">
        <f t="shared" si="171"/>
        <v>#NUM!</v>
      </c>
      <c r="AZ65" s="159" t="e">
        <f t="shared" si="172"/>
        <v>#NUM!</v>
      </c>
      <c r="BA65" s="159" t="e">
        <f t="shared" si="173"/>
        <v>#NUM!</v>
      </c>
      <c r="BB65" s="159" t="e">
        <f t="shared" si="174"/>
        <v>#NUM!</v>
      </c>
      <c r="BC65" s="159" t="e">
        <f t="shared" si="175"/>
        <v>#NUM!</v>
      </c>
      <c r="BD65" s="159" t="e">
        <f t="shared" si="176"/>
        <v>#NUM!</v>
      </c>
      <c r="BE65" s="159" t="e">
        <f t="shared" si="177"/>
        <v>#NUM!</v>
      </c>
      <c r="BF65" s="159" t="e">
        <f t="shared" si="178"/>
        <v>#NUM!</v>
      </c>
      <c r="BG65" s="159" t="e">
        <f t="shared" si="179"/>
        <v>#NUM!</v>
      </c>
      <c r="BH65" s="159" t="e">
        <f t="shared" si="180"/>
        <v>#NUM!</v>
      </c>
      <c r="BI65" s="159" t="e">
        <f t="shared" si="181"/>
        <v>#NUM!</v>
      </c>
      <c r="BJ65" s="159" t="e">
        <f t="shared" si="182"/>
        <v>#NUM!</v>
      </c>
      <c r="BK65" s="159" t="e">
        <f t="shared" si="183"/>
        <v>#NUM!</v>
      </c>
      <c r="BL65" s="159" t="e">
        <f t="shared" si="184"/>
        <v>#NUM!</v>
      </c>
      <c r="BM65" s="159" t="e">
        <f t="shared" si="185"/>
        <v>#NUM!</v>
      </c>
      <c r="BN65" s="159" t="e">
        <f t="shared" si="186"/>
        <v>#NUM!</v>
      </c>
      <c r="BO65" s="159" t="e">
        <f t="shared" si="187"/>
        <v>#NUM!</v>
      </c>
      <c r="BP65" s="159" t="e">
        <f t="shared" si="188"/>
        <v>#NUM!</v>
      </c>
      <c r="BQ65" s="159" t="e">
        <f t="shared" si="189"/>
        <v>#NUM!</v>
      </c>
      <c r="BR65" s="159" t="e">
        <f t="shared" si="190"/>
        <v>#NUM!</v>
      </c>
      <c r="BS65" s="159" t="e">
        <f t="shared" si="191"/>
        <v>#NUM!</v>
      </c>
      <c r="BT65" s="159" t="e">
        <f t="shared" si="192"/>
        <v>#NUM!</v>
      </c>
      <c r="BU65" s="159" t="e">
        <f t="shared" si="193"/>
        <v>#NUM!</v>
      </c>
      <c r="BV65" s="159" t="e">
        <f t="shared" si="194"/>
        <v>#NUM!</v>
      </c>
      <c r="BW65" s="159"/>
      <c r="BX65" s="159"/>
      <c r="BY65" s="159"/>
      <c r="BZ65" s="159"/>
      <c r="CA65" s="159"/>
      <c r="CB65" s="159" t="e">
        <f t="shared" si="195"/>
        <v>#NUM!</v>
      </c>
      <c r="CC65" s="159" t="e">
        <f t="shared" si="196"/>
        <v>#NUM!</v>
      </c>
      <c r="CD65" s="159" t="e">
        <f t="shared" si="197"/>
        <v>#NUM!</v>
      </c>
      <c r="CE65" s="159" t="e">
        <f t="shared" si="198"/>
        <v>#NUM!</v>
      </c>
      <c r="CF65" s="159" t="e">
        <f t="shared" si="199"/>
        <v>#NUM!</v>
      </c>
      <c r="CG65" s="159" t="e">
        <f t="shared" si="200"/>
        <v>#NUM!</v>
      </c>
      <c r="CH65" s="159" t="e">
        <f t="shared" si="201"/>
        <v>#NUM!</v>
      </c>
      <c r="CI65" s="159" t="e">
        <f t="shared" si="202"/>
        <v>#NUM!</v>
      </c>
    </row>
    <row r="66" spans="6:87" x14ac:dyDescent="0.25">
      <c r="F66" s="317">
        <v>42857</v>
      </c>
      <c r="G66" s="530"/>
      <c r="H66" s="531"/>
      <c r="I66" s="371"/>
      <c r="J66" s="163"/>
      <c r="K66" s="163"/>
      <c r="L66" s="163"/>
      <c r="M66" s="163"/>
      <c r="N66" s="163"/>
      <c r="O66" s="163"/>
      <c r="P66" s="163"/>
      <c r="Q66" s="163">
        <f t="shared" si="137"/>
        <v>0.375</v>
      </c>
      <c r="R66" s="163" t="e">
        <f t="shared" si="138"/>
        <v>#NUM!</v>
      </c>
      <c r="S66" s="163">
        <f t="shared" si="139"/>
        <v>0</v>
      </c>
      <c r="T66" s="163">
        <f t="shared" si="140"/>
        <v>0</v>
      </c>
      <c r="U66" s="163" t="e">
        <f t="shared" ca="1" si="141"/>
        <v>#NUM!</v>
      </c>
      <c r="V66" s="159" t="e">
        <f t="shared" si="142"/>
        <v>#NUM!</v>
      </c>
      <c r="W66" s="159" t="e">
        <f t="shared" si="143"/>
        <v>#NUM!</v>
      </c>
      <c r="X66" s="159" t="e">
        <f t="shared" si="144"/>
        <v>#NUM!</v>
      </c>
      <c r="Y66" s="159" t="e">
        <f t="shared" si="145"/>
        <v>#NUM!</v>
      </c>
      <c r="Z66" s="159" t="e">
        <f t="shared" si="146"/>
        <v>#NUM!</v>
      </c>
      <c r="AA66" s="159" t="e">
        <f t="shared" si="147"/>
        <v>#NUM!</v>
      </c>
      <c r="AB66" s="159" t="e">
        <f t="shared" si="148"/>
        <v>#NUM!</v>
      </c>
      <c r="AC66" s="159" t="e">
        <f t="shared" si="149"/>
        <v>#NUM!</v>
      </c>
      <c r="AD66" s="159" t="e">
        <f t="shared" si="150"/>
        <v>#NUM!</v>
      </c>
      <c r="AE66" s="159" t="e">
        <f t="shared" si="151"/>
        <v>#NUM!</v>
      </c>
      <c r="AF66" s="159" t="e">
        <f t="shared" si="152"/>
        <v>#NUM!</v>
      </c>
      <c r="AG66" s="387" t="e">
        <f t="shared" si="153"/>
        <v>#NUM!</v>
      </c>
      <c r="AH66" s="159" t="e">
        <f t="shared" si="154"/>
        <v>#NUM!</v>
      </c>
      <c r="AI66" s="159" t="e">
        <f t="shared" si="155"/>
        <v>#NUM!</v>
      </c>
      <c r="AJ66" s="387" t="e">
        <f t="shared" si="156"/>
        <v>#NUM!</v>
      </c>
      <c r="AK66" s="159" t="e">
        <f t="shared" si="157"/>
        <v>#NUM!</v>
      </c>
      <c r="AL66" s="159" t="e">
        <f t="shared" si="158"/>
        <v>#NUM!</v>
      </c>
      <c r="AM66" s="159" t="e">
        <f t="shared" si="159"/>
        <v>#NUM!</v>
      </c>
      <c r="AN66" s="159" t="e">
        <f t="shared" si="160"/>
        <v>#NUM!</v>
      </c>
      <c r="AO66" s="159" t="e">
        <f t="shared" si="161"/>
        <v>#NUM!</v>
      </c>
      <c r="AP66" s="159" t="e">
        <f t="shared" si="162"/>
        <v>#NUM!</v>
      </c>
      <c r="AQ66" s="159" t="e">
        <f t="shared" si="163"/>
        <v>#NUM!</v>
      </c>
      <c r="AR66" s="159" t="e">
        <f t="shared" si="164"/>
        <v>#NUM!</v>
      </c>
      <c r="AS66" s="159" t="e">
        <f t="shared" si="165"/>
        <v>#NUM!</v>
      </c>
      <c r="AT66" s="159" t="e">
        <f t="shared" si="166"/>
        <v>#NUM!</v>
      </c>
      <c r="AU66" s="159" t="e">
        <f t="shared" si="167"/>
        <v>#NUM!</v>
      </c>
      <c r="AV66" s="159" t="e">
        <f t="shared" si="168"/>
        <v>#NUM!</v>
      </c>
      <c r="AW66" s="159" t="e">
        <f t="shared" si="169"/>
        <v>#NUM!</v>
      </c>
      <c r="AX66" s="159" t="e">
        <f t="shared" si="170"/>
        <v>#NUM!</v>
      </c>
      <c r="AY66" s="159" t="e">
        <f t="shared" si="171"/>
        <v>#NUM!</v>
      </c>
      <c r="AZ66" s="159" t="e">
        <f t="shared" si="172"/>
        <v>#NUM!</v>
      </c>
      <c r="BA66" s="159" t="e">
        <f t="shared" si="173"/>
        <v>#NUM!</v>
      </c>
      <c r="BB66" s="159" t="e">
        <f t="shared" si="174"/>
        <v>#NUM!</v>
      </c>
      <c r="BC66" s="159" t="e">
        <f t="shared" si="175"/>
        <v>#NUM!</v>
      </c>
      <c r="BD66" s="159" t="e">
        <f t="shared" si="176"/>
        <v>#NUM!</v>
      </c>
      <c r="BE66" s="159" t="e">
        <f t="shared" si="177"/>
        <v>#NUM!</v>
      </c>
      <c r="BF66" s="159" t="e">
        <f t="shared" si="178"/>
        <v>#NUM!</v>
      </c>
      <c r="BG66" s="159" t="e">
        <f t="shared" si="179"/>
        <v>#NUM!</v>
      </c>
      <c r="BH66" s="159" t="e">
        <f t="shared" si="180"/>
        <v>#NUM!</v>
      </c>
      <c r="BI66" s="159" t="e">
        <f t="shared" si="181"/>
        <v>#NUM!</v>
      </c>
      <c r="BJ66" s="159" t="e">
        <f t="shared" si="182"/>
        <v>#NUM!</v>
      </c>
      <c r="BK66" s="159" t="e">
        <f t="shared" si="183"/>
        <v>#NUM!</v>
      </c>
      <c r="BL66" s="159" t="e">
        <f t="shared" si="184"/>
        <v>#NUM!</v>
      </c>
      <c r="BM66" s="159" t="e">
        <f t="shared" si="185"/>
        <v>#NUM!</v>
      </c>
      <c r="BN66" s="159" t="e">
        <f t="shared" si="186"/>
        <v>#NUM!</v>
      </c>
      <c r="BO66" s="159" t="e">
        <f t="shared" si="187"/>
        <v>#NUM!</v>
      </c>
      <c r="BP66" s="159" t="e">
        <f t="shared" si="188"/>
        <v>#NUM!</v>
      </c>
      <c r="BQ66" s="159" t="e">
        <f t="shared" si="189"/>
        <v>#NUM!</v>
      </c>
      <c r="BR66" s="159" t="e">
        <f t="shared" si="190"/>
        <v>#NUM!</v>
      </c>
      <c r="BS66" s="159" t="e">
        <f t="shared" si="191"/>
        <v>#NUM!</v>
      </c>
      <c r="BT66" s="159" t="e">
        <f t="shared" si="192"/>
        <v>#NUM!</v>
      </c>
      <c r="BU66" s="159" t="e">
        <f t="shared" si="193"/>
        <v>#NUM!</v>
      </c>
      <c r="BV66" s="159" t="e">
        <f t="shared" si="194"/>
        <v>#NUM!</v>
      </c>
      <c r="BW66" s="159"/>
      <c r="BX66" s="159"/>
      <c r="BY66" s="159"/>
      <c r="BZ66" s="159"/>
      <c r="CA66" s="159"/>
      <c r="CB66" s="159" t="e">
        <f t="shared" si="195"/>
        <v>#NUM!</v>
      </c>
      <c r="CC66" s="159" t="e">
        <f t="shared" si="196"/>
        <v>#NUM!</v>
      </c>
      <c r="CD66" s="159" t="e">
        <f t="shared" si="197"/>
        <v>#NUM!</v>
      </c>
      <c r="CE66" s="159" t="e">
        <f t="shared" si="198"/>
        <v>#NUM!</v>
      </c>
      <c r="CF66" s="159" t="e">
        <f t="shared" si="199"/>
        <v>#NUM!</v>
      </c>
      <c r="CG66" s="159" t="e">
        <f t="shared" si="200"/>
        <v>#NUM!</v>
      </c>
      <c r="CH66" s="159" t="e">
        <f t="shared" si="201"/>
        <v>#NUM!</v>
      </c>
      <c r="CI66" s="159" t="e">
        <f t="shared" si="202"/>
        <v>#NUM!</v>
      </c>
    </row>
    <row r="67" spans="6:87" x14ac:dyDescent="0.25">
      <c r="F67" s="317">
        <v>42857</v>
      </c>
      <c r="G67" s="530"/>
      <c r="H67" s="531"/>
      <c r="I67" s="371"/>
      <c r="J67" s="163"/>
      <c r="K67" s="163"/>
      <c r="L67" s="163"/>
      <c r="M67" s="163"/>
      <c r="N67" s="163"/>
      <c r="O67" s="163"/>
      <c r="P67" s="163"/>
      <c r="Q67" s="163">
        <f t="shared" si="137"/>
        <v>0.375</v>
      </c>
      <c r="R67" s="163" t="e">
        <f t="shared" si="138"/>
        <v>#NUM!</v>
      </c>
      <c r="S67" s="163">
        <f t="shared" si="139"/>
        <v>0</v>
      </c>
      <c r="T67" s="163">
        <f t="shared" si="140"/>
        <v>0</v>
      </c>
      <c r="U67" s="163" t="e">
        <f t="shared" ca="1" si="141"/>
        <v>#NUM!</v>
      </c>
      <c r="V67" s="159" t="e">
        <f t="shared" si="142"/>
        <v>#NUM!</v>
      </c>
      <c r="W67" s="159" t="e">
        <f t="shared" si="143"/>
        <v>#NUM!</v>
      </c>
      <c r="X67" s="159" t="e">
        <f t="shared" si="144"/>
        <v>#NUM!</v>
      </c>
      <c r="Y67" s="159" t="e">
        <f t="shared" si="145"/>
        <v>#NUM!</v>
      </c>
      <c r="Z67" s="159" t="e">
        <f t="shared" si="146"/>
        <v>#NUM!</v>
      </c>
      <c r="AA67" s="159" t="e">
        <f t="shared" si="147"/>
        <v>#NUM!</v>
      </c>
      <c r="AB67" s="159" t="e">
        <f t="shared" si="148"/>
        <v>#NUM!</v>
      </c>
      <c r="AC67" s="159" t="e">
        <f t="shared" si="149"/>
        <v>#NUM!</v>
      </c>
      <c r="AD67" s="159" t="e">
        <f t="shared" si="150"/>
        <v>#NUM!</v>
      </c>
      <c r="AE67" s="159" t="e">
        <f t="shared" si="151"/>
        <v>#NUM!</v>
      </c>
      <c r="AF67" s="159" t="e">
        <f t="shared" si="152"/>
        <v>#NUM!</v>
      </c>
      <c r="AG67" s="387" t="e">
        <f t="shared" si="153"/>
        <v>#NUM!</v>
      </c>
      <c r="AH67" s="159" t="e">
        <f t="shared" si="154"/>
        <v>#NUM!</v>
      </c>
      <c r="AI67" s="159" t="e">
        <f t="shared" si="155"/>
        <v>#NUM!</v>
      </c>
      <c r="AJ67" s="387" t="e">
        <f t="shared" si="156"/>
        <v>#NUM!</v>
      </c>
      <c r="AK67" s="159" t="e">
        <f t="shared" si="157"/>
        <v>#NUM!</v>
      </c>
      <c r="AL67" s="159" t="e">
        <f t="shared" si="158"/>
        <v>#NUM!</v>
      </c>
      <c r="AM67" s="159" t="e">
        <f t="shared" si="159"/>
        <v>#NUM!</v>
      </c>
      <c r="AN67" s="159" t="e">
        <f t="shared" si="160"/>
        <v>#NUM!</v>
      </c>
      <c r="AO67" s="159" t="e">
        <f t="shared" si="161"/>
        <v>#NUM!</v>
      </c>
      <c r="AP67" s="159" t="e">
        <f t="shared" si="162"/>
        <v>#NUM!</v>
      </c>
      <c r="AQ67" s="159" t="e">
        <f t="shared" si="163"/>
        <v>#NUM!</v>
      </c>
      <c r="AR67" s="159" t="e">
        <f t="shared" si="164"/>
        <v>#NUM!</v>
      </c>
      <c r="AS67" s="159" t="e">
        <f t="shared" si="165"/>
        <v>#NUM!</v>
      </c>
      <c r="AT67" s="159" t="e">
        <f t="shared" si="166"/>
        <v>#NUM!</v>
      </c>
      <c r="AU67" s="159" t="e">
        <f t="shared" si="167"/>
        <v>#NUM!</v>
      </c>
      <c r="AV67" s="159" t="e">
        <f t="shared" si="168"/>
        <v>#NUM!</v>
      </c>
      <c r="AW67" s="159" t="e">
        <f t="shared" si="169"/>
        <v>#NUM!</v>
      </c>
      <c r="AX67" s="159" t="e">
        <f t="shared" si="170"/>
        <v>#NUM!</v>
      </c>
      <c r="AY67" s="159" t="e">
        <f t="shared" si="171"/>
        <v>#NUM!</v>
      </c>
      <c r="AZ67" s="159" t="e">
        <f t="shared" si="172"/>
        <v>#NUM!</v>
      </c>
      <c r="BA67" s="159" t="e">
        <f t="shared" si="173"/>
        <v>#NUM!</v>
      </c>
      <c r="BB67" s="159" t="e">
        <f t="shared" si="174"/>
        <v>#NUM!</v>
      </c>
      <c r="BC67" s="159" t="e">
        <f t="shared" si="175"/>
        <v>#NUM!</v>
      </c>
      <c r="BD67" s="159" t="e">
        <f t="shared" si="176"/>
        <v>#NUM!</v>
      </c>
      <c r="BE67" s="159" t="e">
        <f t="shared" si="177"/>
        <v>#NUM!</v>
      </c>
      <c r="BF67" s="159" t="e">
        <f t="shared" si="178"/>
        <v>#NUM!</v>
      </c>
      <c r="BG67" s="159" t="e">
        <f t="shared" si="179"/>
        <v>#NUM!</v>
      </c>
      <c r="BH67" s="159" t="e">
        <f t="shared" si="180"/>
        <v>#NUM!</v>
      </c>
      <c r="BI67" s="159" t="e">
        <f t="shared" si="181"/>
        <v>#NUM!</v>
      </c>
      <c r="BJ67" s="159" t="e">
        <f t="shared" si="182"/>
        <v>#NUM!</v>
      </c>
      <c r="BK67" s="159" t="e">
        <f t="shared" si="183"/>
        <v>#NUM!</v>
      </c>
      <c r="BL67" s="159" t="e">
        <f t="shared" si="184"/>
        <v>#NUM!</v>
      </c>
      <c r="BM67" s="159" t="e">
        <f t="shared" si="185"/>
        <v>#NUM!</v>
      </c>
      <c r="BN67" s="159" t="e">
        <f t="shared" si="186"/>
        <v>#NUM!</v>
      </c>
      <c r="BO67" s="159" t="e">
        <f t="shared" si="187"/>
        <v>#NUM!</v>
      </c>
      <c r="BP67" s="159" t="e">
        <f t="shared" si="188"/>
        <v>#NUM!</v>
      </c>
      <c r="BQ67" s="159" t="e">
        <f t="shared" si="189"/>
        <v>#NUM!</v>
      </c>
      <c r="BR67" s="159" t="e">
        <f t="shared" si="190"/>
        <v>#NUM!</v>
      </c>
      <c r="BS67" s="159" t="e">
        <f t="shared" si="191"/>
        <v>#NUM!</v>
      </c>
      <c r="BT67" s="159" t="e">
        <f t="shared" si="192"/>
        <v>#NUM!</v>
      </c>
      <c r="BU67" s="159" t="e">
        <f t="shared" si="193"/>
        <v>#NUM!</v>
      </c>
      <c r="BV67" s="159" t="e">
        <f t="shared" si="194"/>
        <v>#NUM!</v>
      </c>
      <c r="BW67" s="159"/>
      <c r="BX67" s="159"/>
      <c r="BY67" s="159"/>
      <c r="BZ67" s="159"/>
      <c r="CA67" s="159"/>
      <c r="CB67" s="159" t="e">
        <f t="shared" si="195"/>
        <v>#NUM!</v>
      </c>
      <c r="CC67" s="159" t="e">
        <f t="shared" si="196"/>
        <v>#NUM!</v>
      </c>
      <c r="CD67" s="159" t="e">
        <f t="shared" si="197"/>
        <v>#NUM!</v>
      </c>
      <c r="CE67" s="159" t="e">
        <f t="shared" si="198"/>
        <v>#NUM!</v>
      </c>
      <c r="CF67" s="159" t="e">
        <f t="shared" si="199"/>
        <v>#NUM!</v>
      </c>
      <c r="CG67" s="159" t="e">
        <f t="shared" si="200"/>
        <v>#NUM!</v>
      </c>
      <c r="CH67" s="159" t="e">
        <f t="shared" si="201"/>
        <v>#NUM!</v>
      </c>
      <c r="CI67" s="159" t="e">
        <f t="shared" si="202"/>
        <v>#NUM!</v>
      </c>
    </row>
    <row r="68" spans="6:87" x14ac:dyDescent="0.25">
      <c r="F68" s="317">
        <v>42857</v>
      </c>
      <c r="G68" s="530"/>
      <c r="H68" s="531"/>
      <c r="I68" s="371"/>
      <c r="J68" s="163"/>
      <c r="K68" s="163"/>
      <c r="L68" s="163"/>
      <c r="M68" s="163"/>
      <c r="N68" s="163"/>
      <c r="O68" s="163"/>
      <c r="P68" s="163"/>
      <c r="Q68" s="163">
        <f t="shared" si="137"/>
        <v>0.375</v>
      </c>
      <c r="R68" s="163" t="e">
        <f t="shared" si="138"/>
        <v>#NUM!</v>
      </c>
      <c r="S68" s="163">
        <f t="shared" si="139"/>
        <v>0</v>
      </c>
      <c r="T68" s="163">
        <f t="shared" si="140"/>
        <v>0</v>
      </c>
      <c r="U68" s="163" t="e">
        <f t="shared" ca="1" si="141"/>
        <v>#NUM!</v>
      </c>
      <c r="V68" s="159" t="e">
        <f t="shared" si="142"/>
        <v>#NUM!</v>
      </c>
      <c r="W68" s="159" t="e">
        <f t="shared" si="143"/>
        <v>#NUM!</v>
      </c>
      <c r="X68" s="159" t="e">
        <f t="shared" si="144"/>
        <v>#NUM!</v>
      </c>
      <c r="Y68" s="159" t="e">
        <f t="shared" si="145"/>
        <v>#NUM!</v>
      </c>
      <c r="Z68" s="159" t="e">
        <f t="shared" si="146"/>
        <v>#NUM!</v>
      </c>
      <c r="AA68" s="159" t="e">
        <f t="shared" si="147"/>
        <v>#NUM!</v>
      </c>
      <c r="AB68" s="159" t="e">
        <f t="shared" si="148"/>
        <v>#NUM!</v>
      </c>
      <c r="AC68" s="159" t="e">
        <f t="shared" si="149"/>
        <v>#NUM!</v>
      </c>
      <c r="AD68" s="159" t="e">
        <f t="shared" si="150"/>
        <v>#NUM!</v>
      </c>
      <c r="AE68" s="159" t="e">
        <f t="shared" si="151"/>
        <v>#NUM!</v>
      </c>
      <c r="AF68" s="159" t="e">
        <f t="shared" si="152"/>
        <v>#NUM!</v>
      </c>
      <c r="AG68" s="387" t="e">
        <f t="shared" si="153"/>
        <v>#NUM!</v>
      </c>
      <c r="AH68" s="159" t="e">
        <f t="shared" si="154"/>
        <v>#NUM!</v>
      </c>
      <c r="AI68" s="159" t="e">
        <f t="shared" si="155"/>
        <v>#NUM!</v>
      </c>
      <c r="AJ68" s="387" t="e">
        <f t="shared" si="156"/>
        <v>#NUM!</v>
      </c>
      <c r="AK68" s="159" t="e">
        <f t="shared" si="157"/>
        <v>#NUM!</v>
      </c>
      <c r="AL68" s="159" t="e">
        <f t="shared" si="158"/>
        <v>#NUM!</v>
      </c>
      <c r="AM68" s="159" t="e">
        <f t="shared" si="159"/>
        <v>#NUM!</v>
      </c>
      <c r="AN68" s="159" t="e">
        <f t="shared" si="160"/>
        <v>#NUM!</v>
      </c>
      <c r="AO68" s="159" t="e">
        <f t="shared" si="161"/>
        <v>#NUM!</v>
      </c>
      <c r="AP68" s="159" t="e">
        <f t="shared" si="162"/>
        <v>#NUM!</v>
      </c>
      <c r="AQ68" s="159" t="e">
        <f t="shared" si="163"/>
        <v>#NUM!</v>
      </c>
      <c r="AR68" s="159" t="e">
        <f t="shared" si="164"/>
        <v>#NUM!</v>
      </c>
      <c r="AS68" s="159" t="e">
        <f t="shared" si="165"/>
        <v>#NUM!</v>
      </c>
      <c r="AT68" s="159" t="e">
        <f t="shared" si="166"/>
        <v>#NUM!</v>
      </c>
      <c r="AU68" s="159" t="e">
        <f t="shared" si="167"/>
        <v>#NUM!</v>
      </c>
      <c r="AV68" s="159" t="e">
        <f t="shared" si="168"/>
        <v>#NUM!</v>
      </c>
      <c r="AW68" s="159" t="e">
        <f t="shared" si="169"/>
        <v>#NUM!</v>
      </c>
      <c r="AX68" s="159" t="e">
        <f t="shared" si="170"/>
        <v>#NUM!</v>
      </c>
      <c r="AY68" s="159" t="e">
        <f t="shared" si="171"/>
        <v>#NUM!</v>
      </c>
      <c r="AZ68" s="159" t="e">
        <f t="shared" si="172"/>
        <v>#NUM!</v>
      </c>
      <c r="BA68" s="159" t="e">
        <f t="shared" si="173"/>
        <v>#NUM!</v>
      </c>
      <c r="BB68" s="159" t="e">
        <f t="shared" si="174"/>
        <v>#NUM!</v>
      </c>
      <c r="BC68" s="159" t="e">
        <f t="shared" si="175"/>
        <v>#NUM!</v>
      </c>
      <c r="BD68" s="159" t="e">
        <f t="shared" si="176"/>
        <v>#NUM!</v>
      </c>
      <c r="BE68" s="159" t="e">
        <f t="shared" si="177"/>
        <v>#NUM!</v>
      </c>
      <c r="BF68" s="159" t="e">
        <f t="shared" si="178"/>
        <v>#NUM!</v>
      </c>
      <c r="BG68" s="159" t="e">
        <f t="shared" si="179"/>
        <v>#NUM!</v>
      </c>
      <c r="BH68" s="159" t="e">
        <f t="shared" si="180"/>
        <v>#NUM!</v>
      </c>
      <c r="BI68" s="159" t="e">
        <f t="shared" si="181"/>
        <v>#NUM!</v>
      </c>
      <c r="BJ68" s="159" t="e">
        <f t="shared" si="182"/>
        <v>#NUM!</v>
      </c>
      <c r="BK68" s="159" t="e">
        <f t="shared" si="183"/>
        <v>#NUM!</v>
      </c>
      <c r="BL68" s="159" t="e">
        <f t="shared" si="184"/>
        <v>#NUM!</v>
      </c>
      <c r="BM68" s="159" t="e">
        <f t="shared" si="185"/>
        <v>#NUM!</v>
      </c>
      <c r="BN68" s="159" t="e">
        <f t="shared" si="186"/>
        <v>#NUM!</v>
      </c>
      <c r="BO68" s="159" t="e">
        <f t="shared" si="187"/>
        <v>#NUM!</v>
      </c>
      <c r="BP68" s="159" t="e">
        <f t="shared" si="188"/>
        <v>#NUM!</v>
      </c>
      <c r="BQ68" s="159" t="e">
        <f t="shared" si="189"/>
        <v>#NUM!</v>
      </c>
      <c r="BR68" s="159" t="e">
        <f t="shared" si="190"/>
        <v>#NUM!</v>
      </c>
      <c r="BS68" s="159" t="e">
        <f t="shared" si="191"/>
        <v>#NUM!</v>
      </c>
      <c r="BT68" s="159" t="e">
        <f t="shared" si="192"/>
        <v>#NUM!</v>
      </c>
      <c r="BU68" s="159" t="e">
        <f t="shared" si="193"/>
        <v>#NUM!</v>
      </c>
      <c r="BV68" s="159" t="e">
        <f t="shared" si="194"/>
        <v>#NUM!</v>
      </c>
      <c r="BW68" s="159"/>
      <c r="BX68" s="159"/>
      <c r="BY68" s="159"/>
      <c r="BZ68" s="159"/>
      <c r="CA68" s="159"/>
      <c r="CB68" s="159" t="e">
        <f t="shared" si="195"/>
        <v>#NUM!</v>
      </c>
      <c r="CC68" s="159" t="e">
        <f t="shared" si="196"/>
        <v>#NUM!</v>
      </c>
      <c r="CD68" s="159" t="e">
        <f t="shared" si="197"/>
        <v>#NUM!</v>
      </c>
      <c r="CE68" s="159" t="e">
        <f t="shared" si="198"/>
        <v>#NUM!</v>
      </c>
      <c r="CF68" s="159" t="e">
        <f t="shared" si="199"/>
        <v>#NUM!</v>
      </c>
      <c r="CG68" s="159" t="e">
        <f t="shared" si="200"/>
        <v>#NUM!</v>
      </c>
      <c r="CH68" s="159" t="e">
        <f t="shared" si="201"/>
        <v>#NUM!</v>
      </c>
      <c r="CI68" s="159" t="e">
        <f t="shared" si="202"/>
        <v>#NUM!</v>
      </c>
    </row>
    <row r="69" spans="6:87" x14ac:dyDescent="0.25">
      <c r="F69" s="317">
        <v>42857</v>
      </c>
      <c r="G69" s="530"/>
      <c r="H69" s="531"/>
      <c r="I69" s="371"/>
      <c r="J69" s="163"/>
      <c r="K69" s="163"/>
      <c r="L69" s="163"/>
      <c r="M69" s="163"/>
      <c r="N69" s="163"/>
      <c r="O69" s="163"/>
      <c r="P69" s="163"/>
      <c r="Q69" s="163">
        <f t="shared" si="137"/>
        <v>0.375</v>
      </c>
      <c r="R69" s="163" t="e">
        <f t="shared" si="138"/>
        <v>#NUM!</v>
      </c>
      <c r="S69" s="163">
        <f t="shared" si="139"/>
        <v>0</v>
      </c>
      <c r="T69" s="163">
        <f t="shared" si="140"/>
        <v>0</v>
      </c>
      <c r="U69" s="163" t="e">
        <f t="shared" ca="1" si="141"/>
        <v>#NUM!</v>
      </c>
      <c r="V69" s="159" t="e">
        <f t="shared" si="142"/>
        <v>#NUM!</v>
      </c>
      <c r="W69" s="159" t="e">
        <f t="shared" si="143"/>
        <v>#NUM!</v>
      </c>
      <c r="X69" s="159" t="e">
        <f t="shared" si="144"/>
        <v>#NUM!</v>
      </c>
      <c r="Y69" s="159" t="e">
        <f t="shared" si="145"/>
        <v>#NUM!</v>
      </c>
      <c r="Z69" s="159" t="e">
        <f t="shared" si="146"/>
        <v>#NUM!</v>
      </c>
      <c r="AA69" s="159" t="e">
        <f t="shared" si="147"/>
        <v>#NUM!</v>
      </c>
      <c r="AB69" s="159" t="e">
        <f t="shared" si="148"/>
        <v>#NUM!</v>
      </c>
      <c r="AC69" s="159" t="e">
        <f t="shared" si="149"/>
        <v>#NUM!</v>
      </c>
      <c r="AD69" s="159" t="e">
        <f t="shared" si="150"/>
        <v>#NUM!</v>
      </c>
      <c r="AE69" s="159" t="e">
        <f t="shared" si="151"/>
        <v>#NUM!</v>
      </c>
      <c r="AF69" s="159" t="e">
        <f t="shared" si="152"/>
        <v>#NUM!</v>
      </c>
      <c r="AG69" s="387" t="e">
        <f t="shared" si="153"/>
        <v>#NUM!</v>
      </c>
      <c r="AH69" s="159" t="e">
        <f t="shared" si="154"/>
        <v>#NUM!</v>
      </c>
      <c r="AI69" s="159" t="e">
        <f t="shared" si="155"/>
        <v>#NUM!</v>
      </c>
      <c r="AJ69" s="387" t="e">
        <f t="shared" si="156"/>
        <v>#NUM!</v>
      </c>
      <c r="AK69" s="159" t="e">
        <f t="shared" si="157"/>
        <v>#NUM!</v>
      </c>
      <c r="AL69" s="159" t="e">
        <f t="shared" si="158"/>
        <v>#NUM!</v>
      </c>
      <c r="AM69" s="159" t="e">
        <f t="shared" si="159"/>
        <v>#NUM!</v>
      </c>
      <c r="AN69" s="159" t="e">
        <f t="shared" si="160"/>
        <v>#NUM!</v>
      </c>
      <c r="AO69" s="159" t="e">
        <f t="shared" si="161"/>
        <v>#NUM!</v>
      </c>
      <c r="AP69" s="159" t="e">
        <f t="shared" si="162"/>
        <v>#NUM!</v>
      </c>
      <c r="AQ69" s="159" t="e">
        <f t="shared" si="163"/>
        <v>#NUM!</v>
      </c>
      <c r="AR69" s="159" t="e">
        <f t="shared" si="164"/>
        <v>#NUM!</v>
      </c>
      <c r="AS69" s="159" t="e">
        <f t="shared" si="165"/>
        <v>#NUM!</v>
      </c>
      <c r="AT69" s="159" t="e">
        <f t="shared" si="166"/>
        <v>#NUM!</v>
      </c>
      <c r="AU69" s="159" t="e">
        <f t="shared" si="167"/>
        <v>#NUM!</v>
      </c>
      <c r="AV69" s="159" t="e">
        <f t="shared" si="168"/>
        <v>#NUM!</v>
      </c>
      <c r="AW69" s="159" t="e">
        <f t="shared" si="169"/>
        <v>#NUM!</v>
      </c>
      <c r="AX69" s="159" t="e">
        <f t="shared" si="170"/>
        <v>#NUM!</v>
      </c>
      <c r="AY69" s="159" t="e">
        <f t="shared" si="171"/>
        <v>#NUM!</v>
      </c>
      <c r="AZ69" s="159" t="e">
        <f t="shared" si="172"/>
        <v>#NUM!</v>
      </c>
      <c r="BA69" s="159" t="e">
        <f t="shared" si="173"/>
        <v>#NUM!</v>
      </c>
      <c r="BB69" s="159" t="e">
        <f t="shared" si="174"/>
        <v>#NUM!</v>
      </c>
      <c r="BC69" s="159" t="e">
        <f t="shared" si="175"/>
        <v>#NUM!</v>
      </c>
      <c r="BD69" s="159" t="e">
        <f t="shared" si="176"/>
        <v>#NUM!</v>
      </c>
      <c r="BE69" s="159" t="e">
        <f t="shared" si="177"/>
        <v>#NUM!</v>
      </c>
      <c r="BF69" s="159" t="e">
        <f t="shared" si="178"/>
        <v>#NUM!</v>
      </c>
      <c r="BG69" s="159" t="e">
        <f t="shared" si="179"/>
        <v>#NUM!</v>
      </c>
      <c r="BH69" s="159" t="e">
        <f t="shared" si="180"/>
        <v>#NUM!</v>
      </c>
      <c r="BI69" s="159" t="e">
        <f t="shared" si="181"/>
        <v>#NUM!</v>
      </c>
      <c r="BJ69" s="159" t="e">
        <f t="shared" si="182"/>
        <v>#NUM!</v>
      </c>
      <c r="BK69" s="159" t="e">
        <f t="shared" si="183"/>
        <v>#NUM!</v>
      </c>
      <c r="BL69" s="159" t="e">
        <f t="shared" si="184"/>
        <v>#NUM!</v>
      </c>
      <c r="BM69" s="159" t="e">
        <f t="shared" si="185"/>
        <v>#NUM!</v>
      </c>
      <c r="BN69" s="159" t="e">
        <f t="shared" si="186"/>
        <v>#NUM!</v>
      </c>
      <c r="BO69" s="159" t="e">
        <f t="shared" si="187"/>
        <v>#NUM!</v>
      </c>
      <c r="BP69" s="159" t="e">
        <f t="shared" si="188"/>
        <v>#NUM!</v>
      </c>
      <c r="BQ69" s="159" t="e">
        <f t="shared" si="189"/>
        <v>#NUM!</v>
      </c>
      <c r="BR69" s="159" t="e">
        <f t="shared" si="190"/>
        <v>#NUM!</v>
      </c>
      <c r="BS69" s="159" t="e">
        <f t="shared" si="191"/>
        <v>#NUM!</v>
      </c>
      <c r="BT69" s="159" t="e">
        <f t="shared" si="192"/>
        <v>#NUM!</v>
      </c>
      <c r="BU69" s="159" t="e">
        <f t="shared" si="193"/>
        <v>#NUM!</v>
      </c>
      <c r="BV69" s="159" t="e">
        <f t="shared" si="194"/>
        <v>#NUM!</v>
      </c>
      <c r="BW69" s="159"/>
      <c r="BX69" s="159"/>
      <c r="BY69" s="159"/>
      <c r="BZ69" s="159"/>
      <c r="CA69" s="159"/>
      <c r="CB69" s="159" t="e">
        <f t="shared" si="195"/>
        <v>#NUM!</v>
      </c>
      <c r="CC69" s="159" t="e">
        <f t="shared" si="196"/>
        <v>#NUM!</v>
      </c>
      <c r="CD69" s="159" t="e">
        <f t="shared" si="197"/>
        <v>#NUM!</v>
      </c>
      <c r="CE69" s="159" t="e">
        <f t="shared" si="198"/>
        <v>#NUM!</v>
      </c>
      <c r="CF69" s="159" t="e">
        <f t="shared" si="199"/>
        <v>#NUM!</v>
      </c>
      <c r="CG69" s="159" t="e">
        <f t="shared" si="200"/>
        <v>#NUM!</v>
      </c>
      <c r="CH69" s="159" t="e">
        <f t="shared" si="201"/>
        <v>#NUM!</v>
      </c>
      <c r="CI69" s="159" t="e">
        <f t="shared" si="202"/>
        <v>#NUM!</v>
      </c>
    </row>
    <row r="70" spans="6:87" x14ac:dyDescent="0.25">
      <c r="F70" s="317">
        <v>42857</v>
      </c>
      <c r="G70" s="530"/>
      <c r="H70" s="531"/>
      <c r="I70" s="371"/>
      <c r="J70" s="163"/>
      <c r="K70" s="163"/>
      <c r="L70" s="163"/>
      <c r="M70" s="163"/>
      <c r="N70" s="163"/>
      <c r="O70" s="163"/>
      <c r="P70" s="163"/>
      <c r="Q70" s="163">
        <f t="shared" si="137"/>
        <v>0.375</v>
      </c>
      <c r="R70" s="163" t="e">
        <f t="shared" si="138"/>
        <v>#NUM!</v>
      </c>
      <c r="S70" s="163">
        <f t="shared" si="139"/>
        <v>0</v>
      </c>
      <c r="T70" s="163">
        <f t="shared" si="140"/>
        <v>0</v>
      </c>
      <c r="U70" s="163" t="e">
        <f t="shared" ca="1" si="141"/>
        <v>#NUM!</v>
      </c>
      <c r="V70" s="159" t="e">
        <f t="shared" si="142"/>
        <v>#NUM!</v>
      </c>
      <c r="W70" s="159" t="e">
        <f t="shared" si="143"/>
        <v>#NUM!</v>
      </c>
      <c r="X70" s="159" t="e">
        <f t="shared" si="144"/>
        <v>#NUM!</v>
      </c>
      <c r="Y70" s="159" t="e">
        <f t="shared" si="145"/>
        <v>#NUM!</v>
      </c>
      <c r="Z70" s="159" t="e">
        <f t="shared" si="146"/>
        <v>#NUM!</v>
      </c>
      <c r="AA70" s="159" t="e">
        <f t="shared" si="147"/>
        <v>#NUM!</v>
      </c>
      <c r="AB70" s="159" t="e">
        <f t="shared" si="148"/>
        <v>#NUM!</v>
      </c>
      <c r="AC70" s="159" t="e">
        <f t="shared" si="149"/>
        <v>#NUM!</v>
      </c>
      <c r="AD70" s="159" t="e">
        <f t="shared" si="150"/>
        <v>#NUM!</v>
      </c>
      <c r="AE70" s="159" t="e">
        <f t="shared" si="151"/>
        <v>#NUM!</v>
      </c>
      <c r="AF70" s="159" t="e">
        <f t="shared" si="152"/>
        <v>#NUM!</v>
      </c>
      <c r="AG70" s="387" t="e">
        <f t="shared" si="153"/>
        <v>#NUM!</v>
      </c>
      <c r="AH70" s="159" t="e">
        <f t="shared" si="154"/>
        <v>#NUM!</v>
      </c>
      <c r="AI70" s="159" t="e">
        <f t="shared" si="155"/>
        <v>#NUM!</v>
      </c>
      <c r="AJ70" s="387" t="e">
        <f t="shared" si="156"/>
        <v>#NUM!</v>
      </c>
      <c r="AK70" s="159" t="e">
        <f t="shared" si="157"/>
        <v>#NUM!</v>
      </c>
      <c r="AL70" s="159" t="e">
        <f t="shared" si="158"/>
        <v>#NUM!</v>
      </c>
      <c r="AM70" s="159" t="e">
        <f t="shared" si="159"/>
        <v>#NUM!</v>
      </c>
      <c r="AN70" s="159" t="e">
        <f t="shared" si="160"/>
        <v>#NUM!</v>
      </c>
      <c r="AO70" s="159" t="e">
        <f t="shared" si="161"/>
        <v>#NUM!</v>
      </c>
      <c r="AP70" s="159" t="e">
        <f t="shared" si="162"/>
        <v>#NUM!</v>
      </c>
      <c r="AQ70" s="159" t="e">
        <f t="shared" si="163"/>
        <v>#NUM!</v>
      </c>
      <c r="AR70" s="159" t="e">
        <f t="shared" si="164"/>
        <v>#NUM!</v>
      </c>
      <c r="AS70" s="159" t="e">
        <f t="shared" si="165"/>
        <v>#NUM!</v>
      </c>
      <c r="AT70" s="159" t="e">
        <f t="shared" si="166"/>
        <v>#NUM!</v>
      </c>
      <c r="AU70" s="159" t="e">
        <f t="shared" si="167"/>
        <v>#NUM!</v>
      </c>
      <c r="AV70" s="159" t="e">
        <f t="shared" si="168"/>
        <v>#NUM!</v>
      </c>
      <c r="AW70" s="159" t="e">
        <f t="shared" si="169"/>
        <v>#NUM!</v>
      </c>
      <c r="AX70" s="159" t="e">
        <f t="shared" si="170"/>
        <v>#NUM!</v>
      </c>
      <c r="AY70" s="159" t="e">
        <f t="shared" si="171"/>
        <v>#NUM!</v>
      </c>
      <c r="AZ70" s="159" t="e">
        <f t="shared" si="172"/>
        <v>#NUM!</v>
      </c>
      <c r="BA70" s="159" t="e">
        <f t="shared" si="173"/>
        <v>#NUM!</v>
      </c>
      <c r="BB70" s="159" t="e">
        <f t="shared" si="174"/>
        <v>#NUM!</v>
      </c>
      <c r="BC70" s="159" t="e">
        <f t="shared" si="175"/>
        <v>#NUM!</v>
      </c>
      <c r="BD70" s="159" t="e">
        <f t="shared" si="176"/>
        <v>#NUM!</v>
      </c>
      <c r="BE70" s="159" t="e">
        <f t="shared" si="177"/>
        <v>#NUM!</v>
      </c>
      <c r="BF70" s="159" t="e">
        <f t="shared" si="178"/>
        <v>#NUM!</v>
      </c>
      <c r="BG70" s="159" t="e">
        <f t="shared" si="179"/>
        <v>#NUM!</v>
      </c>
      <c r="BH70" s="159" t="e">
        <f t="shared" si="180"/>
        <v>#NUM!</v>
      </c>
      <c r="BI70" s="159" t="e">
        <f t="shared" si="181"/>
        <v>#NUM!</v>
      </c>
      <c r="BJ70" s="159" t="e">
        <f t="shared" si="182"/>
        <v>#NUM!</v>
      </c>
      <c r="BK70" s="159" t="e">
        <f t="shared" si="183"/>
        <v>#NUM!</v>
      </c>
      <c r="BL70" s="159" t="e">
        <f t="shared" si="184"/>
        <v>#NUM!</v>
      </c>
      <c r="BM70" s="159" t="e">
        <f t="shared" si="185"/>
        <v>#NUM!</v>
      </c>
      <c r="BN70" s="159" t="e">
        <f t="shared" si="186"/>
        <v>#NUM!</v>
      </c>
      <c r="BO70" s="159" t="e">
        <f t="shared" si="187"/>
        <v>#NUM!</v>
      </c>
      <c r="BP70" s="159" t="e">
        <f t="shared" si="188"/>
        <v>#NUM!</v>
      </c>
      <c r="BQ70" s="159" t="e">
        <f t="shared" si="189"/>
        <v>#NUM!</v>
      </c>
      <c r="BR70" s="159" t="e">
        <f t="shared" si="190"/>
        <v>#NUM!</v>
      </c>
      <c r="BS70" s="159" t="e">
        <f t="shared" si="191"/>
        <v>#NUM!</v>
      </c>
      <c r="BT70" s="159" t="e">
        <f t="shared" si="192"/>
        <v>#NUM!</v>
      </c>
      <c r="BU70" s="159" t="e">
        <f t="shared" si="193"/>
        <v>#NUM!</v>
      </c>
      <c r="BV70" s="159" t="e">
        <f t="shared" si="194"/>
        <v>#NUM!</v>
      </c>
      <c r="BW70" s="159"/>
      <c r="BX70" s="159"/>
      <c r="BY70" s="159"/>
      <c r="BZ70" s="159"/>
      <c r="CA70" s="159"/>
      <c r="CB70" s="159" t="e">
        <f t="shared" si="195"/>
        <v>#NUM!</v>
      </c>
      <c r="CC70" s="159" t="e">
        <f t="shared" si="196"/>
        <v>#NUM!</v>
      </c>
      <c r="CD70" s="159" t="e">
        <f t="shared" si="197"/>
        <v>#NUM!</v>
      </c>
      <c r="CE70" s="159" t="e">
        <f t="shared" si="198"/>
        <v>#NUM!</v>
      </c>
      <c r="CF70" s="159" t="e">
        <f t="shared" si="199"/>
        <v>#NUM!</v>
      </c>
      <c r="CG70" s="159" t="e">
        <f t="shared" si="200"/>
        <v>#NUM!</v>
      </c>
      <c r="CH70" s="159" t="e">
        <f t="shared" si="201"/>
        <v>#NUM!</v>
      </c>
      <c r="CI70" s="159" t="e">
        <f t="shared" si="202"/>
        <v>#NUM!</v>
      </c>
    </row>
    <row r="71" spans="6:87" x14ac:dyDescent="0.25">
      <c r="F71" s="317">
        <v>42857</v>
      </c>
      <c r="G71" s="530"/>
      <c r="H71" s="531"/>
      <c r="I71" s="371"/>
      <c r="J71" s="163"/>
      <c r="K71" s="163"/>
      <c r="L71" s="163"/>
      <c r="M71" s="163"/>
      <c r="N71" s="163"/>
      <c r="O71" s="163"/>
      <c r="P71" s="163"/>
      <c r="Q71" s="163">
        <f t="shared" si="137"/>
        <v>0.375</v>
      </c>
      <c r="R71" s="163" t="e">
        <f t="shared" si="138"/>
        <v>#NUM!</v>
      </c>
      <c r="S71" s="163">
        <f t="shared" si="139"/>
        <v>0</v>
      </c>
      <c r="T71" s="163">
        <f t="shared" si="140"/>
        <v>0</v>
      </c>
      <c r="U71" s="163" t="e">
        <f t="shared" ca="1" si="141"/>
        <v>#NUM!</v>
      </c>
      <c r="V71" s="159" t="e">
        <f t="shared" si="142"/>
        <v>#NUM!</v>
      </c>
      <c r="W71" s="159" t="e">
        <f t="shared" si="143"/>
        <v>#NUM!</v>
      </c>
      <c r="X71" s="159" t="e">
        <f t="shared" si="144"/>
        <v>#NUM!</v>
      </c>
      <c r="Y71" s="159" t="e">
        <f t="shared" si="145"/>
        <v>#NUM!</v>
      </c>
      <c r="Z71" s="159" t="e">
        <f t="shared" si="146"/>
        <v>#NUM!</v>
      </c>
      <c r="AA71" s="159" t="e">
        <f t="shared" si="147"/>
        <v>#NUM!</v>
      </c>
      <c r="AB71" s="159" t="e">
        <f t="shared" si="148"/>
        <v>#NUM!</v>
      </c>
      <c r="AC71" s="159" t="e">
        <f t="shared" si="149"/>
        <v>#NUM!</v>
      </c>
      <c r="AD71" s="159" t="e">
        <f t="shared" si="150"/>
        <v>#NUM!</v>
      </c>
      <c r="AE71" s="159" t="e">
        <f t="shared" si="151"/>
        <v>#NUM!</v>
      </c>
      <c r="AF71" s="159" t="e">
        <f t="shared" si="152"/>
        <v>#NUM!</v>
      </c>
      <c r="AG71" s="387" t="e">
        <f t="shared" si="153"/>
        <v>#NUM!</v>
      </c>
      <c r="AH71" s="159" t="e">
        <f t="shared" si="154"/>
        <v>#NUM!</v>
      </c>
      <c r="AI71" s="159" t="e">
        <f t="shared" si="155"/>
        <v>#NUM!</v>
      </c>
      <c r="AJ71" s="387" t="e">
        <f t="shared" si="156"/>
        <v>#NUM!</v>
      </c>
      <c r="AK71" s="159" t="e">
        <f t="shared" si="157"/>
        <v>#NUM!</v>
      </c>
      <c r="AL71" s="159" t="e">
        <f t="shared" si="158"/>
        <v>#NUM!</v>
      </c>
      <c r="AM71" s="159" t="e">
        <f t="shared" si="159"/>
        <v>#NUM!</v>
      </c>
      <c r="AN71" s="159" t="e">
        <f t="shared" si="160"/>
        <v>#NUM!</v>
      </c>
      <c r="AO71" s="159" t="e">
        <f t="shared" si="161"/>
        <v>#NUM!</v>
      </c>
      <c r="AP71" s="159" t="e">
        <f t="shared" si="162"/>
        <v>#NUM!</v>
      </c>
      <c r="AQ71" s="159" t="e">
        <f t="shared" si="163"/>
        <v>#NUM!</v>
      </c>
      <c r="AR71" s="159" t="e">
        <f t="shared" si="164"/>
        <v>#NUM!</v>
      </c>
      <c r="AS71" s="159" t="e">
        <f t="shared" si="165"/>
        <v>#NUM!</v>
      </c>
      <c r="AT71" s="159" t="e">
        <f t="shared" si="166"/>
        <v>#NUM!</v>
      </c>
      <c r="AU71" s="159" t="e">
        <f t="shared" si="167"/>
        <v>#NUM!</v>
      </c>
      <c r="AV71" s="159" t="e">
        <f t="shared" si="168"/>
        <v>#NUM!</v>
      </c>
      <c r="AW71" s="159" t="e">
        <f t="shared" si="169"/>
        <v>#NUM!</v>
      </c>
      <c r="AX71" s="159" t="e">
        <f t="shared" si="170"/>
        <v>#NUM!</v>
      </c>
      <c r="AY71" s="159" t="e">
        <f t="shared" si="171"/>
        <v>#NUM!</v>
      </c>
      <c r="AZ71" s="159" t="e">
        <f t="shared" si="172"/>
        <v>#NUM!</v>
      </c>
      <c r="BA71" s="159" t="e">
        <f t="shared" si="173"/>
        <v>#NUM!</v>
      </c>
      <c r="BB71" s="159" t="e">
        <f t="shared" si="174"/>
        <v>#NUM!</v>
      </c>
      <c r="BC71" s="159" t="e">
        <f t="shared" si="175"/>
        <v>#NUM!</v>
      </c>
      <c r="BD71" s="159" t="e">
        <f t="shared" si="176"/>
        <v>#NUM!</v>
      </c>
      <c r="BE71" s="159" t="e">
        <f t="shared" si="177"/>
        <v>#NUM!</v>
      </c>
      <c r="BF71" s="159" t="e">
        <f t="shared" si="178"/>
        <v>#NUM!</v>
      </c>
      <c r="BG71" s="159" t="e">
        <f t="shared" si="179"/>
        <v>#NUM!</v>
      </c>
      <c r="BH71" s="159" t="e">
        <f t="shared" si="180"/>
        <v>#NUM!</v>
      </c>
      <c r="BI71" s="159" t="e">
        <f t="shared" si="181"/>
        <v>#NUM!</v>
      </c>
      <c r="BJ71" s="159" t="e">
        <f t="shared" si="182"/>
        <v>#NUM!</v>
      </c>
      <c r="BK71" s="159" t="e">
        <f t="shared" si="183"/>
        <v>#NUM!</v>
      </c>
      <c r="BL71" s="159" t="e">
        <f t="shared" si="184"/>
        <v>#NUM!</v>
      </c>
      <c r="BM71" s="159" t="e">
        <f t="shared" si="185"/>
        <v>#NUM!</v>
      </c>
      <c r="BN71" s="159" t="e">
        <f t="shared" si="186"/>
        <v>#NUM!</v>
      </c>
      <c r="BO71" s="159" t="e">
        <f t="shared" si="187"/>
        <v>#NUM!</v>
      </c>
      <c r="BP71" s="159" t="e">
        <f t="shared" si="188"/>
        <v>#NUM!</v>
      </c>
      <c r="BQ71" s="159" t="e">
        <f t="shared" si="189"/>
        <v>#NUM!</v>
      </c>
      <c r="BR71" s="159" t="e">
        <f t="shared" si="190"/>
        <v>#NUM!</v>
      </c>
      <c r="BS71" s="159" t="e">
        <f t="shared" si="191"/>
        <v>#NUM!</v>
      </c>
      <c r="BT71" s="159" t="e">
        <f t="shared" si="192"/>
        <v>#NUM!</v>
      </c>
      <c r="BU71" s="159" t="e">
        <f t="shared" si="193"/>
        <v>#NUM!</v>
      </c>
      <c r="BV71" s="159" t="e">
        <f t="shared" si="194"/>
        <v>#NUM!</v>
      </c>
      <c r="BW71" s="159"/>
      <c r="BX71" s="159"/>
      <c r="BY71" s="159"/>
      <c r="BZ71" s="159"/>
      <c r="CA71" s="159"/>
      <c r="CB71" s="159" t="e">
        <f t="shared" si="195"/>
        <v>#NUM!</v>
      </c>
      <c r="CC71" s="159" t="e">
        <f t="shared" si="196"/>
        <v>#NUM!</v>
      </c>
      <c r="CD71" s="159" t="e">
        <f t="shared" si="197"/>
        <v>#NUM!</v>
      </c>
      <c r="CE71" s="159" t="e">
        <f t="shared" si="198"/>
        <v>#NUM!</v>
      </c>
      <c r="CF71" s="159" t="e">
        <f t="shared" si="199"/>
        <v>#NUM!</v>
      </c>
      <c r="CG71" s="159" t="e">
        <f t="shared" si="200"/>
        <v>#NUM!</v>
      </c>
      <c r="CH71" s="159" t="e">
        <f t="shared" si="201"/>
        <v>#NUM!</v>
      </c>
      <c r="CI71" s="159" t="e">
        <f t="shared" si="202"/>
        <v>#NUM!</v>
      </c>
    </row>
    <row r="72" spans="6:87" x14ac:dyDescent="0.25">
      <c r="F72" s="317">
        <v>42857</v>
      </c>
      <c r="G72" s="530"/>
      <c r="H72" s="531"/>
      <c r="I72" s="371"/>
      <c r="J72" s="163"/>
      <c r="K72" s="163"/>
      <c r="L72" s="163"/>
      <c r="M72" s="163"/>
      <c r="N72" s="163"/>
      <c r="O72" s="163"/>
      <c r="P72" s="163"/>
      <c r="Q72" s="163">
        <f t="shared" si="137"/>
        <v>0.375</v>
      </c>
      <c r="R72" s="163" t="e">
        <f t="shared" si="138"/>
        <v>#NUM!</v>
      </c>
      <c r="S72" s="163">
        <f t="shared" si="139"/>
        <v>0</v>
      </c>
      <c r="T72" s="163">
        <f t="shared" si="140"/>
        <v>0</v>
      </c>
      <c r="U72" s="163" t="e">
        <f t="shared" ca="1" si="141"/>
        <v>#NUM!</v>
      </c>
      <c r="V72" s="159" t="e">
        <f t="shared" si="142"/>
        <v>#NUM!</v>
      </c>
      <c r="W72" s="159" t="e">
        <f t="shared" si="143"/>
        <v>#NUM!</v>
      </c>
      <c r="X72" s="159" t="e">
        <f t="shared" si="144"/>
        <v>#NUM!</v>
      </c>
      <c r="Y72" s="159" t="e">
        <f t="shared" si="145"/>
        <v>#NUM!</v>
      </c>
      <c r="Z72" s="159" t="e">
        <f t="shared" si="146"/>
        <v>#NUM!</v>
      </c>
      <c r="AA72" s="159" t="e">
        <f t="shared" si="147"/>
        <v>#NUM!</v>
      </c>
      <c r="AB72" s="159" t="e">
        <f t="shared" si="148"/>
        <v>#NUM!</v>
      </c>
      <c r="AC72" s="159" t="e">
        <f t="shared" si="149"/>
        <v>#NUM!</v>
      </c>
      <c r="AD72" s="159" t="e">
        <f t="shared" si="150"/>
        <v>#NUM!</v>
      </c>
      <c r="AE72" s="159" t="e">
        <f t="shared" si="151"/>
        <v>#NUM!</v>
      </c>
      <c r="AF72" s="159" t="e">
        <f t="shared" si="152"/>
        <v>#NUM!</v>
      </c>
      <c r="AG72" s="387" t="e">
        <f t="shared" si="153"/>
        <v>#NUM!</v>
      </c>
      <c r="AH72" s="159" t="e">
        <f t="shared" si="154"/>
        <v>#NUM!</v>
      </c>
      <c r="AI72" s="159" t="e">
        <f t="shared" si="155"/>
        <v>#NUM!</v>
      </c>
      <c r="AJ72" s="387" t="e">
        <f t="shared" si="156"/>
        <v>#NUM!</v>
      </c>
      <c r="AK72" s="159" t="e">
        <f t="shared" si="157"/>
        <v>#NUM!</v>
      </c>
      <c r="AL72" s="159" t="e">
        <f t="shared" si="158"/>
        <v>#NUM!</v>
      </c>
      <c r="AM72" s="159" t="e">
        <f t="shared" si="159"/>
        <v>#NUM!</v>
      </c>
      <c r="AN72" s="159" t="e">
        <f t="shared" si="160"/>
        <v>#NUM!</v>
      </c>
      <c r="AO72" s="159" t="e">
        <f t="shared" si="161"/>
        <v>#NUM!</v>
      </c>
      <c r="AP72" s="159" t="e">
        <f t="shared" si="162"/>
        <v>#NUM!</v>
      </c>
      <c r="AQ72" s="159" t="e">
        <f t="shared" si="163"/>
        <v>#NUM!</v>
      </c>
      <c r="AR72" s="159" t="e">
        <f t="shared" si="164"/>
        <v>#NUM!</v>
      </c>
      <c r="AS72" s="159" t="e">
        <f t="shared" si="165"/>
        <v>#NUM!</v>
      </c>
      <c r="AT72" s="159" t="e">
        <f t="shared" si="166"/>
        <v>#NUM!</v>
      </c>
      <c r="AU72" s="159" t="e">
        <f t="shared" si="167"/>
        <v>#NUM!</v>
      </c>
      <c r="AV72" s="159" t="e">
        <f t="shared" si="168"/>
        <v>#NUM!</v>
      </c>
      <c r="AW72" s="159" t="e">
        <f t="shared" si="169"/>
        <v>#NUM!</v>
      </c>
      <c r="AX72" s="159" t="e">
        <f t="shared" si="170"/>
        <v>#NUM!</v>
      </c>
      <c r="AY72" s="159" t="e">
        <f t="shared" si="171"/>
        <v>#NUM!</v>
      </c>
      <c r="AZ72" s="159" t="e">
        <f t="shared" si="172"/>
        <v>#NUM!</v>
      </c>
      <c r="BA72" s="159" t="e">
        <f t="shared" si="173"/>
        <v>#NUM!</v>
      </c>
      <c r="BB72" s="159" t="e">
        <f t="shared" si="174"/>
        <v>#NUM!</v>
      </c>
      <c r="BC72" s="159" t="e">
        <f t="shared" si="175"/>
        <v>#NUM!</v>
      </c>
      <c r="BD72" s="159" t="e">
        <f t="shared" si="176"/>
        <v>#NUM!</v>
      </c>
      <c r="BE72" s="159" t="e">
        <f t="shared" si="177"/>
        <v>#NUM!</v>
      </c>
      <c r="BF72" s="159" t="e">
        <f t="shared" si="178"/>
        <v>#NUM!</v>
      </c>
      <c r="BG72" s="159" t="e">
        <f t="shared" si="179"/>
        <v>#NUM!</v>
      </c>
      <c r="BH72" s="159" t="e">
        <f t="shared" si="180"/>
        <v>#NUM!</v>
      </c>
      <c r="BI72" s="159" t="e">
        <f t="shared" si="181"/>
        <v>#NUM!</v>
      </c>
      <c r="BJ72" s="159" t="e">
        <f t="shared" si="182"/>
        <v>#NUM!</v>
      </c>
      <c r="BK72" s="159" t="e">
        <f t="shared" si="183"/>
        <v>#NUM!</v>
      </c>
      <c r="BL72" s="159" t="e">
        <f t="shared" si="184"/>
        <v>#NUM!</v>
      </c>
      <c r="BM72" s="159" t="e">
        <f t="shared" si="185"/>
        <v>#NUM!</v>
      </c>
      <c r="BN72" s="159" t="e">
        <f t="shared" si="186"/>
        <v>#NUM!</v>
      </c>
      <c r="BO72" s="159" t="e">
        <f t="shared" si="187"/>
        <v>#NUM!</v>
      </c>
      <c r="BP72" s="159" t="e">
        <f t="shared" si="188"/>
        <v>#NUM!</v>
      </c>
      <c r="BQ72" s="159" t="e">
        <f t="shared" si="189"/>
        <v>#NUM!</v>
      </c>
      <c r="BR72" s="159" t="e">
        <f t="shared" si="190"/>
        <v>#NUM!</v>
      </c>
      <c r="BS72" s="159" t="e">
        <f t="shared" si="191"/>
        <v>#NUM!</v>
      </c>
      <c r="BT72" s="159" t="e">
        <f t="shared" si="192"/>
        <v>#NUM!</v>
      </c>
      <c r="BU72" s="159" t="e">
        <f t="shared" si="193"/>
        <v>#NUM!</v>
      </c>
      <c r="BV72" s="159" t="e">
        <f t="shared" si="194"/>
        <v>#NUM!</v>
      </c>
      <c r="BW72" s="159"/>
      <c r="BX72" s="159"/>
      <c r="BY72" s="159"/>
      <c r="BZ72" s="159"/>
      <c r="CA72" s="159"/>
      <c r="CB72" s="159" t="e">
        <f t="shared" si="195"/>
        <v>#NUM!</v>
      </c>
      <c r="CC72" s="159" t="e">
        <f t="shared" si="196"/>
        <v>#NUM!</v>
      </c>
      <c r="CD72" s="159" t="e">
        <f t="shared" si="197"/>
        <v>#NUM!</v>
      </c>
      <c r="CE72" s="159" t="e">
        <f t="shared" si="198"/>
        <v>#NUM!</v>
      </c>
      <c r="CF72" s="159" t="e">
        <f t="shared" si="199"/>
        <v>#NUM!</v>
      </c>
      <c r="CG72" s="159" t="e">
        <f t="shared" si="200"/>
        <v>#NUM!</v>
      </c>
      <c r="CH72" s="159" t="e">
        <f t="shared" si="201"/>
        <v>#NUM!</v>
      </c>
      <c r="CI72" s="159" t="e">
        <f t="shared" si="202"/>
        <v>#NUM!</v>
      </c>
    </row>
    <row r="73" spans="6:87" x14ac:dyDescent="0.25">
      <c r="F73" s="317">
        <v>42857</v>
      </c>
      <c r="G73" s="530"/>
      <c r="H73" s="531"/>
      <c r="I73" s="371"/>
      <c r="J73" s="163"/>
      <c r="K73" s="163"/>
      <c r="L73" s="163"/>
      <c r="M73" s="163"/>
      <c r="N73" s="163"/>
      <c r="O73" s="163"/>
      <c r="P73" s="163"/>
      <c r="Q73" s="163">
        <f t="shared" si="137"/>
        <v>0.375</v>
      </c>
      <c r="R73" s="163" t="e">
        <f t="shared" si="138"/>
        <v>#NUM!</v>
      </c>
      <c r="S73" s="163">
        <f t="shared" si="139"/>
        <v>0</v>
      </c>
      <c r="T73" s="163">
        <f t="shared" si="140"/>
        <v>0</v>
      </c>
      <c r="U73" s="163" t="e">
        <f t="shared" ca="1" si="141"/>
        <v>#NUM!</v>
      </c>
      <c r="V73" s="159" t="e">
        <f t="shared" si="142"/>
        <v>#NUM!</v>
      </c>
      <c r="W73" s="159" t="e">
        <f t="shared" si="143"/>
        <v>#NUM!</v>
      </c>
      <c r="X73" s="159" t="e">
        <f t="shared" si="144"/>
        <v>#NUM!</v>
      </c>
      <c r="Y73" s="159" t="e">
        <f t="shared" si="145"/>
        <v>#NUM!</v>
      </c>
      <c r="Z73" s="159" t="e">
        <f t="shared" si="146"/>
        <v>#NUM!</v>
      </c>
      <c r="AA73" s="159" t="e">
        <f t="shared" si="147"/>
        <v>#NUM!</v>
      </c>
      <c r="AB73" s="159" t="e">
        <f t="shared" si="148"/>
        <v>#NUM!</v>
      </c>
      <c r="AC73" s="159" t="e">
        <f t="shared" si="149"/>
        <v>#NUM!</v>
      </c>
      <c r="AD73" s="159" t="e">
        <f t="shared" si="150"/>
        <v>#NUM!</v>
      </c>
      <c r="AE73" s="159" t="e">
        <f t="shared" si="151"/>
        <v>#NUM!</v>
      </c>
      <c r="AF73" s="159" t="e">
        <f t="shared" si="152"/>
        <v>#NUM!</v>
      </c>
      <c r="AG73" s="387" t="e">
        <f t="shared" si="153"/>
        <v>#NUM!</v>
      </c>
      <c r="AH73" s="159" t="e">
        <f t="shared" si="154"/>
        <v>#NUM!</v>
      </c>
      <c r="AI73" s="159" t="e">
        <f t="shared" si="155"/>
        <v>#NUM!</v>
      </c>
      <c r="AJ73" s="387" t="e">
        <f t="shared" si="156"/>
        <v>#NUM!</v>
      </c>
      <c r="AK73" s="159" t="e">
        <f t="shared" si="157"/>
        <v>#NUM!</v>
      </c>
      <c r="AL73" s="159" t="e">
        <f t="shared" si="158"/>
        <v>#NUM!</v>
      </c>
      <c r="AM73" s="159" t="e">
        <f t="shared" si="159"/>
        <v>#NUM!</v>
      </c>
      <c r="AN73" s="159" t="e">
        <f t="shared" si="160"/>
        <v>#NUM!</v>
      </c>
      <c r="AO73" s="159" t="e">
        <f t="shared" si="161"/>
        <v>#NUM!</v>
      </c>
      <c r="AP73" s="159" t="e">
        <f t="shared" si="162"/>
        <v>#NUM!</v>
      </c>
      <c r="AQ73" s="159" t="e">
        <f t="shared" si="163"/>
        <v>#NUM!</v>
      </c>
      <c r="AR73" s="159" t="e">
        <f t="shared" si="164"/>
        <v>#NUM!</v>
      </c>
      <c r="AS73" s="159" t="e">
        <f t="shared" si="165"/>
        <v>#NUM!</v>
      </c>
      <c r="AT73" s="159" t="e">
        <f t="shared" si="166"/>
        <v>#NUM!</v>
      </c>
      <c r="AU73" s="159" t="e">
        <f t="shared" si="167"/>
        <v>#NUM!</v>
      </c>
      <c r="AV73" s="159" t="e">
        <f t="shared" si="168"/>
        <v>#NUM!</v>
      </c>
      <c r="AW73" s="159" t="e">
        <f t="shared" si="169"/>
        <v>#NUM!</v>
      </c>
      <c r="AX73" s="159" t="e">
        <f t="shared" si="170"/>
        <v>#NUM!</v>
      </c>
      <c r="AY73" s="159" t="e">
        <f t="shared" si="171"/>
        <v>#NUM!</v>
      </c>
      <c r="AZ73" s="159" t="e">
        <f t="shared" si="172"/>
        <v>#NUM!</v>
      </c>
      <c r="BA73" s="159" t="e">
        <f t="shared" si="173"/>
        <v>#NUM!</v>
      </c>
      <c r="BB73" s="159" t="e">
        <f t="shared" si="174"/>
        <v>#NUM!</v>
      </c>
      <c r="BC73" s="159" t="e">
        <f t="shared" si="175"/>
        <v>#NUM!</v>
      </c>
      <c r="BD73" s="159" t="e">
        <f t="shared" si="176"/>
        <v>#NUM!</v>
      </c>
      <c r="BE73" s="159" t="e">
        <f t="shared" si="177"/>
        <v>#NUM!</v>
      </c>
      <c r="BF73" s="159" t="e">
        <f t="shared" si="178"/>
        <v>#NUM!</v>
      </c>
      <c r="BG73" s="159" t="e">
        <f t="shared" si="179"/>
        <v>#NUM!</v>
      </c>
      <c r="BH73" s="159" t="e">
        <f t="shared" si="180"/>
        <v>#NUM!</v>
      </c>
      <c r="BI73" s="159" t="e">
        <f t="shared" si="181"/>
        <v>#NUM!</v>
      </c>
      <c r="BJ73" s="159" t="e">
        <f t="shared" si="182"/>
        <v>#NUM!</v>
      </c>
      <c r="BK73" s="159" t="e">
        <f t="shared" si="183"/>
        <v>#NUM!</v>
      </c>
      <c r="BL73" s="159" t="e">
        <f t="shared" si="184"/>
        <v>#NUM!</v>
      </c>
      <c r="BM73" s="159" t="e">
        <f t="shared" si="185"/>
        <v>#NUM!</v>
      </c>
      <c r="BN73" s="159" t="e">
        <f t="shared" si="186"/>
        <v>#NUM!</v>
      </c>
      <c r="BO73" s="159" t="e">
        <f t="shared" si="187"/>
        <v>#NUM!</v>
      </c>
      <c r="BP73" s="159" t="e">
        <f t="shared" si="188"/>
        <v>#NUM!</v>
      </c>
      <c r="BQ73" s="159" t="e">
        <f t="shared" si="189"/>
        <v>#NUM!</v>
      </c>
      <c r="BR73" s="159" t="e">
        <f t="shared" si="190"/>
        <v>#NUM!</v>
      </c>
      <c r="BS73" s="159" t="e">
        <f t="shared" si="191"/>
        <v>#NUM!</v>
      </c>
      <c r="BT73" s="159" t="e">
        <f t="shared" si="192"/>
        <v>#NUM!</v>
      </c>
      <c r="BU73" s="159" t="e">
        <f t="shared" si="193"/>
        <v>#NUM!</v>
      </c>
      <c r="BV73" s="159" t="e">
        <f t="shared" si="194"/>
        <v>#NUM!</v>
      </c>
      <c r="BW73" s="159"/>
      <c r="BX73" s="159"/>
      <c r="BY73" s="159"/>
      <c r="BZ73" s="159"/>
      <c r="CA73" s="159"/>
      <c r="CB73" s="159" t="e">
        <f t="shared" si="195"/>
        <v>#NUM!</v>
      </c>
      <c r="CC73" s="159" t="e">
        <f t="shared" si="196"/>
        <v>#NUM!</v>
      </c>
      <c r="CD73" s="159" t="e">
        <f t="shared" si="197"/>
        <v>#NUM!</v>
      </c>
      <c r="CE73" s="159" t="e">
        <f t="shared" si="198"/>
        <v>#NUM!</v>
      </c>
      <c r="CF73" s="159" t="e">
        <f t="shared" si="199"/>
        <v>#NUM!</v>
      </c>
      <c r="CG73" s="159" t="e">
        <f t="shared" si="200"/>
        <v>#NUM!</v>
      </c>
      <c r="CH73" s="159" t="e">
        <f t="shared" si="201"/>
        <v>#NUM!</v>
      </c>
      <c r="CI73" s="159" t="e">
        <f t="shared" si="202"/>
        <v>#NUM!</v>
      </c>
    </row>
    <row r="74" spans="6:87" x14ac:dyDescent="0.25">
      <c r="F74" s="317">
        <v>42857</v>
      </c>
      <c r="G74" s="530"/>
      <c r="H74" s="531"/>
      <c r="I74" s="371"/>
      <c r="J74" s="163"/>
      <c r="K74" s="163"/>
      <c r="L74" s="163"/>
      <c r="M74" s="163"/>
      <c r="N74" s="163"/>
      <c r="O74" s="163"/>
      <c r="P74" s="163"/>
      <c r="Q74" s="163">
        <f t="shared" si="137"/>
        <v>0.375</v>
      </c>
      <c r="R74" s="163" t="e">
        <f t="shared" si="138"/>
        <v>#NUM!</v>
      </c>
      <c r="S74" s="163">
        <f t="shared" si="139"/>
        <v>0</v>
      </c>
      <c r="T74" s="163">
        <f t="shared" si="140"/>
        <v>0</v>
      </c>
      <c r="U74" s="163" t="e">
        <f t="shared" ca="1" si="141"/>
        <v>#NUM!</v>
      </c>
      <c r="V74" s="159" t="e">
        <f t="shared" si="142"/>
        <v>#NUM!</v>
      </c>
      <c r="W74" s="159" t="e">
        <f t="shared" si="143"/>
        <v>#NUM!</v>
      </c>
      <c r="X74" s="159" t="e">
        <f t="shared" si="144"/>
        <v>#NUM!</v>
      </c>
      <c r="Y74" s="159" t="e">
        <f t="shared" si="145"/>
        <v>#NUM!</v>
      </c>
      <c r="Z74" s="159" t="e">
        <f t="shared" si="146"/>
        <v>#NUM!</v>
      </c>
      <c r="AA74" s="159" t="e">
        <f t="shared" si="147"/>
        <v>#NUM!</v>
      </c>
      <c r="AB74" s="159" t="e">
        <f t="shared" si="148"/>
        <v>#NUM!</v>
      </c>
      <c r="AC74" s="159" t="e">
        <f t="shared" si="149"/>
        <v>#NUM!</v>
      </c>
      <c r="AD74" s="159" t="e">
        <f t="shared" si="150"/>
        <v>#NUM!</v>
      </c>
      <c r="AE74" s="159" t="e">
        <f t="shared" si="151"/>
        <v>#NUM!</v>
      </c>
      <c r="AF74" s="159" t="e">
        <f t="shared" si="152"/>
        <v>#NUM!</v>
      </c>
      <c r="AG74" s="387" t="e">
        <f t="shared" si="153"/>
        <v>#NUM!</v>
      </c>
      <c r="AH74" s="159" t="e">
        <f t="shared" si="154"/>
        <v>#NUM!</v>
      </c>
      <c r="AI74" s="159" t="e">
        <f t="shared" si="155"/>
        <v>#NUM!</v>
      </c>
      <c r="AJ74" s="387" t="e">
        <f t="shared" si="156"/>
        <v>#NUM!</v>
      </c>
      <c r="AK74" s="159" t="e">
        <f t="shared" si="157"/>
        <v>#NUM!</v>
      </c>
      <c r="AL74" s="159" t="e">
        <f t="shared" si="158"/>
        <v>#NUM!</v>
      </c>
      <c r="AM74" s="159" t="e">
        <f t="shared" si="159"/>
        <v>#NUM!</v>
      </c>
      <c r="AN74" s="159" t="e">
        <f t="shared" si="160"/>
        <v>#NUM!</v>
      </c>
      <c r="AO74" s="159" t="e">
        <f t="shared" si="161"/>
        <v>#NUM!</v>
      </c>
      <c r="AP74" s="159" t="e">
        <f t="shared" si="162"/>
        <v>#NUM!</v>
      </c>
      <c r="AQ74" s="159" t="e">
        <f t="shared" si="163"/>
        <v>#NUM!</v>
      </c>
      <c r="AR74" s="159" t="e">
        <f t="shared" si="164"/>
        <v>#NUM!</v>
      </c>
      <c r="AS74" s="159" t="e">
        <f t="shared" si="165"/>
        <v>#NUM!</v>
      </c>
      <c r="AT74" s="159" t="e">
        <f t="shared" si="166"/>
        <v>#NUM!</v>
      </c>
      <c r="AU74" s="159" t="e">
        <f t="shared" si="167"/>
        <v>#NUM!</v>
      </c>
      <c r="AV74" s="159" t="e">
        <f t="shared" si="168"/>
        <v>#NUM!</v>
      </c>
      <c r="AW74" s="159" t="e">
        <f t="shared" si="169"/>
        <v>#NUM!</v>
      </c>
      <c r="AX74" s="159" t="e">
        <f t="shared" si="170"/>
        <v>#NUM!</v>
      </c>
      <c r="AY74" s="159" t="e">
        <f t="shared" si="171"/>
        <v>#NUM!</v>
      </c>
      <c r="AZ74" s="159" t="e">
        <f t="shared" si="172"/>
        <v>#NUM!</v>
      </c>
      <c r="BA74" s="159" t="e">
        <f t="shared" si="173"/>
        <v>#NUM!</v>
      </c>
      <c r="BB74" s="159" t="e">
        <f t="shared" si="174"/>
        <v>#NUM!</v>
      </c>
      <c r="BC74" s="159" t="e">
        <f t="shared" si="175"/>
        <v>#NUM!</v>
      </c>
      <c r="BD74" s="159" t="e">
        <f t="shared" si="176"/>
        <v>#NUM!</v>
      </c>
      <c r="BE74" s="159" t="e">
        <f t="shared" si="177"/>
        <v>#NUM!</v>
      </c>
      <c r="BF74" s="159" t="e">
        <f t="shared" si="178"/>
        <v>#NUM!</v>
      </c>
      <c r="BG74" s="159" t="e">
        <f t="shared" si="179"/>
        <v>#NUM!</v>
      </c>
      <c r="BH74" s="159" t="e">
        <f t="shared" si="180"/>
        <v>#NUM!</v>
      </c>
      <c r="BI74" s="159" t="e">
        <f t="shared" si="181"/>
        <v>#NUM!</v>
      </c>
      <c r="BJ74" s="159" t="e">
        <f t="shared" si="182"/>
        <v>#NUM!</v>
      </c>
      <c r="BK74" s="159" t="e">
        <f t="shared" si="183"/>
        <v>#NUM!</v>
      </c>
      <c r="BL74" s="159" t="e">
        <f t="shared" si="184"/>
        <v>#NUM!</v>
      </c>
      <c r="BM74" s="159" t="e">
        <f t="shared" si="185"/>
        <v>#NUM!</v>
      </c>
      <c r="BN74" s="159" t="e">
        <f t="shared" si="186"/>
        <v>#NUM!</v>
      </c>
      <c r="BO74" s="159" t="e">
        <f t="shared" si="187"/>
        <v>#NUM!</v>
      </c>
      <c r="BP74" s="159" t="e">
        <f t="shared" si="188"/>
        <v>#NUM!</v>
      </c>
      <c r="BQ74" s="159" t="e">
        <f t="shared" si="189"/>
        <v>#NUM!</v>
      </c>
      <c r="BR74" s="159" t="e">
        <f t="shared" si="190"/>
        <v>#NUM!</v>
      </c>
      <c r="BS74" s="159" t="e">
        <f t="shared" si="191"/>
        <v>#NUM!</v>
      </c>
      <c r="BT74" s="159" t="e">
        <f t="shared" si="192"/>
        <v>#NUM!</v>
      </c>
      <c r="BU74" s="159" t="e">
        <f t="shared" si="193"/>
        <v>#NUM!</v>
      </c>
      <c r="BV74" s="159" t="e">
        <f t="shared" si="194"/>
        <v>#NUM!</v>
      </c>
      <c r="BW74" s="159"/>
      <c r="BX74" s="159"/>
      <c r="BY74" s="159"/>
      <c r="BZ74" s="159"/>
      <c r="CA74" s="159"/>
      <c r="CB74" s="159" t="e">
        <f t="shared" si="195"/>
        <v>#NUM!</v>
      </c>
      <c r="CC74" s="159" t="e">
        <f t="shared" si="196"/>
        <v>#NUM!</v>
      </c>
      <c r="CD74" s="159" t="e">
        <f t="shared" si="197"/>
        <v>#NUM!</v>
      </c>
      <c r="CE74" s="159" t="e">
        <f t="shared" si="198"/>
        <v>#NUM!</v>
      </c>
      <c r="CF74" s="159" t="e">
        <f t="shared" si="199"/>
        <v>#NUM!</v>
      </c>
      <c r="CG74" s="159" t="e">
        <f t="shared" si="200"/>
        <v>#NUM!</v>
      </c>
      <c r="CH74" s="159" t="e">
        <f t="shared" si="201"/>
        <v>#NUM!</v>
      </c>
      <c r="CI74" s="159" t="e">
        <f t="shared" si="202"/>
        <v>#NUM!</v>
      </c>
    </row>
    <row r="75" spans="6:87" x14ac:dyDescent="0.25">
      <c r="F75" s="317">
        <v>42857</v>
      </c>
      <c r="G75" s="530"/>
      <c r="H75" s="531"/>
      <c r="I75" s="371"/>
      <c r="J75" s="163"/>
      <c r="K75" s="163"/>
      <c r="L75" s="163"/>
      <c r="M75" s="163"/>
      <c r="N75" s="163"/>
      <c r="O75" s="163"/>
      <c r="P75" s="163"/>
      <c r="Q75" s="163">
        <f t="shared" si="137"/>
        <v>0.375</v>
      </c>
      <c r="R75" s="163" t="e">
        <f t="shared" si="138"/>
        <v>#NUM!</v>
      </c>
      <c r="S75" s="163">
        <f t="shared" si="139"/>
        <v>0</v>
      </c>
      <c r="T75" s="163">
        <f t="shared" si="140"/>
        <v>0</v>
      </c>
      <c r="U75" s="163" t="e">
        <f t="shared" ca="1" si="141"/>
        <v>#NUM!</v>
      </c>
      <c r="V75" s="159" t="e">
        <f t="shared" si="142"/>
        <v>#NUM!</v>
      </c>
      <c r="W75" s="159" t="e">
        <f t="shared" si="143"/>
        <v>#NUM!</v>
      </c>
      <c r="X75" s="159" t="e">
        <f t="shared" si="144"/>
        <v>#NUM!</v>
      </c>
      <c r="Y75" s="159" t="e">
        <f t="shared" si="145"/>
        <v>#NUM!</v>
      </c>
      <c r="Z75" s="159" t="e">
        <f t="shared" si="146"/>
        <v>#NUM!</v>
      </c>
      <c r="AA75" s="159" t="e">
        <f t="shared" si="147"/>
        <v>#NUM!</v>
      </c>
      <c r="AB75" s="159" t="e">
        <f t="shared" si="148"/>
        <v>#NUM!</v>
      </c>
      <c r="AC75" s="159" t="e">
        <f t="shared" si="149"/>
        <v>#NUM!</v>
      </c>
      <c r="AD75" s="159" t="e">
        <f t="shared" si="150"/>
        <v>#NUM!</v>
      </c>
      <c r="AE75" s="159" t="e">
        <f t="shared" si="151"/>
        <v>#NUM!</v>
      </c>
      <c r="AF75" s="159" t="e">
        <f t="shared" si="152"/>
        <v>#NUM!</v>
      </c>
      <c r="AG75" s="387" t="e">
        <f t="shared" si="153"/>
        <v>#NUM!</v>
      </c>
      <c r="AH75" s="159" t="e">
        <f t="shared" si="154"/>
        <v>#NUM!</v>
      </c>
      <c r="AI75" s="159" t="e">
        <f t="shared" si="155"/>
        <v>#NUM!</v>
      </c>
      <c r="AJ75" s="387" t="e">
        <f t="shared" si="156"/>
        <v>#NUM!</v>
      </c>
      <c r="AK75" s="159" t="e">
        <f t="shared" si="157"/>
        <v>#NUM!</v>
      </c>
      <c r="AL75" s="159" t="e">
        <f t="shared" si="158"/>
        <v>#NUM!</v>
      </c>
      <c r="AM75" s="159" t="e">
        <f t="shared" si="159"/>
        <v>#NUM!</v>
      </c>
      <c r="AN75" s="159" t="e">
        <f t="shared" si="160"/>
        <v>#NUM!</v>
      </c>
      <c r="AO75" s="159" t="e">
        <f t="shared" si="161"/>
        <v>#NUM!</v>
      </c>
      <c r="AP75" s="159" t="e">
        <f t="shared" si="162"/>
        <v>#NUM!</v>
      </c>
      <c r="AQ75" s="159" t="e">
        <f t="shared" si="163"/>
        <v>#NUM!</v>
      </c>
      <c r="AR75" s="159" t="e">
        <f t="shared" si="164"/>
        <v>#NUM!</v>
      </c>
      <c r="AS75" s="159" t="e">
        <f t="shared" si="165"/>
        <v>#NUM!</v>
      </c>
      <c r="AT75" s="159" t="e">
        <f t="shared" si="166"/>
        <v>#NUM!</v>
      </c>
      <c r="AU75" s="159" t="e">
        <f t="shared" si="167"/>
        <v>#NUM!</v>
      </c>
      <c r="AV75" s="159" t="e">
        <f t="shared" si="168"/>
        <v>#NUM!</v>
      </c>
      <c r="AW75" s="159" t="e">
        <f t="shared" si="169"/>
        <v>#NUM!</v>
      </c>
      <c r="AX75" s="159" t="e">
        <f t="shared" si="170"/>
        <v>#NUM!</v>
      </c>
      <c r="AY75" s="159" t="e">
        <f t="shared" si="171"/>
        <v>#NUM!</v>
      </c>
      <c r="AZ75" s="159" t="e">
        <f t="shared" si="172"/>
        <v>#NUM!</v>
      </c>
      <c r="BA75" s="159" t="e">
        <f t="shared" si="173"/>
        <v>#NUM!</v>
      </c>
      <c r="BB75" s="159" t="e">
        <f t="shared" si="174"/>
        <v>#NUM!</v>
      </c>
      <c r="BC75" s="159" t="e">
        <f t="shared" si="175"/>
        <v>#NUM!</v>
      </c>
      <c r="BD75" s="159" t="e">
        <f t="shared" si="176"/>
        <v>#NUM!</v>
      </c>
      <c r="BE75" s="159" t="e">
        <f t="shared" si="177"/>
        <v>#NUM!</v>
      </c>
      <c r="BF75" s="159" t="e">
        <f t="shared" si="178"/>
        <v>#NUM!</v>
      </c>
      <c r="BG75" s="159" t="e">
        <f t="shared" si="179"/>
        <v>#NUM!</v>
      </c>
      <c r="BH75" s="159" t="e">
        <f t="shared" si="180"/>
        <v>#NUM!</v>
      </c>
      <c r="BI75" s="159" t="e">
        <f t="shared" si="181"/>
        <v>#NUM!</v>
      </c>
      <c r="BJ75" s="159" t="e">
        <f t="shared" si="182"/>
        <v>#NUM!</v>
      </c>
      <c r="BK75" s="159" t="e">
        <f t="shared" si="183"/>
        <v>#NUM!</v>
      </c>
      <c r="BL75" s="159" t="e">
        <f t="shared" si="184"/>
        <v>#NUM!</v>
      </c>
      <c r="BM75" s="159" t="e">
        <f t="shared" si="185"/>
        <v>#NUM!</v>
      </c>
      <c r="BN75" s="159" t="e">
        <f t="shared" si="186"/>
        <v>#NUM!</v>
      </c>
      <c r="BO75" s="159" t="e">
        <f t="shared" si="187"/>
        <v>#NUM!</v>
      </c>
      <c r="BP75" s="159" t="e">
        <f t="shared" si="188"/>
        <v>#NUM!</v>
      </c>
      <c r="BQ75" s="159" t="e">
        <f t="shared" si="189"/>
        <v>#NUM!</v>
      </c>
      <c r="BR75" s="159" t="e">
        <f t="shared" si="190"/>
        <v>#NUM!</v>
      </c>
      <c r="BS75" s="159" t="e">
        <f t="shared" si="191"/>
        <v>#NUM!</v>
      </c>
      <c r="BT75" s="159" t="e">
        <f t="shared" si="192"/>
        <v>#NUM!</v>
      </c>
      <c r="BU75" s="159" t="e">
        <f t="shared" si="193"/>
        <v>#NUM!</v>
      </c>
      <c r="BV75" s="159" t="e">
        <f t="shared" si="194"/>
        <v>#NUM!</v>
      </c>
      <c r="BW75" s="159"/>
      <c r="BX75" s="159"/>
      <c r="BY75" s="159"/>
      <c r="BZ75" s="159"/>
      <c r="CA75" s="159"/>
      <c r="CB75" s="159" t="e">
        <f t="shared" si="195"/>
        <v>#NUM!</v>
      </c>
      <c r="CC75" s="159" t="e">
        <f t="shared" si="196"/>
        <v>#NUM!</v>
      </c>
      <c r="CD75" s="159" t="e">
        <f t="shared" si="197"/>
        <v>#NUM!</v>
      </c>
      <c r="CE75" s="159" t="e">
        <f t="shared" si="198"/>
        <v>#NUM!</v>
      </c>
      <c r="CF75" s="159" t="e">
        <f t="shared" si="199"/>
        <v>#NUM!</v>
      </c>
      <c r="CG75" s="159" t="e">
        <f t="shared" si="200"/>
        <v>#NUM!</v>
      </c>
      <c r="CH75" s="159" t="e">
        <f t="shared" si="201"/>
        <v>#NUM!</v>
      </c>
      <c r="CI75" s="159" t="e">
        <f t="shared" si="202"/>
        <v>#NUM!</v>
      </c>
    </row>
    <row r="76" spans="6:87" x14ac:dyDescent="0.25">
      <c r="F76" s="317">
        <v>42857</v>
      </c>
      <c r="G76" s="530"/>
      <c r="H76" s="531"/>
      <c r="I76" s="371"/>
      <c r="J76" s="163"/>
      <c r="K76" s="163"/>
      <c r="L76" s="163"/>
      <c r="M76" s="163"/>
      <c r="N76" s="163"/>
      <c r="O76" s="163"/>
      <c r="P76" s="163"/>
      <c r="Q76" s="163">
        <f t="shared" si="137"/>
        <v>0.375</v>
      </c>
      <c r="R76" s="163" t="e">
        <f t="shared" si="138"/>
        <v>#NUM!</v>
      </c>
      <c r="S76" s="163">
        <f t="shared" si="139"/>
        <v>0</v>
      </c>
      <c r="T76" s="163">
        <f t="shared" si="140"/>
        <v>0</v>
      </c>
      <c r="U76" s="163" t="e">
        <f t="shared" ca="1" si="141"/>
        <v>#NUM!</v>
      </c>
      <c r="V76" s="159" t="e">
        <f t="shared" si="142"/>
        <v>#NUM!</v>
      </c>
      <c r="W76" s="159" t="e">
        <f t="shared" si="143"/>
        <v>#NUM!</v>
      </c>
      <c r="X76" s="159" t="e">
        <f t="shared" si="144"/>
        <v>#NUM!</v>
      </c>
      <c r="Y76" s="159" t="e">
        <f t="shared" si="145"/>
        <v>#NUM!</v>
      </c>
      <c r="Z76" s="159" t="e">
        <f t="shared" si="146"/>
        <v>#NUM!</v>
      </c>
      <c r="AA76" s="159" t="e">
        <f t="shared" si="147"/>
        <v>#NUM!</v>
      </c>
      <c r="AB76" s="159" t="e">
        <f t="shared" si="148"/>
        <v>#NUM!</v>
      </c>
      <c r="AC76" s="159" t="e">
        <f t="shared" si="149"/>
        <v>#NUM!</v>
      </c>
      <c r="AD76" s="159" t="e">
        <f t="shared" si="150"/>
        <v>#NUM!</v>
      </c>
      <c r="AE76" s="159" t="e">
        <f t="shared" si="151"/>
        <v>#NUM!</v>
      </c>
      <c r="AF76" s="159" t="e">
        <f t="shared" si="152"/>
        <v>#NUM!</v>
      </c>
      <c r="AG76" s="387" t="e">
        <f t="shared" si="153"/>
        <v>#NUM!</v>
      </c>
      <c r="AH76" s="159" t="e">
        <f t="shared" si="154"/>
        <v>#NUM!</v>
      </c>
      <c r="AI76" s="159" t="e">
        <f t="shared" si="155"/>
        <v>#NUM!</v>
      </c>
      <c r="AJ76" s="387" t="e">
        <f t="shared" si="156"/>
        <v>#NUM!</v>
      </c>
      <c r="AK76" s="159" t="e">
        <f t="shared" si="157"/>
        <v>#NUM!</v>
      </c>
      <c r="AL76" s="159" t="e">
        <f t="shared" si="158"/>
        <v>#NUM!</v>
      </c>
      <c r="AM76" s="159" t="e">
        <f t="shared" si="159"/>
        <v>#NUM!</v>
      </c>
      <c r="AN76" s="159" t="e">
        <f t="shared" si="160"/>
        <v>#NUM!</v>
      </c>
      <c r="AO76" s="159" t="e">
        <f t="shared" si="161"/>
        <v>#NUM!</v>
      </c>
      <c r="AP76" s="159" t="e">
        <f t="shared" si="162"/>
        <v>#NUM!</v>
      </c>
      <c r="AQ76" s="159" t="e">
        <f t="shared" si="163"/>
        <v>#NUM!</v>
      </c>
      <c r="AR76" s="159" t="e">
        <f t="shared" si="164"/>
        <v>#NUM!</v>
      </c>
      <c r="AS76" s="159" t="e">
        <f t="shared" si="165"/>
        <v>#NUM!</v>
      </c>
      <c r="AT76" s="159" t="e">
        <f t="shared" si="166"/>
        <v>#NUM!</v>
      </c>
      <c r="AU76" s="159" t="e">
        <f t="shared" si="167"/>
        <v>#NUM!</v>
      </c>
      <c r="AV76" s="159" t="e">
        <f t="shared" si="168"/>
        <v>#NUM!</v>
      </c>
      <c r="AW76" s="159" t="e">
        <f t="shared" si="169"/>
        <v>#NUM!</v>
      </c>
      <c r="AX76" s="159" t="e">
        <f t="shared" si="170"/>
        <v>#NUM!</v>
      </c>
      <c r="AY76" s="159" t="e">
        <f t="shared" si="171"/>
        <v>#NUM!</v>
      </c>
      <c r="AZ76" s="159" t="e">
        <f t="shared" si="172"/>
        <v>#NUM!</v>
      </c>
      <c r="BA76" s="159" t="e">
        <f t="shared" si="173"/>
        <v>#NUM!</v>
      </c>
      <c r="BB76" s="159" t="e">
        <f t="shared" si="174"/>
        <v>#NUM!</v>
      </c>
      <c r="BC76" s="159" t="e">
        <f t="shared" si="175"/>
        <v>#NUM!</v>
      </c>
      <c r="BD76" s="159" t="e">
        <f t="shared" si="176"/>
        <v>#NUM!</v>
      </c>
      <c r="BE76" s="159" t="e">
        <f t="shared" si="177"/>
        <v>#NUM!</v>
      </c>
      <c r="BF76" s="159" t="e">
        <f t="shared" si="178"/>
        <v>#NUM!</v>
      </c>
      <c r="BG76" s="159" t="e">
        <f t="shared" si="179"/>
        <v>#NUM!</v>
      </c>
      <c r="BH76" s="159" t="e">
        <f t="shared" si="180"/>
        <v>#NUM!</v>
      </c>
      <c r="BI76" s="159" t="e">
        <f t="shared" si="181"/>
        <v>#NUM!</v>
      </c>
      <c r="BJ76" s="159" t="e">
        <f t="shared" si="182"/>
        <v>#NUM!</v>
      </c>
      <c r="BK76" s="159" t="e">
        <f t="shared" si="183"/>
        <v>#NUM!</v>
      </c>
      <c r="BL76" s="159" t="e">
        <f t="shared" si="184"/>
        <v>#NUM!</v>
      </c>
      <c r="BM76" s="159" t="e">
        <f t="shared" si="185"/>
        <v>#NUM!</v>
      </c>
      <c r="BN76" s="159" t="e">
        <f t="shared" si="186"/>
        <v>#NUM!</v>
      </c>
      <c r="BO76" s="159" t="e">
        <f t="shared" si="187"/>
        <v>#NUM!</v>
      </c>
      <c r="BP76" s="159" t="e">
        <f t="shared" si="188"/>
        <v>#NUM!</v>
      </c>
      <c r="BQ76" s="159" t="e">
        <f t="shared" si="189"/>
        <v>#NUM!</v>
      </c>
      <c r="BR76" s="159" t="e">
        <f t="shared" si="190"/>
        <v>#NUM!</v>
      </c>
      <c r="BS76" s="159" t="e">
        <f t="shared" si="191"/>
        <v>#NUM!</v>
      </c>
      <c r="BT76" s="159" t="e">
        <f t="shared" si="192"/>
        <v>#NUM!</v>
      </c>
      <c r="BU76" s="159" t="e">
        <f t="shared" si="193"/>
        <v>#NUM!</v>
      </c>
      <c r="BV76" s="159" t="e">
        <f t="shared" si="194"/>
        <v>#NUM!</v>
      </c>
      <c r="BW76" s="159"/>
      <c r="BX76" s="159"/>
      <c r="BY76" s="159"/>
      <c r="BZ76" s="159"/>
      <c r="CA76" s="159"/>
      <c r="CB76" s="159" t="e">
        <f t="shared" si="195"/>
        <v>#NUM!</v>
      </c>
      <c r="CC76" s="159" t="e">
        <f t="shared" si="196"/>
        <v>#NUM!</v>
      </c>
      <c r="CD76" s="159" t="e">
        <f t="shared" si="197"/>
        <v>#NUM!</v>
      </c>
      <c r="CE76" s="159" t="e">
        <f t="shared" si="198"/>
        <v>#NUM!</v>
      </c>
      <c r="CF76" s="159" t="e">
        <f t="shared" si="199"/>
        <v>#NUM!</v>
      </c>
      <c r="CG76" s="159" t="e">
        <f t="shared" si="200"/>
        <v>#NUM!</v>
      </c>
      <c r="CH76" s="159" t="e">
        <f t="shared" si="201"/>
        <v>#NUM!</v>
      </c>
      <c r="CI76" s="159" t="e">
        <f t="shared" si="202"/>
        <v>#NUM!</v>
      </c>
    </row>
    <row r="77" spans="6:87" x14ac:dyDescent="0.25">
      <c r="F77" s="317">
        <v>42857</v>
      </c>
      <c r="G77" s="530"/>
      <c r="H77" s="531"/>
      <c r="I77" s="371"/>
      <c r="J77" s="163"/>
      <c r="K77" s="163"/>
      <c r="L77" s="163"/>
      <c r="M77" s="163"/>
      <c r="N77" s="163"/>
      <c r="O77" s="163"/>
      <c r="P77" s="163"/>
      <c r="Q77" s="163">
        <f t="shared" si="137"/>
        <v>0.375</v>
      </c>
      <c r="R77" s="163" t="e">
        <f t="shared" si="138"/>
        <v>#NUM!</v>
      </c>
      <c r="S77" s="163">
        <f t="shared" si="139"/>
        <v>0</v>
      </c>
      <c r="T77" s="163">
        <f t="shared" si="140"/>
        <v>0</v>
      </c>
      <c r="U77" s="163" t="e">
        <f t="shared" ca="1" si="141"/>
        <v>#NUM!</v>
      </c>
      <c r="V77" s="159" t="e">
        <f t="shared" si="142"/>
        <v>#NUM!</v>
      </c>
      <c r="W77" s="159" t="e">
        <f t="shared" si="143"/>
        <v>#NUM!</v>
      </c>
      <c r="X77" s="159" t="e">
        <f t="shared" si="144"/>
        <v>#NUM!</v>
      </c>
      <c r="Y77" s="159" t="e">
        <f t="shared" si="145"/>
        <v>#NUM!</v>
      </c>
      <c r="Z77" s="159" t="e">
        <f t="shared" si="146"/>
        <v>#NUM!</v>
      </c>
      <c r="AA77" s="159" t="e">
        <f t="shared" si="147"/>
        <v>#NUM!</v>
      </c>
      <c r="AB77" s="159" t="e">
        <f t="shared" si="148"/>
        <v>#NUM!</v>
      </c>
      <c r="AC77" s="159" t="e">
        <f t="shared" si="149"/>
        <v>#NUM!</v>
      </c>
      <c r="AD77" s="159" t="e">
        <f t="shared" si="150"/>
        <v>#NUM!</v>
      </c>
      <c r="AE77" s="159" t="e">
        <f t="shared" si="151"/>
        <v>#NUM!</v>
      </c>
      <c r="AF77" s="159" t="e">
        <f t="shared" si="152"/>
        <v>#NUM!</v>
      </c>
      <c r="AG77" s="387" t="e">
        <f t="shared" si="153"/>
        <v>#NUM!</v>
      </c>
      <c r="AH77" s="159" t="e">
        <f t="shared" si="154"/>
        <v>#NUM!</v>
      </c>
      <c r="AI77" s="159" t="e">
        <f t="shared" si="155"/>
        <v>#NUM!</v>
      </c>
      <c r="AJ77" s="387" t="e">
        <f t="shared" si="156"/>
        <v>#NUM!</v>
      </c>
      <c r="AK77" s="159" t="e">
        <f t="shared" si="157"/>
        <v>#NUM!</v>
      </c>
      <c r="AL77" s="159" t="e">
        <f t="shared" si="158"/>
        <v>#NUM!</v>
      </c>
      <c r="AM77" s="159" t="e">
        <f t="shared" si="159"/>
        <v>#NUM!</v>
      </c>
      <c r="AN77" s="159" t="e">
        <f t="shared" si="160"/>
        <v>#NUM!</v>
      </c>
      <c r="AO77" s="159" t="e">
        <f t="shared" si="161"/>
        <v>#NUM!</v>
      </c>
      <c r="AP77" s="159" t="e">
        <f t="shared" si="162"/>
        <v>#NUM!</v>
      </c>
      <c r="AQ77" s="159" t="e">
        <f t="shared" si="163"/>
        <v>#NUM!</v>
      </c>
      <c r="AR77" s="159" t="e">
        <f t="shared" si="164"/>
        <v>#NUM!</v>
      </c>
      <c r="AS77" s="159" t="e">
        <f t="shared" si="165"/>
        <v>#NUM!</v>
      </c>
      <c r="AT77" s="159" t="e">
        <f t="shared" si="166"/>
        <v>#NUM!</v>
      </c>
      <c r="AU77" s="159" t="e">
        <f t="shared" si="167"/>
        <v>#NUM!</v>
      </c>
      <c r="AV77" s="159" t="e">
        <f t="shared" si="168"/>
        <v>#NUM!</v>
      </c>
      <c r="AW77" s="159" t="e">
        <f t="shared" si="169"/>
        <v>#NUM!</v>
      </c>
      <c r="AX77" s="159" t="e">
        <f t="shared" si="170"/>
        <v>#NUM!</v>
      </c>
      <c r="AY77" s="159" t="e">
        <f t="shared" si="171"/>
        <v>#NUM!</v>
      </c>
      <c r="AZ77" s="159" t="e">
        <f t="shared" si="172"/>
        <v>#NUM!</v>
      </c>
      <c r="BA77" s="159" t="e">
        <f t="shared" si="173"/>
        <v>#NUM!</v>
      </c>
      <c r="BB77" s="159" t="e">
        <f t="shared" si="174"/>
        <v>#NUM!</v>
      </c>
      <c r="BC77" s="159" t="e">
        <f t="shared" si="175"/>
        <v>#NUM!</v>
      </c>
      <c r="BD77" s="159" t="e">
        <f t="shared" si="176"/>
        <v>#NUM!</v>
      </c>
      <c r="BE77" s="159" t="e">
        <f t="shared" si="177"/>
        <v>#NUM!</v>
      </c>
      <c r="BF77" s="159" t="e">
        <f t="shared" si="178"/>
        <v>#NUM!</v>
      </c>
      <c r="BG77" s="159" t="e">
        <f t="shared" si="179"/>
        <v>#NUM!</v>
      </c>
      <c r="BH77" s="159" t="e">
        <f t="shared" si="180"/>
        <v>#NUM!</v>
      </c>
      <c r="BI77" s="159" t="e">
        <f t="shared" si="181"/>
        <v>#NUM!</v>
      </c>
      <c r="BJ77" s="159" t="e">
        <f t="shared" si="182"/>
        <v>#NUM!</v>
      </c>
      <c r="BK77" s="159" t="e">
        <f t="shared" si="183"/>
        <v>#NUM!</v>
      </c>
      <c r="BL77" s="159" t="e">
        <f t="shared" si="184"/>
        <v>#NUM!</v>
      </c>
      <c r="BM77" s="159" t="e">
        <f t="shared" si="185"/>
        <v>#NUM!</v>
      </c>
      <c r="BN77" s="159" t="e">
        <f t="shared" si="186"/>
        <v>#NUM!</v>
      </c>
      <c r="BO77" s="159" t="e">
        <f t="shared" si="187"/>
        <v>#NUM!</v>
      </c>
      <c r="BP77" s="159" t="e">
        <f t="shared" si="188"/>
        <v>#NUM!</v>
      </c>
      <c r="BQ77" s="159" t="e">
        <f t="shared" si="189"/>
        <v>#NUM!</v>
      </c>
      <c r="BR77" s="159" t="e">
        <f t="shared" si="190"/>
        <v>#NUM!</v>
      </c>
      <c r="BS77" s="159" t="e">
        <f t="shared" si="191"/>
        <v>#NUM!</v>
      </c>
      <c r="BT77" s="159" t="e">
        <f t="shared" si="192"/>
        <v>#NUM!</v>
      </c>
      <c r="BU77" s="159" t="e">
        <f t="shared" si="193"/>
        <v>#NUM!</v>
      </c>
      <c r="BV77" s="159" t="e">
        <f t="shared" si="194"/>
        <v>#NUM!</v>
      </c>
      <c r="BW77" s="159"/>
      <c r="BX77" s="159"/>
      <c r="BY77" s="159"/>
      <c r="BZ77" s="159"/>
      <c r="CA77" s="159"/>
      <c r="CB77" s="159" t="e">
        <f t="shared" si="195"/>
        <v>#NUM!</v>
      </c>
      <c r="CC77" s="159" t="e">
        <f t="shared" si="196"/>
        <v>#NUM!</v>
      </c>
      <c r="CD77" s="159" t="e">
        <f t="shared" si="197"/>
        <v>#NUM!</v>
      </c>
      <c r="CE77" s="159" t="e">
        <f t="shared" si="198"/>
        <v>#NUM!</v>
      </c>
      <c r="CF77" s="159" t="e">
        <f t="shared" si="199"/>
        <v>#NUM!</v>
      </c>
      <c r="CG77" s="159" t="e">
        <f t="shared" si="200"/>
        <v>#NUM!</v>
      </c>
      <c r="CH77" s="159" t="e">
        <f t="shared" si="201"/>
        <v>#NUM!</v>
      </c>
      <c r="CI77" s="159" t="e">
        <f t="shared" si="202"/>
        <v>#NUM!</v>
      </c>
    </row>
    <row r="78" spans="6:87" x14ac:dyDescent="0.25">
      <c r="F78" s="317">
        <v>42857</v>
      </c>
      <c r="G78" s="530"/>
      <c r="H78" s="531"/>
      <c r="I78" s="371"/>
      <c r="J78" s="163"/>
      <c r="K78" s="163"/>
      <c r="L78" s="163"/>
      <c r="M78" s="163"/>
      <c r="N78" s="163"/>
      <c r="O78" s="163"/>
      <c r="P78" s="163"/>
      <c r="Q78" s="163">
        <f t="shared" si="137"/>
        <v>0.375</v>
      </c>
      <c r="R78" s="163" t="e">
        <f t="shared" si="138"/>
        <v>#NUM!</v>
      </c>
      <c r="S78" s="163">
        <f t="shared" si="139"/>
        <v>0</v>
      </c>
      <c r="T78" s="163">
        <f t="shared" si="140"/>
        <v>0</v>
      </c>
      <c r="U78" s="163" t="e">
        <f t="shared" ca="1" si="141"/>
        <v>#NUM!</v>
      </c>
      <c r="V78" s="159" t="e">
        <f t="shared" si="142"/>
        <v>#NUM!</v>
      </c>
      <c r="W78" s="159" t="e">
        <f t="shared" si="143"/>
        <v>#NUM!</v>
      </c>
      <c r="X78" s="159" t="e">
        <f t="shared" si="144"/>
        <v>#NUM!</v>
      </c>
      <c r="Y78" s="159" t="e">
        <f t="shared" si="145"/>
        <v>#NUM!</v>
      </c>
      <c r="Z78" s="159" t="e">
        <f t="shared" si="146"/>
        <v>#NUM!</v>
      </c>
      <c r="AA78" s="159" t="e">
        <f t="shared" si="147"/>
        <v>#NUM!</v>
      </c>
      <c r="AB78" s="159" t="e">
        <f t="shared" si="148"/>
        <v>#NUM!</v>
      </c>
      <c r="AC78" s="159" t="e">
        <f t="shared" si="149"/>
        <v>#NUM!</v>
      </c>
      <c r="AD78" s="159" t="e">
        <f t="shared" si="150"/>
        <v>#NUM!</v>
      </c>
      <c r="AE78" s="159" t="e">
        <f t="shared" si="151"/>
        <v>#NUM!</v>
      </c>
      <c r="AF78" s="159" t="e">
        <f t="shared" si="152"/>
        <v>#NUM!</v>
      </c>
      <c r="AG78" s="387" t="e">
        <f t="shared" si="153"/>
        <v>#NUM!</v>
      </c>
      <c r="AH78" s="159" t="e">
        <f t="shared" si="154"/>
        <v>#NUM!</v>
      </c>
      <c r="AI78" s="159" t="e">
        <f t="shared" si="155"/>
        <v>#NUM!</v>
      </c>
      <c r="AJ78" s="387" t="e">
        <f t="shared" si="156"/>
        <v>#NUM!</v>
      </c>
      <c r="AK78" s="159" t="e">
        <f t="shared" si="157"/>
        <v>#NUM!</v>
      </c>
      <c r="AL78" s="159" t="e">
        <f t="shared" si="158"/>
        <v>#NUM!</v>
      </c>
      <c r="AM78" s="159" t="e">
        <f t="shared" si="159"/>
        <v>#NUM!</v>
      </c>
      <c r="AN78" s="159" t="e">
        <f t="shared" si="160"/>
        <v>#NUM!</v>
      </c>
      <c r="AO78" s="159" t="e">
        <f t="shared" si="161"/>
        <v>#NUM!</v>
      </c>
      <c r="AP78" s="159" t="e">
        <f t="shared" si="162"/>
        <v>#NUM!</v>
      </c>
      <c r="AQ78" s="159" t="e">
        <f t="shared" si="163"/>
        <v>#NUM!</v>
      </c>
      <c r="AR78" s="159" t="e">
        <f t="shared" si="164"/>
        <v>#NUM!</v>
      </c>
      <c r="AS78" s="159" t="e">
        <f t="shared" si="165"/>
        <v>#NUM!</v>
      </c>
      <c r="AT78" s="159" t="e">
        <f t="shared" si="166"/>
        <v>#NUM!</v>
      </c>
      <c r="AU78" s="159" t="e">
        <f t="shared" si="167"/>
        <v>#NUM!</v>
      </c>
      <c r="AV78" s="159" t="e">
        <f t="shared" si="168"/>
        <v>#NUM!</v>
      </c>
      <c r="AW78" s="159" t="e">
        <f t="shared" si="169"/>
        <v>#NUM!</v>
      </c>
      <c r="AX78" s="159" t="e">
        <f t="shared" si="170"/>
        <v>#NUM!</v>
      </c>
      <c r="AY78" s="159" t="e">
        <f t="shared" si="171"/>
        <v>#NUM!</v>
      </c>
      <c r="AZ78" s="159" t="e">
        <f t="shared" si="172"/>
        <v>#NUM!</v>
      </c>
      <c r="BA78" s="159" t="e">
        <f t="shared" si="173"/>
        <v>#NUM!</v>
      </c>
      <c r="BB78" s="159" t="e">
        <f t="shared" si="174"/>
        <v>#NUM!</v>
      </c>
      <c r="BC78" s="159" t="e">
        <f t="shared" si="175"/>
        <v>#NUM!</v>
      </c>
      <c r="BD78" s="159" t="e">
        <f t="shared" si="176"/>
        <v>#NUM!</v>
      </c>
      <c r="BE78" s="159" t="e">
        <f t="shared" si="177"/>
        <v>#NUM!</v>
      </c>
      <c r="BF78" s="159" t="e">
        <f t="shared" si="178"/>
        <v>#NUM!</v>
      </c>
      <c r="BG78" s="159" t="e">
        <f t="shared" si="179"/>
        <v>#NUM!</v>
      </c>
      <c r="BH78" s="159" t="e">
        <f t="shared" si="180"/>
        <v>#NUM!</v>
      </c>
      <c r="BI78" s="159" t="e">
        <f t="shared" si="181"/>
        <v>#NUM!</v>
      </c>
      <c r="BJ78" s="159" t="e">
        <f t="shared" si="182"/>
        <v>#NUM!</v>
      </c>
      <c r="BK78" s="159" t="e">
        <f t="shared" si="183"/>
        <v>#NUM!</v>
      </c>
      <c r="BL78" s="159" t="e">
        <f t="shared" si="184"/>
        <v>#NUM!</v>
      </c>
      <c r="BM78" s="159" t="e">
        <f t="shared" si="185"/>
        <v>#NUM!</v>
      </c>
      <c r="BN78" s="159" t="e">
        <f t="shared" si="186"/>
        <v>#NUM!</v>
      </c>
      <c r="BO78" s="159" t="e">
        <f t="shared" si="187"/>
        <v>#NUM!</v>
      </c>
      <c r="BP78" s="159" t="e">
        <f t="shared" si="188"/>
        <v>#NUM!</v>
      </c>
      <c r="BQ78" s="159" t="e">
        <f t="shared" si="189"/>
        <v>#NUM!</v>
      </c>
      <c r="BR78" s="159" t="e">
        <f t="shared" si="190"/>
        <v>#NUM!</v>
      </c>
      <c r="BS78" s="159" t="e">
        <f t="shared" si="191"/>
        <v>#NUM!</v>
      </c>
      <c r="BT78" s="159" t="e">
        <f t="shared" si="192"/>
        <v>#NUM!</v>
      </c>
      <c r="BU78" s="159" t="e">
        <f t="shared" si="193"/>
        <v>#NUM!</v>
      </c>
      <c r="BV78" s="159" t="e">
        <f t="shared" si="194"/>
        <v>#NUM!</v>
      </c>
      <c r="BW78" s="159"/>
      <c r="BX78" s="159"/>
      <c r="BY78" s="159"/>
      <c r="BZ78" s="159"/>
      <c r="CA78" s="159"/>
      <c r="CB78" s="159" t="e">
        <f t="shared" si="195"/>
        <v>#NUM!</v>
      </c>
      <c r="CC78" s="159" t="e">
        <f t="shared" si="196"/>
        <v>#NUM!</v>
      </c>
      <c r="CD78" s="159" t="e">
        <f t="shared" si="197"/>
        <v>#NUM!</v>
      </c>
      <c r="CE78" s="159" t="e">
        <f t="shared" si="198"/>
        <v>#NUM!</v>
      </c>
      <c r="CF78" s="159" t="e">
        <f t="shared" si="199"/>
        <v>#NUM!</v>
      </c>
      <c r="CG78" s="159" t="e">
        <f t="shared" si="200"/>
        <v>#NUM!</v>
      </c>
      <c r="CH78" s="159" t="e">
        <f t="shared" si="201"/>
        <v>#NUM!</v>
      </c>
      <c r="CI78" s="159" t="e">
        <f t="shared" si="202"/>
        <v>#NUM!</v>
      </c>
    </row>
    <row r="79" spans="6:87" x14ac:dyDescent="0.25">
      <c r="F79" s="317">
        <v>42857</v>
      </c>
      <c r="G79" s="530"/>
      <c r="H79" s="531"/>
      <c r="I79" s="371"/>
      <c r="J79" s="163"/>
      <c r="K79" s="163"/>
      <c r="L79" s="163"/>
      <c r="M79" s="163"/>
      <c r="N79" s="163"/>
      <c r="O79" s="163"/>
      <c r="P79" s="163"/>
      <c r="Q79" s="163">
        <f t="shared" si="137"/>
        <v>0.375</v>
      </c>
      <c r="R79" s="163" t="e">
        <f t="shared" si="138"/>
        <v>#NUM!</v>
      </c>
      <c r="S79" s="163">
        <f t="shared" si="139"/>
        <v>0</v>
      </c>
      <c r="T79" s="163">
        <f t="shared" si="140"/>
        <v>0</v>
      </c>
      <c r="U79" s="163" t="e">
        <f t="shared" ca="1" si="141"/>
        <v>#NUM!</v>
      </c>
      <c r="V79" s="159" t="e">
        <f t="shared" si="142"/>
        <v>#NUM!</v>
      </c>
      <c r="W79" s="159" t="e">
        <f t="shared" si="143"/>
        <v>#NUM!</v>
      </c>
      <c r="X79" s="159" t="e">
        <f t="shared" si="144"/>
        <v>#NUM!</v>
      </c>
      <c r="Y79" s="159" t="e">
        <f t="shared" si="145"/>
        <v>#NUM!</v>
      </c>
      <c r="Z79" s="159" t="e">
        <f t="shared" si="146"/>
        <v>#NUM!</v>
      </c>
      <c r="AA79" s="159" t="e">
        <f t="shared" si="147"/>
        <v>#NUM!</v>
      </c>
      <c r="AB79" s="159" t="e">
        <f t="shared" si="148"/>
        <v>#NUM!</v>
      </c>
      <c r="AC79" s="159" t="e">
        <f t="shared" si="149"/>
        <v>#NUM!</v>
      </c>
      <c r="AD79" s="159" t="e">
        <f t="shared" si="150"/>
        <v>#NUM!</v>
      </c>
      <c r="AE79" s="159" t="e">
        <f t="shared" si="151"/>
        <v>#NUM!</v>
      </c>
      <c r="AF79" s="159" t="e">
        <f t="shared" si="152"/>
        <v>#NUM!</v>
      </c>
      <c r="AG79" s="387" t="e">
        <f t="shared" si="153"/>
        <v>#NUM!</v>
      </c>
      <c r="AH79" s="159" t="e">
        <f t="shared" si="154"/>
        <v>#NUM!</v>
      </c>
      <c r="AI79" s="159" t="e">
        <f t="shared" si="155"/>
        <v>#NUM!</v>
      </c>
      <c r="AJ79" s="387" t="e">
        <f t="shared" si="156"/>
        <v>#NUM!</v>
      </c>
      <c r="AK79" s="159" t="e">
        <f t="shared" si="157"/>
        <v>#NUM!</v>
      </c>
      <c r="AL79" s="159" t="e">
        <f t="shared" si="158"/>
        <v>#NUM!</v>
      </c>
      <c r="AM79" s="159" t="e">
        <f t="shared" si="159"/>
        <v>#NUM!</v>
      </c>
      <c r="AN79" s="159" t="e">
        <f t="shared" si="160"/>
        <v>#NUM!</v>
      </c>
      <c r="AO79" s="159" t="e">
        <f t="shared" si="161"/>
        <v>#NUM!</v>
      </c>
      <c r="AP79" s="159" t="e">
        <f t="shared" si="162"/>
        <v>#NUM!</v>
      </c>
      <c r="AQ79" s="159" t="e">
        <f t="shared" si="163"/>
        <v>#NUM!</v>
      </c>
      <c r="AR79" s="159" t="e">
        <f t="shared" si="164"/>
        <v>#NUM!</v>
      </c>
      <c r="AS79" s="159" t="e">
        <f t="shared" si="165"/>
        <v>#NUM!</v>
      </c>
      <c r="AT79" s="159" t="e">
        <f t="shared" si="166"/>
        <v>#NUM!</v>
      </c>
      <c r="AU79" s="159" t="e">
        <f t="shared" si="167"/>
        <v>#NUM!</v>
      </c>
      <c r="AV79" s="159" t="e">
        <f t="shared" si="168"/>
        <v>#NUM!</v>
      </c>
      <c r="AW79" s="159" t="e">
        <f t="shared" si="169"/>
        <v>#NUM!</v>
      </c>
      <c r="AX79" s="159" t="e">
        <f t="shared" si="170"/>
        <v>#NUM!</v>
      </c>
      <c r="AY79" s="159" t="e">
        <f t="shared" si="171"/>
        <v>#NUM!</v>
      </c>
      <c r="AZ79" s="159" t="e">
        <f t="shared" si="172"/>
        <v>#NUM!</v>
      </c>
      <c r="BA79" s="159" t="e">
        <f t="shared" si="173"/>
        <v>#NUM!</v>
      </c>
      <c r="BB79" s="159" t="e">
        <f t="shared" si="174"/>
        <v>#NUM!</v>
      </c>
      <c r="BC79" s="159" t="e">
        <f t="shared" si="175"/>
        <v>#NUM!</v>
      </c>
      <c r="BD79" s="159" t="e">
        <f t="shared" si="176"/>
        <v>#NUM!</v>
      </c>
      <c r="BE79" s="159" t="e">
        <f t="shared" si="177"/>
        <v>#NUM!</v>
      </c>
      <c r="BF79" s="159" t="e">
        <f t="shared" si="178"/>
        <v>#NUM!</v>
      </c>
      <c r="BG79" s="159" t="e">
        <f t="shared" si="179"/>
        <v>#NUM!</v>
      </c>
      <c r="BH79" s="159" t="e">
        <f t="shared" si="180"/>
        <v>#NUM!</v>
      </c>
      <c r="BI79" s="159" t="e">
        <f t="shared" si="181"/>
        <v>#NUM!</v>
      </c>
      <c r="BJ79" s="159" t="e">
        <f t="shared" si="182"/>
        <v>#NUM!</v>
      </c>
      <c r="BK79" s="159" t="e">
        <f t="shared" si="183"/>
        <v>#NUM!</v>
      </c>
      <c r="BL79" s="159" t="e">
        <f t="shared" si="184"/>
        <v>#NUM!</v>
      </c>
      <c r="BM79" s="159" t="e">
        <f t="shared" si="185"/>
        <v>#NUM!</v>
      </c>
      <c r="BN79" s="159" t="e">
        <f t="shared" si="186"/>
        <v>#NUM!</v>
      </c>
      <c r="BO79" s="159" t="e">
        <f t="shared" si="187"/>
        <v>#NUM!</v>
      </c>
      <c r="BP79" s="159" t="e">
        <f t="shared" si="188"/>
        <v>#NUM!</v>
      </c>
      <c r="BQ79" s="159" t="e">
        <f t="shared" si="189"/>
        <v>#NUM!</v>
      </c>
      <c r="BR79" s="159" t="e">
        <f t="shared" si="190"/>
        <v>#NUM!</v>
      </c>
      <c r="BS79" s="159" t="e">
        <f t="shared" si="191"/>
        <v>#NUM!</v>
      </c>
      <c r="BT79" s="159" t="e">
        <f t="shared" si="192"/>
        <v>#NUM!</v>
      </c>
      <c r="BU79" s="159" t="e">
        <f t="shared" si="193"/>
        <v>#NUM!</v>
      </c>
      <c r="BV79" s="159" t="e">
        <f t="shared" si="194"/>
        <v>#NUM!</v>
      </c>
      <c r="BW79" s="159"/>
      <c r="BX79" s="159"/>
      <c r="BY79" s="159"/>
      <c r="BZ79" s="159"/>
      <c r="CA79" s="159"/>
      <c r="CB79" s="159" t="e">
        <f t="shared" si="195"/>
        <v>#NUM!</v>
      </c>
      <c r="CC79" s="159" t="e">
        <f t="shared" si="196"/>
        <v>#NUM!</v>
      </c>
      <c r="CD79" s="159" t="e">
        <f t="shared" si="197"/>
        <v>#NUM!</v>
      </c>
      <c r="CE79" s="159" t="e">
        <f t="shared" si="198"/>
        <v>#NUM!</v>
      </c>
      <c r="CF79" s="159" t="e">
        <f t="shared" si="199"/>
        <v>#NUM!</v>
      </c>
      <c r="CG79" s="159" t="e">
        <f t="shared" si="200"/>
        <v>#NUM!</v>
      </c>
      <c r="CH79" s="159" t="e">
        <f t="shared" si="201"/>
        <v>#NUM!</v>
      </c>
      <c r="CI79" s="159" t="e">
        <f t="shared" si="202"/>
        <v>#NUM!</v>
      </c>
    </row>
    <row r="80" spans="6:87" x14ac:dyDescent="0.25">
      <c r="F80" s="317">
        <v>42857</v>
      </c>
      <c r="G80" s="530"/>
      <c r="H80" s="531"/>
      <c r="I80" s="371"/>
      <c r="J80" s="163"/>
      <c r="K80" s="163"/>
      <c r="L80" s="163"/>
      <c r="M80" s="163"/>
      <c r="N80" s="163"/>
      <c r="O80" s="163"/>
      <c r="P80" s="163"/>
      <c r="Q80" s="163">
        <f t="shared" si="137"/>
        <v>0.375</v>
      </c>
      <c r="R80" s="163" t="e">
        <f t="shared" si="138"/>
        <v>#NUM!</v>
      </c>
      <c r="S80" s="163">
        <f t="shared" si="139"/>
        <v>0</v>
      </c>
      <c r="T80" s="163">
        <f t="shared" si="140"/>
        <v>0</v>
      </c>
      <c r="U80" s="163" t="e">
        <f t="shared" ca="1" si="141"/>
        <v>#NUM!</v>
      </c>
      <c r="V80" s="159" t="e">
        <f t="shared" si="142"/>
        <v>#NUM!</v>
      </c>
      <c r="W80" s="159" t="e">
        <f t="shared" si="143"/>
        <v>#NUM!</v>
      </c>
      <c r="X80" s="159" t="e">
        <f t="shared" si="144"/>
        <v>#NUM!</v>
      </c>
      <c r="Y80" s="159" t="e">
        <f t="shared" si="145"/>
        <v>#NUM!</v>
      </c>
      <c r="Z80" s="159" t="e">
        <f t="shared" si="146"/>
        <v>#NUM!</v>
      </c>
      <c r="AA80" s="159" t="e">
        <f t="shared" si="147"/>
        <v>#NUM!</v>
      </c>
      <c r="AB80" s="159" t="e">
        <f t="shared" si="148"/>
        <v>#NUM!</v>
      </c>
      <c r="AC80" s="159" t="e">
        <f t="shared" si="149"/>
        <v>#NUM!</v>
      </c>
      <c r="AD80" s="159" t="e">
        <f t="shared" si="150"/>
        <v>#NUM!</v>
      </c>
      <c r="AE80" s="159" t="e">
        <f t="shared" si="151"/>
        <v>#NUM!</v>
      </c>
      <c r="AF80" s="159" t="e">
        <f t="shared" si="152"/>
        <v>#NUM!</v>
      </c>
      <c r="AG80" s="387" t="e">
        <f t="shared" si="153"/>
        <v>#NUM!</v>
      </c>
      <c r="AH80" s="159" t="e">
        <f t="shared" si="154"/>
        <v>#NUM!</v>
      </c>
      <c r="AI80" s="159" t="e">
        <f t="shared" si="155"/>
        <v>#NUM!</v>
      </c>
      <c r="AJ80" s="387" t="e">
        <f t="shared" si="156"/>
        <v>#NUM!</v>
      </c>
      <c r="AK80" s="159" t="e">
        <f t="shared" si="157"/>
        <v>#NUM!</v>
      </c>
      <c r="AL80" s="159" t="e">
        <f t="shared" si="158"/>
        <v>#NUM!</v>
      </c>
      <c r="AM80" s="159" t="e">
        <f t="shared" si="159"/>
        <v>#NUM!</v>
      </c>
      <c r="AN80" s="159" t="e">
        <f t="shared" si="160"/>
        <v>#NUM!</v>
      </c>
      <c r="AO80" s="159" t="e">
        <f t="shared" si="161"/>
        <v>#NUM!</v>
      </c>
      <c r="AP80" s="159" t="e">
        <f t="shared" si="162"/>
        <v>#NUM!</v>
      </c>
      <c r="AQ80" s="159" t="e">
        <f t="shared" si="163"/>
        <v>#NUM!</v>
      </c>
      <c r="AR80" s="159" t="e">
        <f t="shared" si="164"/>
        <v>#NUM!</v>
      </c>
      <c r="AS80" s="159" t="e">
        <f t="shared" si="165"/>
        <v>#NUM!</v>
      </c>
      <c r="AT80" s="159" t="e">
        <f t="shared" si="166"/>
        <v>#NUM!</v>
      </c>
      <c r="AU80" s="159" t="e">
        <f t="shared" si="167"/>
        <v>#NUM!</v>
      </c>
      <c r="AV80" s="159" t="e">
        <f t="shared" si="168"/>
        <v>#NUM!</v>
      </c>
      <c r="AW80" s="159" t="e">
        <f t="shared" si="169"/>
        <v>#NUM!</v>
      </c>
      <c r="AX80" s="159" t="e">
        <f t="shared" si="170"/>
        <v>#NUM!</v>
      </c>
      <c r="AY80" s="159" t="e">
        <f t="shared" si="171"/>
        <v>#NUM!</v>
      </c>
      <c r="AZ80" s="159" t="e">
        <f t="shared" si="172"/>
        <v>#NUM!</v>
      </c>
      <c r="BA80" s="159" t="e">
        <f t="shared" si="173"/>
        <v>#NUM!</v>
      </c>
      <c r="BB80" s="159" t="e">
        <f t="shared" si="174"/>
        <v>#NUM!</v>
      </c>
      <c r="BC80" s="159" t="e">
        <f t="shared" si="175"/>
        <v>#NUM!</v>
      </c>
      <c r="BD80" s="159" t="e">
        <f t="shared" si="176"/>
        <v>#NUM!</v>
      </c>
      <c r="BE80" s="159" t="e">
        <f t="shared" si="177"/>
        <v>#NUM!</v>
      </c>
      <c r="BF80" s="159" t="e">
        <f t="shared" si="178"/>
        <v>#NUM!</v>
      </c>
      <c r="BG80" s="159" t="e">
        <f t="shared" si="179"/>
        <v>#NUM!</v>
      </c>
      <c r="BH80" s="159" t="e">
        <f t="shared" si="180"/>
        <v>#NUM!</v>
      </c>
      <c r="BI80" s="159" t="e">
        <f t="shared" si="181"/>
        <v>#NUM!</v>
      </c>
      <c r="BJ80" s="159" t="e">
        <f t="shared" si="182"/>
        <v>#NUM!</v>
      </c>
      <c r="BK80" s="159" t="e">
        <f t="shared" si="183"/>
        <v>#NUM!</v>
      </c>
      <c r="BL80" s="159" t="e">
        <f t="shared" si="184"/>
        <v>#NUM!</v>
      </c>
      <c r="BM80" s="159" t="e">
        <f t="shared" si="185"/>
        <v>#NUM!</v>
      </c>
      <c r="BN80" s="159" t="e">
        <f t="shared" si="186"/>
        <v>#NUM!</v>
      </c>
      <c r="BO80" s="159" t="e">
        <f t="shared" si="187"/>
        <v>#NUM!</v>
      </c>
      <c r="BP80" s="159" t="e">
        <f t="shared" si="188"/>
        <v>#NUM!</v>
      </c>
      <c r="BQ80" s="159" t="e">
        <f t="shared" si="189"/>
        <v>#NUM!</v>
      </c>
      <c r="BR80" s="159" t="e">
        <f t="shared" si="190"/>
        <v>#NUM!</v>
      </c>
      <c r="BS80" s="159" t="e">
        <f t="shared" si="191"/>
        <v>#NUM!</v>
      </c>
      <c r="BT80" s="159" t="e">
        <f t="shared" si="192"/>
        <v>#NUM!</v>
      </c>
      <c r="BU80" s="159" t="e">
        <f t="shared" si="193"/>
        <v>#NUM!</v>
      </c>
      <c r="BV80" s="159" t="e">
        <f t="shared" si="194"/>
        <v>#NUM!</v>
      </c>
      <c r="BW80" s="159"/>
      <c r="BX80" s="159"/>
      <c r="BY80" s="159"/>
      <c r="BZ80" s="159"/>
      <c r="CA80" s="159"/>
      <c r="CB80" s="159" t="e">
        <f t="shared" si="195"/>
        <v>#NUM!</v>
      </c>
      <c r="CC80" s="159" t="e">
        <f t="shared" si="196"/>
        <v>#NUM!</v>
      </c>
      <c r="CD80" s="159" t="e">
        <f t="shared" si="197"/>
        <v>#NUM!</v>
      </c>
      <c r="CE80" s="159" t="e">
        <f t="shared" si="198"/>
        <v>#NUM!</v>
      </c>
      <c r="CF80" s="159" t="e">
        <f t="shared" si="199"/>
        <v>#NUM!</v>
      </c>
      <c r="CG80" s="159" t="e">
        <f t="shared" si="200"/>
        <v>#NUM!</v>
      </c>
      <c r="CH80" s="159" t="e">
        <f t="shared" si="201"/>
        <v>#NUM!</v>
      </c>
      <c r="CI80" s="159" t="e">
        <f t="shared" si="202"/>
        <v>#NUM!</v>
      </c>
    </row>
    <row r="81" spans="6:87" x14ac:dyDescent="0.25">
      <c r="F81" s="317">
        <v>42857</v>
      </c>
      <c r="G81" s="530"/>
      <c r="H81" s="531"/>
      <c r="I81" s="371"/>
      <c r="J81" s="163"/>
      <c r="K81" s="163"/>
      <c r="L81" s="163"/>
      <c r="M81" s="163"/>
      <c r="N81" s="163"/>
      <c r="O81" s="163"/>
      <c r="P81" s="163"/>
      <c r="Q81" s="163">
        <f t="shared" si="137"/>
        <v>0.375</v>
      </c>
      <c r="R81" s="163" t="e">
        <f t="shared" si="138"/>
        <v>#NUM!</v>
      </c>
      <c r="S81" s="163">
        <f t="shared" si="139"/>
        <v>0</v>
      </c>
      <c r="T81" s="163">
        <f t="shared" si="140"/>
        <v>0</v>
      </c>
      <c r="U81" s="163" t="e">
        <f t="shared" ca="1" si="141"/>
        <v>#NUM!</v>
      </c>
      <c r="V81" s="159" t="e">
        <f t="shared" si="142"/>
        <v>#NUM!</v>
      </c>
      <c r="W81" s="159" t="e">
        <f t="shared" si="143"/>
        <v>#NUM!</v>
      </c>
      <c r="X81" s="159" t="e">
        <f t="shared" si="144"/>
        <v>#NUM!</v>
      </c>
      <c r="Y81" s="159" t="e">
        <f t="shared" si="145"/>
        <v>#NUM!</v>
      </c>
      <c r="Z81" s="159" t="e">
        <f t="shared" si="146"/>
        <v>#NUM!</v>
      </c>
      <c r="AA81" s="159" t="e">
        <f t="shared" si="147"/>
        <v>#NUM!</v>
      </c>
      <c r="AB81" s="159" t="e">
        <f t="shared" si="148"/>
        <v>#NUM!</v>
      </c>
      <c r="AC81" s="159" t="e">
        <f t="shared" si="149"/>
        <v>#NUM!</v>
      </c>
      <c r="AD81" s="159" t="e">
        <f t="shared" si="150"/>
        <v>#NUM!</v>
      </c>
      <c r="AE81" s="159" t="e">
        <f t="shared" si="151"/>
        <v>#NUM!</v>
      </c>
      <c r="AF81" s="159" t="e">
        <f t="shared" si="152"/>
        <v>#NUM!</v>
      </c>
      <c r="AG81" s="387" t="e">
        <f t="shared" si="153"/>
        <v>#NUM!</v>
      </c>
      <c r="AH81" s="159" t="e">
        <f t="shared" si="154"/>
        <v>#NUM!</v>
      </c>
      <c r="AI81" s="159" t="e">
        <f t="shared" si="155"/>
        <v>#NUM!</v>
      </c>
      <c r="AJ81" s="387" t="e">
        <f t="shared" si="156"/>
        <v>#NUM!</v>
      </c>
      <c r="AK81" s="159" t="e">
        <f t="shared" si="157"/>
        <v>#NUM!</v>
      </c>
      <c r="AL81" s="159" t="e">
        <f t="shared" si="158"/>
        <v>#NUM!</v>
      </c>
      <c r="AM81" s="159" t="e">
        <f t="shared" si="159"/>
        <v>#NUM!</v>
      </c>
      <c r="AN81" s="159" t="e">
        <f t="shared" si="160"/>
        <v>#NUM!</v>
      </c>
      <c r="AO81" s="159" t="e">
        <f t="shared" si="161"/>
        <v>#NUM!</v>
      </c>
      <c r="AP81" s="159" t="e">
        <f t="shared" si="162"/>
        <v>#NUM!</v>
      </c>
      <c r="AQ81" s="159" t="e">
        <f t="shared" si="163"/>
        <v>#NUM!</v>
      </c>
      <c r="AR81" s="159" t="e">
        <f t="shared" si="164"/>
        <v>#NUM!</v>
      </c>
      <c r="AS81" s="159" t="e">
        <f t="shared" si="165"/>
        <v>#NUM!</v>
      </c>
      <c r="AT81" s="159" t="e">
        <f t="shared" si="166"/>
        <v>#NUM!</v>
      </c>
      <c r="AU81" s="159" t="e">
        <f t="shared" si="167"/>
        <v>#NUM!</v>
      </c>
      <c r="AV81" s="159" t="e">
        <f t="shared" si="168"/>
        <v>#NUM!</v>
      </c>
      <c r="AW81" s="159" t="e">
        <f t="shared" si="169"/>
        <v>#NUM!</v>
      </c>
      <c r="AX81" s="159" t="e">
        <f t="shared" si="170"/>
        <v>#NUM!</v>
      </c>
      <c r="AY81" s="159" t="e">
        <f t="shared" si="171"/>
        <v>#NUM!</v>
      </c>
      <c r="AZ81" s="159" t="e">
        <f t="shared" si="172"/>
        <v>#NUM!</v>
      </c>
      <c r="BA81" s="159" t="e">
        <f t="shared" si="173"/>
        <v>#NUM!</v>
      </c>
      <c r="BB81" s="159" t="e">
        <f t="shared" si="174"/>
        <v>#NUM!</v>
      </c>
      <c r="BC81" s="159" t="e">
        <f t="shared" si="175"/>
        <v>#NUM!</v>
      </c>
      <c r="BD81" s="159" t="e">
        <f t="shared" si="176"/>
        <v>#NUM!</v>
      </c>
      <c r="BE81" s="159" t="e">
        <f t="shared" si="177"/>
        <v>#NUM!</v>
      </c>
      <c r="BF81" s="159" t="e">
        <f t="shared" si="178"/>
        <v>#NUM!</v>
      </c>
      <c r="BG81" s="159" t="e">
        <f t="shared" si="179"/>
        <v>#NUM!</v>
      </c>
      <c r="BH81" s="159" t="e">
        <f t="shared" si="180"/>
        <v>#NUM!</v>
      </c>
      <c r="BI81" s="159" t="e">
        <f t="shared" si="181"/>
        <v>#NUM!</v>
      </c>
      <c r="BJ81" s="159" t="e">
        <f t="shared" si="182"/>
        <v>#NUM!</v>
      </c>
      <c r="BK81" s="159" t="e">
        <f t="shared" si="183"/>
        <v>#NUM!</v>
      </c>
      <c r="BL81" s="159" t="e">
        <f t="shared" si="184"/>
        <v>#NUM!</v>
      </c>
      <c r="BM81" s="159" t="e">
        <f t="shared" si="185"/>
        <v>#NUM!</v>
      </c>
      <c r="BN81" s="159" t="e">
        <f t="shared" si="186"/>
        <v>#NUM!</v>
      </c>
      <c r="BO81" s="159" t="e">
        <f t="shared" si="187"/>
        <v>#NUM!</v>
      </c>
      <c r="BP81" s="159" t="e">
        <f t="shared" si="188"/>
        <v>#NUM!</v>
      </c>
      <c r="BQ81" s="159" t="e">
        <f t="shared" si="189"/>
        <v>#NUM!</v>
      </c>
      <c r="BR81" s="159" t="e">
        <f t="shared" si="190"/>
        <v>#NUM!</v>
      </c>
      <c r="BS81" s="159" t="e">
        <f t="shared" si="191"/>
        <v>#NUM!</v>
      </c>
      <c r="BT81" s="159" t="e">
        <f t="shared" si="192"/>
        <v>#NUM!</v>
      </c>
      <c r="BU81" s="159" t="e">
        <f t="shared" si="193"/>
        <v>#NUM!</v>
      </c>
      <c r="BV81" s="159" t="e">
        <f t="shared" si="194"/>
        <v>#NUM!</v>
      </c>
      <c r="BW81" s="159"/>
      <c r="BX81" s="159"/>
      <c r="BY81" s="159"/>
      <c r="BZ81" s="159"/>
      <c r="CA81" s="159"/>
      <c r="CB81" s="159" t="e">
        <f t="shared" si="195"/>
        <v>#NUM!</v>
      </c>
      <c r="CC81" s="159" t="e">
        <f t="shared" si="196"/>
        <v>#NUM!</v>
      </c>
      <c r="CD81" s="159" t="e">
        <f t="shared" si="197"/>
        <v>#NUM!</v>
      </c>
      <c r="CE81" s="159" t="e">
        <f t="shared" si="198"/>
        <v>#NUM!</v>
      </c>
      <c r="CF81" s="159" t="e">
        <f t="shared" si="199"/>
        <v>#NUM!</v>
      </c>
      <c r="CG81" s="159" t="e">
        <f t="shared" si="200"/>
        <v>#NUM!</v>
      </c>
      <c r="CH81" s="159" t="e">
        <f t="shared" si="201"/>
        <v>#NUM!</v>
      </c>
      <c r="CI81" s="159" t="e">
        <f t="shared" si="202"/>
        <v>#NUM!</v>
      </c>
    </row>
    <row r="82" spans="6:87" x14ac:dyDescent="0.25">
      <c r="F82" s="317">
        <v>42857</v>
      </c>
      <c r="G82" s="530"/>
      <c r="H82" s="531"/>
      <c r="I82" s="371"/>
      <c r="J82" s="163"/>
      <c r="K82" s="163"/>
      <c r="L82" s="163"/>
      <c r="M82" s="163"/>
      <c r="N82" s="163"/>
      <c r="O82" s="163"/>
      <c r="P82" s="163"/>
      <c r="Q82" s="163">
        <f t="shared" si="137"/>
        <v>0.375</v>
      </c>
      <c r="R82" s="163" t="e">
        <f t="shared" si="138"/>
        <v>#NUM!</v>
      </c>
      <c r="S82" s="163">
        <f t="shared" si="139"/>
        <v>0</v>
      </c>
      <c r="T82" s="163">
        <f t="shared" si="140"/>
        <v>0</v>
      </c>
      <c r="U82" s="163" t="e">
        <f t="shared" ca="1" si="141"/>
        <v>#NUM!</v>
      </c>
      <c r="V82" s="159" t="e">
        <f t="shared" si="142"/>
        <v>#NUM!</v>
      </c>
      <c r="W82" s="159" t="e">
        <f t="shared" si="143"/>
        <v>#NUM!</v>
      </c>
      <c r="X82" s="159" t="e">
        <f t="shared" si="144"/>
        <v>#NUM!</v>
      </c>
      <c r="Y82" s="159" t="e">
        <f t="shared" si="145"/>
        <v>#NUM!</v>
      </c>
      <c r="Z82" s="159" t="e">
        <f t="shared" si="146"/>
        <v>#NUM!</v>
      </c>
      <c r="AA82" s="159" t="e">
        <f t="shared" si="147"/>
        <v>#NUM!</v>
      </c>
      <c r="AB82" s="159" t="e">
        <f t="shared" si="148"/>
        <v>#NUM!</v>
      </c>
      <c r="AC82" s="159" t="e">
        <f t="shared" si="149"/>
        <v>#NUM!</v>
      </c>
      <c r="AD82" s="159" t="e">
        <f t="shared" si="150"/>
        <v>#NUM!</v>
      </c>
      <c r="AE82" s="159" t="e">
        <f t="shared" si="151"/>
        <v>#NUM!</v>
      </c>
      <c r="AF82" s="159" t="e">
        <f t="shared" si="152"/>
        <v>#NUM!</v>
      </c>
      <c r="AG82" s="387" t="e">
        <f t="shared" si="153"/>
        <v>#NUM!</v>
      </c>
      <c r="AH82" s="159" t="e">
        <f t="shared" si="154"/>
        <v>#NUM!</v>
      </c>
      <c r="AI82" s="159" t="e">
        <f t="shared" si="155"/>
        <v>#NUM!</v>
      </c>
      <c r="AJ82" s="387" t="e">
        <f t="shared" si="156"/>
        <v>#NUM!</v>
      </c>
      <c r="AK82" s="159" t="e">
        <f t="shared" si="157"/>
        <v>#NUM!</v>
      </c>
      <c r="AL82" s="159" t="e">
        <f t="shared" si="158"/>
        <v>#NUM!</v>
      </c>
      <c r="AM82" s="159" t="e">
        <f t="shared" si="159"/>
        <v>#NUM!</v>
      </c>
      <c r="AN82" s="159" t="e">
        <f t="shared" si="160"/>
        <v>#NUM!</v>
      </c>
      <c r="AO82" s="159" t="e">
        <f t="shared" si="161"/>
        <v>#NUM!</v>
      </c>
      <c r="AP82" s="159" t="e">
        <f t="shared" si="162"/>
        <v>#NUM!</v>
      </c>
      <c r="AQ82" s="159" t="e">
        <f t="shared" si="163"/>
        <v>#NUM!</v>
      </c>
      <c r="AR82" s="159" t="e">
        <f t="shared" si="164"/>
        <v>#NUM!</v>
      </c>
      <c r="AS82" s="159" t="e">
        <f t="shared" si="165"/>
        <v>#NUM!</v>
      </c>
      <c r="AT82" s="159" t="e">
        <f t="shared" si="166"/>
        <v>#NUM!</v>
      </c>
      <c r="AU82" s="159" t="e">
        <f t="shared" si="167"/>
        <v>#NUM!</v>
      </c>
      <c r="AV82" s="159" t="e">
        <f t="shared" si="168"/>
        <v>#NUM!</v>
      </c>
      <c r="AW82" s="159" t="e">
        <f t="shared" si="169"/>
        <v>#NUM!</v>
      </c>
      <c r="AX82" s="159" t="e">
        <f t="shared" si="170"/>
        <v>#NUM!</v>
      </c>
      <c r="AY82" s="159" t="e">
        <f t="shared" si="171"/>
        <v>#NUM!</v>
      </c>
      <c r="AZ82" s="159" t="e">
        <f t="shared" si="172"/>
        <v>#NUM!</v>
      </c>
      <c r="BA82" s="159" t="e">
        <f t="shared" si="173"/>
        <v>#NUM!</v>
      </c>
      <c r="BB82" s="159" t="e">
        <f t="shared" si="174"/>
        <v>#NUM!</v>
      </c>
      <c r="BC82" s="159" t="e">
        <f t="shared" si="175"/>
        <v>#NUM!</v>
      </c>
      <c r="BD82" s="159" t="e">
        <f t="shared" si="176"/>
        <v>#NUM!</v>
      </c>
      <c r="BE82" s="159" t="e">
        <f t="shared" si="177"/>
        <v>#NUM!</v>
      </c>
      <c r="BF82" s="159" t="e">
        <f t="shared" si="178"/>
        <v>#NUM!</v>
      </c>
      <c r="BG82" s="159" t="e">
        <f t="shared" si="179"/>
        <v>#NUM!</v>
      </c>
      <c r="BH82" s="159" t="e">
        <f t="shared" si="180"/>
        <v>#NUM!</v>
      </c>
      <c r="BI82" s="159" t="e">
        <f t="shared" si="181"/>
        <v>#NUM!</v>
      </c>
      <c r="BJ82" s="159" t="e">
        <f t="shared" si="182"/>
        <v>#NUM!</v>
      </c>
      <c r="BK82" s="159" t="e">
        <f t="shared" si="183"/>
        <v>#NUM!</v>
      </c>
      <c r="BL82" s="159" t="e">
        <f t="shared" si="184"/>
        <v>#NUM!</v>
      </c>
      <c r="BM82" s="159" t="e">
        <f t="shared" si="185"/>
        <v>#NUM!</v>
      </c>
      <c r="BN82" s="159" t="e">
        <f t="shared" si="186"/>
        <v>#NUM!</v>
      </c>
      <c r="BO82" s="159" t="e">
        <f t="shared" si="187"/>
        <v>#NUM!</v>
      </c>
      <c r="BP82" s="159" t="e">
        <f t="shared" si="188"/>
        <v>#NUM!</v>
      </c>
      <c r="BQ82" s="159" t="e">
        <f t="shared" si="189"/>
        <v>#NUM!</v>
      </c>
      <c r="BR82" s="159" t="e">
        <f t="shared" si="190"/>
        <v>#NUM!</v>
      </c>
      <c r="BS82" s="159" t="e">
        <f t="shared" si="191"/>
        <v>#NUM!</v>
      </c>
      <c r="BT82" s="159" t="e">
        <f t="shared" si="192"/>
        <v>#NUM!</v>
      </c>
      <c r="BU82" s="159" t="e">
        <f t="shared" si="193"/>
        <v>#NUM!</v>
      </c>
      <c r="BV82" s="159" t="e">
        <f t="shared" si="194"/>
        <v>#NUM!</v>
      </c>
      <c r="BW82" s="159"/>
      <c r="BX82" s="159"/>
      <c r="BY82" s="159"/>
      <c r="BZ82" s="159"/>
      <c r="CA82" s="159"/>
      <c r="CB82" s="159" t="e">
        <f t="shared" si="195"/>
        <v>#NUM!</v>
      </c>
      <c r="CC82" s="159" t="e">
        <f t="shared" si="196"/>
        <v>#NUM!</v>
      </c>
      <c r="CD82" s="159" t="e">
        <f t="shared" si="197"/>
        <v>#NUM!</v>
      </c>
      <c r="CE82" s="159" t="e">
        <f t="shared" si="198"/>
        <v>#NUM!</v>
      </c>
      <c r="CF82" s="159" t="e">
        <f t="shared" si="199"/>
        <v>#NUM!</v>
      </c>
      <c r="CG82" s="159" t="e">
        <f t="shared" si="200"/>
        <v>#NUM!</v>
      </c>
      <c r="CH82" s="159" t="e">
        <f t="shared" si="201"/>
        <v>#NUM!</v>
      </c>
      <c r="CI82" s="159" t="e">
        <f t="shared" si="202"/>
        <v>#NUM!</v>
      </c>
    </row>
    <row r="83" spans="6:87" x14ac:dyDescent="0.25">
      <c r="F83" s="317">
        <v>42857</v>
      </c>
      <c r="G83" s="530"/>
      <c r="H83" s="531"/>
      <c r="I83" s="371"/>
      <c r="J83" s="163"/>
      <c r="K83" s="163"/>
      <c r="L83" s="163"/>
      <c r="M83" s="163"/>
      <c r="N83" s="163"/>
      <c r="O83" s="163"/>
      <c r="P83" s="163"/>
      <c r="Q83" s="163">
        <f t="shared" si="137"/>
        <v>0.375</v>
      </c>
      <c r="R83" s="163" t="e">
        <f t="shared" si="138"/>
        <v>#NUM!</v>
      </c>
      <c r="S83" s="163">
        <f t="shared" si="139"/>
        <v>0</v>
      </c>
      <c r="T83" s="163">
        <f t="shared" si="140"/>
        <v>0</v>
      </c>
      <c r="U83" s="163" t="e">
        <f t="shared" ca="1" si="141"/>
        <v>#NUM!</v>
      </c>
      <c r="V83" s="159" t="e">
        <f t="shared" si="142"/>
        <v>#NUM!</v>
      </c>
      <c r="W83" s="159" t="e">
        <f t="shared" si="143"/>
        <v>#NUM!</v>
      </c>
      <c r="X83" s="159" t="e">
        <f t="shared" si="144"/>
        <v>#NUM!</v>
      </c>
      <c r="Y83" s="159" t="e">
        <f t="shared" si="145"/>
        <v>#NUM!</v>
      </c>
      <c r="Z83" s="159" t="e">
        <f t="shared" si="146"/>
        <v>#NUM!</v>
      </c>
      <c r="AA83" s="159" t="e">
        <f t="shared" si="147"/>
        <v>#NUM!</v>
      </c>
      <c r="AB83" s="159" t="e">
        <f t="shared" si="148"/>
        <v>#NUM!</v>
      </c>
      <c r="AC83" s="159" t="e">
        <f t="shared" si="149"/>
        <v>#NUM!</v>
      </c>
      <c r="AD83" s="159" t="e">
        <f t="shared" si="150"/>
        <v>#NUM!</v>
      </c>
      <c r="AE83" s="159" t="e">
        <f t="shared" si="151"/>
        <v>#NUM!</v>
      </c>
      <c r="AF83" s="159" t="e">
        <f t="shared" si="152"/>
        <v>#NUM!</v>
      </c>
      <c r="AG83" s="387" t="e">
        <f t="shared" si="153"/>
        <v>#NUM!</v>
      </c>
      <c r="AH83" s="159" t="e">
        <f t="shared" si="154"/>
        <v>#NUM!</v>
      </c>
      <c r="AI83" s="159" t="e">
        <f t="shared" si="155"/>
        <v>#NUM!</v>
      </c>
      <c r="AJ83" s="387" t="e">
        <f t="shared" si="156"/>
        <v>#NUM!</v>
      </c>
      <c r="AK83" s="159" t="e">
        <f t="shared" si="157"/>
        <v>#NUM!</v>
      </c>
      <c r="AL83" s="159" t="e">
        <f t="shared" si="158"/>
        <v>#NUM!</v>
      </c>
      <c r="AM83" s="159" t="e">
        <f t="shared" si="159"/>
        <v>#NUM!</v>
      </c>
      <c r="AN83" s="159" t="e">
        <f t="shared" si="160"/>
        <v>#NUM!</v>
      </c>
      <c r="AO83" s="159" t="e">
        <f t="shared" si="161"/>
        <v>#NUM!</v>
      </c>
      <c r="AP83" s="159" t="e">
        <f t="shared" si="162"/>
        <v>#NUM!</v>
      </c>
      <c r="AQ83" s="159" t="e">
        <f t="shared" si="163"/>
        <v>#NUM!</v>
      </c>
      <c r="AR83" s="159" t="e">
        <f t="shared" si="164"/>
        <v>#NUM!</v>
      </c>
      <c r="AS83" s="159" t="e">
        <f t="shared" si="165"/>
        <v>#NUM!</v>
      </c>
      <c r="AT83" s="159" t="e">
        <f t="shared" si="166"/>
        <v>#NUM!</v>
      </c>
      <c r="AU83" s="159" t="e">
        <f t="shared" si="167"/>
        <v>#NUM!</v>
      </c>
      <c r="AV83" s="159" t="e">
        <f t="shared" si="168"/>
        <v>#NUM!</v>
      </c>
      <c r="AW83" s="159" t="e">
        <f t="shared" si="169"/>
        <v>#NUM!</v>
      </c>
      <c r="AX83" s="159" t="e">
        <f t="shared" si="170"/>
        <v>#NUM!</v>
      </c>
      <c r="AY83" s="159" t="e">
        <f t="shared" si="171"/>
        <v>#NUM!</v>
      </c>
      <c r="AZ83" s="159" t="e">
        <f t="shared" si="172"/>
        <v>#NUM!</v>
      </c>
      <c r="BA83" s="159" t="e">
        <f t="shared" si="173"/>
        <v>#NUM!</v>
      </c>
      <c r="BB83" s="159" t="e">
        <f t="shared" si="174"/>
        <v>#NUM!</v>
      </c>
      <c r="BC83" s="159" t="e">
        <f t="shared" si="175"/>
        <v>#NUM!</v>
      </c>
      <c r="BD83" s="159" t="e">
        <f t="shared" si="176"/>
        <v>#NUM!</v>
      </c>
      <c r="BE83" s="159" t="e">
        <f t="shared" si="177"/>
        <v>#NUM!</v>
      </c>
      <c r="BF83" s="159" t="e">
        <f t="shared" si="178"/>
        <v>#NUM!</v>
      </c>
      <c r="BG83" s="159" t="e">
        <f t="shared" si="179"/>
        <v>#NUM!</v>
      </c>
      <c r="BH83" s="159" t="e">
        <f t="shared" si="180"/>
        <v>#NUM!</v>
      </c>
      <c r="BI83" s="159" t="e">
        <f t="shared" si="181"/>
        <v>#NUM!</v>
      </c>
      <c r="BJ83" s="159" t="e">
        <f t="shared" si="182"/>
        <v>#NUM!</v>
      </c>
      <c r="BK83" s="159" t="e">
        <f t="shared" si="183"/>
        <v>#NUM!</v>
      </c>
      <c r="BL83" s="159" t="e">
        <f t="shared" si="184"/>
        <v>#NUM!</v>
      </c>
      <c r="BM83" s="159" t="e">
        <f t="shared" si="185"/>
        <v>#NUM!</v>
      </c>
      <c r="BN83" s="159" t="e">
        <f t="shared" si="186"/>
        <v>#NUM!</v>
      </c>
      <c r="BO83" s="159" t="e">
        <f t="shared" si="187"/>
        <v>#NUM!</v>
      </c>
      <c r="BP83" s="159" t="e">
        <f t="shared" si="188"/>
        <v>#NUM!</v>
      </c>
      <c r="BQ83" s="159" t="e">
        <f t="shared" si="189"/>
        <v>#NUM!</v>
      </c>
      <c r="BR83" s="159" t="e">
        <f t="shared" si="190"/>
        <v>#NUM!</v>
      </c>
      <c r="BS83" s="159" t="e">
        <f t="shared" si="191"/>
        <v>#NUM!</v>
      </c>
      <c r="BT83" s="159" t="e">
        <f t="shared" si="192"/>
        <v>#NUM!</v>
      </c>
      <c r="BU83" s="159" t="e">
        <f t="shared" si="193"/>
        <v>#NUM!</v>
      </c>
      <c r="BV83" s="159" t="e">
        <f t="shared" si="194"/>
        <v>#NUM!</v>
      </c>
      <c r="BW83" s="159"/>
      <c r="BX83" s="159"/>
      <c r="BY83" s="159"/>
      <c r="BZ83" s="159"/>
      <c r="CA83" s="159"/>
      <c r="CB83" s="159" t="e">
        <f t="shared" si="195"/>
        <v>#NUM!</v>
      </c>
      <c r="CC83" s="159" t="e">
        <f t="shared" si="196"/>
        <v>#NUM!</v>
      </c>
      <c r="CD83" s="159" t="e">
        <f t="shared" si="197"/>
        <v>#NUM!</v>
      </c>
      <c r="CE83" s="159" t="e">
        <f t="shared" si="198"/>
        <v>#NUM!</v>
      </c>
      <c r="CF83" s="159" t="e">
        <f t="shared" si="199"/>
        <v>#NUM!</v>
      </c>
      <c r="CG83" s="159" t="e">
        <f t="shared" si="200"/>
        <v>#NUM!</v>
      </c>
      <c r="CH83" s="159" t="e">
        <f t="shared" si="201"/>
        <v>#NUM!</v>
      </c>
      <c r="CI83" s="159" t="e">
        <f t="shared" si="202"/>
        <v>#NUM!</v>
      </c>
    </row>
  </sheetData>
  <sortState ref="A23:CI40">
    <sortCondition descending="1" ref="CC23:CC40"/>
    <sortCondition descending="1" ref="CB23:CB40"/>
  </sortState>
  <conditionalFormatting sqref="U3:U83">
    <cfRule type="cellIs" dxfId="334" priority="101" operator="greaterThan">
      <formula>15</formula>
    </cfRule>
  </conditionalFormatting>
  <conditionalFormatting sqref="Q3:Q83">
    <cfRule type="cellIs" dxfId="333" priority="100" operator="greaterThan">
      <formula>3.2</formula>
    </cfRule>
  </conditionalFormatting>
  <conditionalFormatting sqref="S3:T83">
    <cfRule type="cellIs" dxfId="332" priority="99" operator="greaterThan">
      <formula>0.6</formula>
    </cfRule>
  </conditionalFormatting>
  <conditionalFormatting sqref="AG22:AH22 V22:AA22 AA3:AF9 BK3:BQ22 AA10:AA21 V3:Y21 AH3:AH21 BW3:CI22 AB10:AF22 BR16:BV21 BV23:CI83 BK23:BT83 AA23:AF83 V23:Y83 AH23:AH83 AJ3:AL83 BF3:BI83 AZ3:BC83 AN3:AQ83 AS3:AX83">
    <cfRule type="cellIs" dxfId="331" priority="98" operator="greaterThan">
      <formula>12.5</formula>
    </cfRule>
  </conditionalFormatting>
  <conditionalFormatting sqref="BJ22 BE22 AR22">
    <cfRule type="cellIs" dxfId="330" priority="97" operator="greaterThan">
      <formula>12.5</formula>
    </cfRule>
  </conditionalFormatting>
  <conditionalFormatting sqref="H3:I4 H5:H21 H23:H83">
    <cfRule type="cellIs" dxfId="329" priority="95" operator="greaterThan">
      <formula>7</formula>
    </cfRule>
  </conditionalFormatting>
  <conditionalFormatting sqref="AY22">
    <cfRule type="cellIs" dxfId="328" priority="87" operator="greaterThan">
      <formula>12.5</formula>
    </cfRule>
  </conditionalFormatting>
  <conditionalFormatting sqref="Z3:Z21 AR3:AR21 AY3:AY21 BJ3:BJ21 BE3:BE21 AG16:AG21 Z23:Z83 AR23:AR83 AY23:AY83 BJ23:BJ83 BE23:BE83">
    <cfRule type="cellIs" dxfId="327" priority="83" operator="greaterThan">
      <formula>12</formula>
    </cfRule>
  </conditionalFormatting>
  <conditionalFormatting sqref="AG3:AG4">
    <cfRule type="cellIs" dxfId="326" priority="82" operator="greaterThan">
      <formula>12</formula>
    </cfRule>
  </conditionalFormatting>
  <conditionalFormatting sqref="BR22:BS22 BR3:BV4 BR5:BT15 BV5:BV15">
    <cfRule type="cellIs" dxfId="325" priority="78" operator="greaterThan">
      <formula>12.5</formula>
    </cfRule>
  </conditionalFormatting>
  <conditionalFormatting sqref="BT22">
    <cfRule type="cellIs" dxfId="324" priority="77" operator="greaterThan">
      <formula>12.5</formula>
    </cfRule>
  </conditionalFormatting>
  <conditionalFormatting sqref="BU22:BV22">
    <cfRule type="cellIs" dxfId="323" priority="76" operator="greaterThan">
      <formula>12.5</formula>
    </cfRule>
  </conditionalFormatting>
  <conditionalFormatting sqref="AG5:AG15 AG23:AG83">
    <cfRule type="cellIs" dxfId="322" priority="49" operator="lessThan">
      <formula>13</formula>
    </cfRule>
    <cfRule type="cellIs" dxfId="321" priority="50" operator="greaterThan">
      <formula>13.5</formula>
    </cfRule>
  </conditionalFormatting>
  <conditionalFormatting sqref="BU5:BU15 BU23:BU83">
    <cfRule type="cellIs" dxfId="320" priority="47" operator="lessThan">
      <formula>13</formula>
    </cfRule>
    <cfRule type="cellIs" dxfId="319" priority="48" operator="greaterThan">
      <formula>16</formula>
    </cfRule>
  </conditionalFormatting>
  <conditionalFormatting sqref="AG23:AG83">
    <cfRule type="cellIs" dxfId="318" priority="32" operator="greaterThan">
      <formula>13.42</formula>
    </cfRule>
  </conditionalFormatting>
  <conditionalFormatting sqref="AJ23:AJ83">
    <cfRule type="cellIs" dxfId="317"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1">
    <cfRule type="colorScale" priority="2088">
      <colorScale>
        <cfvo type="min"/>
        <cfvo type="max"/>
        <color rgb="FFFCFCFF"/>
        <color rgb="FFF8696B"/>
      </colorScale>
    </cfRule>
  </conditionalFormatting>
  <conditionalFormatting sqref="J23:P83">
    <cfRule type="colorScale" priority="2948">
      <colorScale>
        <cfvo type="min"/>
        <cfvo type="max"/>
        <color rgb="FFFCFCFF"/>
        <color rgb="FFF8696B"/>
      </colorScale>
    </cfRule>
  </conditionalFormatting>
  <conditionalFormatting sqref="R5:R83">
    <cfRule type="colorScale" priority="2950">
      <colorScale>
        <cfvo type="min"/>
        <cfvo type="max"/>
        <color rgb="FFFFEF9C"/>
        <color rgb="FF63BE7B"/>
      </colorScale>
    </cfRule>
  </conditionalFormatting>
  <conditionalFormatting sqref="I5:I83">
    <cfRule type="dataBar" priority="2952">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I5:I83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4"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5" customWidth="1"/>
    <col min="18" max="18" width="5" style="485" customWidth="1"/>
    <col min="19" max="24" width="6.7109375" style="454" customWidth="1"/>
    <col min="25" max="25" width="6.7109375" style="561" customWidth="1"/>
    <col min="26" max="26" width="6.7109375" style="454" customWidth="1"/>
    <col min="27" max="27" width="4.42578125" style="454" bestFit="1" customWidth="1"/>
    <col min="28" max="31" width="6.140625" style="454" bestFit="1" customWidth="1"/>
    <col min="32" max="32" width="5.5703125" style="454" bestFit="1" customWidth="1"/>
    <col min="33" max="33" width="5" style="454" bestFit="1" customWidth="1"/>
    <col min="34" max="34" width="6.140625" style="454"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16"/>
      <c r="T1" s="716"/>
      <c r="U1" s="716"/>
      <c r="V1" s="179"/>
      <c r="W1" s="716" t="s">
        <v>623</v>
      </c>
      <c r="X1" s="716"/>
      <c r="Z1" s="446">
        <f>S2+T2+U2+V2+W2+X2+Z2</f>
        <v>1</v>
      </c>
      <c r="AQ1" s="716" t="s">
        <v>739</v>
      </c>
      <c r="AR1" s="716"/>
      <c r="AS1" s="716"/>
      <c r="AT1" s="716"/>
      <c r="AU1" s="716"/>
      <c r="AV1" s="716"/>
      <c r="AW1" s="716"/>
      <c r="AX1" s="716"/>
      <c r="AY1" s="716"/>
      <c r="AZ1" s="716"/>
      <c r="BA1" s="716"/>
      <c r="BB1" s="716"/>
      <c r="BC1" s="716"/>
      <c r="BS1" s="471" t="s">
        <v>741</v>
      </c>
      <c r="BT1" s="471" t="s">
        <v>178</v>
      </c>
      <c r="BU1" s="471" t="s">
        <v>742</v>
      </c>
      <c r="BV1" s="472" t="s">
        <v>743</v>
      </c>
      <c r="BW1" s="470" t="s">
        <v>744</v>
      </c>
      <c r="BX1" s="470" t="s">
        <v>745</v>
      </c>
    </row>
    <row r="2" spans="1:76" s="267" customFormat="1" ht="18.75" x14ac:dyDescent="0.3">
      <c r="C2" s="268"/>
      <c r="D2" s="453">
        <f ca="1">TODAY()</f>
        <v>43060</v>
      </c>
      <c r="E2" s="706">
        <v>41471</v>
      </c>
      <c r="F2" s="706"/>
      <c r="G2" s="706"/>
      <c r="H2" s="269"/>
      <c r="I2" s="269"/>
      <c r="J2" s="337"/>
      <c r="K2" s="269"/>
      <c r="L2" s="269"/>
      <c r="M2" s="269"/>
      <c r="N2" s="269"/>
      <c r="O2" s="269"/>
      <c r="P2" s="269"/>
      <c r="Q2" s="440"/>
      <c r="R2" s="310"/>
      <c r="S2" s="447">
        <v>0</v>
      </c>
      <c r="T2" s="487">
        <v>0</v>
      </c>
      <c r="U2" s="487">
        <v>0</v>
      </c>
      <c r="V2" s="447">
        <v>0</v>
      </c>
      <c r="W2" s="445">
        <v>0</v>
      </c>
      <c r="X2" s="445">
        <v>0</v>
      </c>
      <c r="Y2" s="445">
        <v>0</v>
      </c>
      <c r="Z2" s="445">
        <v>1</v>
      </c>
      <c r="AA2" s="310">
        <v>0</v>
      </c>
      <c r="AB2" s="310"/>
      <c r="AC2" s="310"/>
      <c r="AD2" s="310"/>
      <c r="AE2" s="310"/>
      <c r="AF2" s="310"/>
      <c r="AG2" s="310"/>
      <c r="AH2" s="310"/>
      <c r="AS2" s="468">
        <f>SUM(AS4:AS14)*$BV$3</f>
        <v>0</v>
      </c>
      <c r="AT2" s="468">
        <f>SUM(AT4:AT14)*$BV$3</f>
        <v>0</v>
      </c>
      <c r="AU2" s="468">
        <f>SUM(AU4:AU14)*$BV$2</f>
        <v>0</v>
      </c>
      <c r="AV2" s="468">
        <f>SUM(AV4:AV14)*$BV$4</f>
        <v>0</v>
      </c>
      <c r="AW2" s="468">
        <f>SUM(AW4:AW14)*$BV$5</f>
        <v>0</v>
      </c>
      <c r="AX2" s="468">
        <f>SUM(AX4:AX14)*$BV$5</f>
        <v>0</v>
      </c>
      <c r="AY2" s="468">
        <f>SUM(AY4:AY14)*$BV$6</f>
        <v>0</v>
      </c>
      <c r="AZ2" s="469">
        <f>SUM(AZ4:AZ14)</f>
        <v>0.2099999999999998</v>
      </c>
      <c r="BA2" s="469">
        <f>SUM(BA4:BA14)</f>
        <v>0.2149999999999998</v>
      </c>
      <c r="BB2" s="469">
        <f t="shared" ref="BB2:BC2" si="0">SUM(BB4:BB14)</f>
        <v>12.766250000000001</v>
      </c>
      <c r="BC2" s="469">
        <f t="shared" si="0"/>
        <v>0</v>
      </c>
      <c r="BG2" s="468">
        <f>SUM(BG4:BG14)*$BV$3</f>
        <v>0</v>
      </c>
      <c r="BH2" s="468">
        <f>SUM(BH4:BH14)*$BV$3</f>
        <v>0</v>
      </c>
      <c r="BI2" s="468">
        <f>SUM(BI4:BI14)*$BV$2</f>
        <v>0</v>
      </c>
      <c r="BJ2" s="468">
        <f>SUM(BJ4:BJ14)*$BV$4</f>
        <v>0</v>
      </c>
      <c r="BK2" s="468">
        <f>SUM(BK4:BK14)*$BV$5</f>
        <v>0</v>
      </c>
      <c r="BL2" s="468">
        <f>SUM(BL4:BL14)*$BV$5</f>
        <v>0</v>
      </c>
      <c r="BM2" s="468">
        <f>SUM(BM4:BM14)*$BV$6</f>
        <v>0</v>
      </c>
      <c r="BN2" s="469">
        <f>SUM(BN4:BN14)</f>
        <v>0.21799999999999986</v>
      </c>
      <c r="BO2" s="469">
        <f>SUM(BO4:BO14)</f>
        <v>0.22299999999999989</v>
      </c>
      <c r="BP2" s="469">
        <f t="shared" ref="BP2:BQ2" si="1">SUM(BP4:BP14)</f>
        <v>17.069444444444443</v>
      </c>
      <c r="BQ2" s="469">
        <f t="shared" si="1"/>
        <v>0</v>
      </c>
      <c r="BS2" s="275" t="s">
        <v>746</v>
      </c>
      <c r="BT2" s="473">
        <v>1</v>
      </c>
      <c r="BU2" s="474">
        <v>0.624</v>
      </c>
      <c r="BV2" s="475">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2" t="s">
        <v>183</v>
      </c>
      <c r="R3" s="442" t="s">
        <v>63</v>
      </c>
      <c r="S3" s="441" t="s">
        <v>337</v>
      </c>
      <c r="T3" s="441" t="s">
        <v>188</v>
      </c>
      <c r="U3" s="441" t="s">
        <v>189</v>
      </c>
      <c r="V3" s="441" t="s">
        <v>190</v>
      </c>
      <c r="W3" s="441" t="s">
        <v>191</v>
      </c>
      <c r="X3" s="441" t="s">
        <v>192</v>
      </c>
      <c r="Y3" s="441" t="s">
        <v>865</v>
      </c>
      <c r="Z3" s="441" t="s">
        <v>185</v>
      </c>
      <c r="AA3" s="441" t="s">
        <v>176</v>
      </c>
      <c r="AB3" s="441" t="s">
        <v>337</v>
      </c>
      <c r="AC3" s="441" t="s">
        <v>188</v>
      </c>
      <c r="AD3" s="441" t="s">
        <v>189</v>
      </c>
      <c r="AE3" s="441" t="s">
        <v>190</v>
      </c>
      <c r="AF3" s="441" t="s">
        <v>191</v>
      </c>
      <c r="AG3" s="441" t="s">
        <v>192</v>
      </c>
      <c r="AH3" s="441" t="s">
        <v>185</v>
      </c>
      <c r="AI3" s="441" t="s">
        <v>337</v>
      </c>
      <c r="AJ3" s="441" t="s">
        <v>188</v>
      </c>
      <c r="AK3" s="441" t="s">
        <v>189</v>
      </c>
      <c r="AL3" s="441" t="s">
        <v>190</v>
      </c>
      <c r="AM3" s="441" t="s">
        <v>191</v>
      </c>
      <c r="AN3" s="441" t="s">
        <v>192</v>
      </c>
      <c r="AO3" s="441" t="s">
        <v>185</v>
      </c>
      <c r="AQ3" s="717" t="s">
        <v>861</v>
      </c>
      <c r="AR3" s="718"/>
      <c r="AS3" s="361" t="s">
        <v>541</v>
      </c>
      <c r="AT3" s="361" t="s">
        <v>542</v>
      </c>
      <c r="AU3" s="361" t="s">
        <v>582</v>
      </c>
      <c r="AV3" s="361" t="s">
        <v>543</v>
      </c>
      <c r="AW3" s="361" t="s">
        <v>544</v>
      </c>
      <c r="AX3" s="361" t="s">
        <v>545</v>
      </c>
      <c r="AY3" s="361" t="s">
        <v>546</v>
      </c>
      <c r="AZ3" s="361" t="s">
        <v>876</v>
      </c>
      <c r="BA3" s="361" t="s">
        <v>877</v>
      </c>
      <c r="BB3" s="361" t="s">
        <v>700</v>
      </c>
      <c r="BC3" s="361" t="s">
        <v>740</v>
      </c>
      <c r="BE3" s="717" t="s">
        <v>863</v>
      </c>
      <c r="BF3" s="718"/>
      <c r="BG3" s="361" t="s">
        <v>541</v>
      </c>
      <c r="BH3" s="361" t="s">
        <v>542</v>
      </c>
      <c r="BI3" s="361" t="s">
        <v>582</v>
      </c>
      <c r="BJ3" s="361" t="s">
        <v>543</v>
      </c>
      <c r="BK3" s="361" t="s">
        <v>544</v>
      </c>
      <c r="BL3" s="361" t="s">
        <v>545</v>
      </c>
      <c r="BM3" s="361" t="s">
        <v>546</v>
      </c>
      <c r="BN3" s="361" t="s">
        <v>876</v>
      </c>
      <c r="BO3" s="361" t="s">
        <v>877</v>
      </c>
      <c r="BP3" s="361" t="s">
        <v>700</v>
      </c>
      <c r="BQ3" s="361" t="s">
        <v>740</v>
      </c>
      <c r="BS3" s="275" t="s">
        <v>747</v>
      </c>
      <c r="BT3" s="473">
        <v>1</v>
      </c>
      <c r="BU3" s="474">
        <v>1.002</v>
      </c>
      <c r="BV3" s="475">
        <v>0.34</v>
      </c>
      <c r="BW3" s="363">
        <f t="shared" ref="BW3:BW6" si="2">BV3*10</f>
        <v>3.4000000000000004</v>
      </c>
      <c r="BX3" s="363">
        <f t="shared" ref="BX3:BX6" si="3">BV3*15</f>
        <v>5.1000000000000005</v>
      </c>
    </row>
    <row r="4" spans="1:76" s="284" customFormat="1" ht="18.75" x14ac:dyDescent="0.3">
      <c r="A4" s="416" t="s">
        <v>443</v>
      </c>
      <c r="B4" s="416" t="s">
        <v>1</v>
      </c>
      <c r="C4" s="286">
        <f ca="1">((33*112)-(E4*112)-(F4))/112</f>
        <v>3.1607142857142856</v>
      </c>
      <c r="D4" s="321" t="str">
        <f>PLANTILLA!D5</f>
        <v>D. Gehmacher</v>
      </c>
      <c r="E4" s="419">
        <f>PLANTILLA!E5</f>
        <v>29</v>
      </c>
      <c r="F4" s="427">
        <f ca="1">PLANTILLA!F5</f>
        <v>94</v>
      </c>
      <c r="G4" s="420"/>
      <c r="H4" s="435">
        <v>7</v>
      </c>
      <c r="I4" s="335">
        <f>PLANTILLA!I5</f>
        <v>18</v>
      </c>
      <c r="J4" s="519">
        <f>PLANTILLA!V5</f>
        <v>16.666666666666668</v>
      </c>
      <c r="K4" s="519">
        <f>PLANTILLA!W5</f>
        <v>11.832727272727276</v>
      </c>
      <c r="L4" s="519">
        <f>PLANTILLA!X5</f>
        <v>2.0199999999999996</v>
      </c>
      <c r="M4" s="519">
        <f>PLANTILLA!Y5</f>
        <v>2.1199999999999992</v>
      </c>
      <c r="N4" s="519">
        <f>PLANTILLA!Z5</f>
        <v>1.0400000000000003</v>
      </c>
      <c r="O4" s="519">
        <f>PLANTILLA!AA5</f>
        <v>0.14055555555555557</v>
      </c>
      <c r="P4" s="519">
        <f>PLANTILLA!AB5</f>
        <v>17.849999999999998</v>
      </c>
      <c r="Q4" s="443">
        <f t="shared" ref="Q4:Q23" si="4">E4</f>
        <v>29</v>
      </c>
      <c r="R4" s="444">
        <f t="shared" ref="R4:R23" ca="1" si="5">F4+7</f>
        <v>101</v>
      </c>
      <c r="S4" s="193"/>
      <c r="T4" s="193"/>
      <c r="U4" s="193"/>
      <c r="V4" s="193"/>
      <c r="W4" s="193"/>
      <c r="X4" s="193"/>
      <c r="Y4" s="193"/>
      <c r="Z4" s="193"/>
      <c r="AA4" s="323">
        <f t="shared" ref="AA4:AA23" si="6">I4+$AA$2</f>
        <v>18</v>
      </c>
      <c r="AB4" s="539">
        <f>J4+(S4*S$2/15)</f>
        <v>16.666666666666668</v>
      </c>
      <c r="AC4" s="539">
        <f>K4+(T$2/11)</f>
        <v>11.832727272727276</v>
      </c>
      <c r="AD4" s="539">
        <f>L4+(U$2/18)</f>
        <v>2.0199999999999996</v>
      </c>
      <c r="AE4" s="539">
        <f>M4+(V$2/12)</f>
        <v>2.1199999999999992</v>
      </c>
      <c r="AF4" s="539">
        <f>N4+(W$2/11)</f>
        <v>1.0400000000000003</v>
      </c>
      <c r="AG4" s="539">
        <f>O4+(X$2/12)+(Y$2/5)</f>
        <v>0.14055555555555557</v>
      </c>
      <c r="AH4" s="539">
        <f>P4+(Z$2/2)+(Y$2/10)</f>
        <v>18.349999999999998</v>
      </c>
      <c r="AI4" s="456">
        <f t="shared" ref="AI4:AO4" si="7">AB4-J4</f>
        <v>0</v>
      </c>
      <c r="AJ4" s="456">
        <f t="shared" si="7"/>
        <v>0</v>
      </c>
      <c r="AK4" s="456">
        <f t="shared" si="7"/>
        <v>0</v>
      </c>
      <c r="AL4" s="456">
        <f t="shared" si="7"/>
        <v>0</v>
      </c>
      <c r="AM4" s="456">
        <f t="shared" si="7"/>
        <v>0</v>
      </c>
      <c r="AN4" s="456">
        <f t="shared" si="7"/>
        <v>0</v>
      </c>
      <c r="AO4" s="456">
        <f t="shared" si="7"/>
        <v>0.5</v>
      </c>
      <c r="AQ4" s="457" t="s">
        <v>1</v>
      </c>
      <c r="AR4" s="331" t="str">
        <f>D4</f>
        <v>D. Gehmacher</v>
      </c>
      <c r="AS4" s="462">
        <f>(AI4*0.597)+(AJ4*0.276)</f>
        <v>0</v>
      </c>
      <c r="AT4" s="462">
        <f>AS4</f>
        <v>0</v>
      </c>
      <c r="AU4" s="462">
        <f>(AI4*0.866)+(AJ4*0.425)</f>
        <v>0</v>
      </c>
      <c r="AV4" s="462">
        <v>0</v>
      </c>
      <c r="AW4" s="462">
        <v>0</v>
      </c>
      <c r="AX4" s="462">
        <v>0</v>
      </c>
      <c r="AY4" s="462">
        <v>0</v>
      </c>
      <c r="AZ4" s="587">
        <v>0</v>
      </c>
      <c r="BA4" s="587">
        <f>0.08*AI4+0.1*AO4</f>
        <v>0.05</v>
      </c>
      <c r="BB4" s="465">
        <v>0</v>
      </c>
      <c r="BC4" s="465">
        <v>0</v>
      </c>
      <c r="BE4" s="457" t="s">
        <v>1</v>
      </c>
      <c r="BF4" s="331" t="str">
        <f>D4</f>
        <v>D. Gehmacher</v>
      </c>
      <c r="BG4" s="462">
        <f t="shared" ref="BG4:BM4" si="8">AS4</f>
        <v>0</v>
      </c>
      <c r="BH4" s="462">
        <f t="shared" si="8"/>
        <v>0</v>
      </c>
      <c r="BI4" s="462">
        <f t="shared" si="8"/>
        <v>0</v>
      </c>
      <c r="BJ4" s="462">
        <f t="shared" si="8"/>
        <v>0</v>
      </c>
      <c r="BK4" s="462">
        <f t="shared" si="8"/>
        <v>0</v>
      </c>
      <c r="BL4" s="462">
        <f t="shared" si="8"/>
        <v>0</v>
      </c>
      <c r="BM4" s="462">
        <f t="shared" si="8"/>
        <v>0</v>
      </c>
      <c r="BN4" s="587">
        <f t="shared" ref="BN4" si="9">AZ4</f>
        <v>0</v>
      </c>
      <c r="BO4" s="587">
        <f t="shared" ref="BO4:BQ4" si="10">BA4</f>
        <v>0.05</v>
      </c>
      <c r="BP4" s="465">
        <f t="shared" si="10"/>
        <v>0</v>
      </c>
      <c r="BQ4" s="465">
        <f t="shared" si="10"/>
        <v>0</v>
      </c>
      <c r="BS4" s="275" t="s">
        <v>748</v>
      </c>
      <c r="BT4" s="473">
        <v>1</v>
      </c>
      <c r="BU4" s="474">
        <v>0.46800000000000003</v>
      </c>
      <c r="BV4" s="475">
        <v>0.125</v>
      </c>
      <c r="BW4" s="363">
        <f t="shared" si="2"/>
        <v>1.25</v>
      </c>
      <c r="BX4" s="363">
        <f t="shared" si="3"/>
        <v>1.875</v>
      </c>
    </row>
    <row r="5" spans="1:76" s="272" customFormat="1" ht="18.75" x14ac:dyDescent="0.3">
      <c r="A5" s="416" t="s">
        <v>577</v>
      </c>
      <c r="B5" s="416" t="s">
        <v>1</v>
      </c>
      <c r="C5" s="417">
        <f t="shared" ref="C5:C23" ca="1" si="11">((33*112)-(E5*112)-(F5))/112</f>
        <v>-0.9196428571428571</v>
      </c>
      <c r="D5" s="418" t="s">
        <v>307</v>
      </c>
      <c r="E5" s="419">
        <f>PLANTILLA!E6</f>
        <v>33</v>
      </c>
      <c r="F5" s="419">
        <f ca="1">PLANTILLA!F6</f>
        <v>103</v>
      </c>
      <c r="G5" s="420" t="s">
        <v>595</v>
      </c>
      <c r="H5" s="401">
        <v>4</v>
      </c>
      <c r="I5" s="335">
        <f>PLANTILLA!I6</f>
        <v>7.8</v>
      </c>
      <c r="J5" s="519">
        <f>PLANTILLA!V6</f>
        <v>10.3</v>
      </c>
      <c r="K5" s="519">
        <f>PLANTILLA!W6</f>
        <v>10.794999999999998</v>
      </c>
      <c r="L5" s="519">
        <f>PLANTILLA!X6</f>
        <v>4.6100000000000012</v>
      </c>
      <c r="M5" s="519">
        <f>PLANTILLA!Y6</f>
        <v>4.99</v>
      </c>
      <c r="N5" s="519">
        <f>PLANTILLA!Z6</f>
        <v>6.5444444444444434</v>
      </c>
      <c r="O5" s="519">
        <f>PLANTILLA!AA6</f>
        <v>3.99</v>
      </c>
      <c r="P5" s="519">
        <f>PLANTILLA!AB6</f>
        <v>15.778888888888888</v>
      </c>
      <c r="Q5" s="443">
        <f t="shared" si="4"/>
        <v>33</v>
      </c>
      <c r="R5" s="444">
        <f t="shared" ca="1" si="5"/>
        <v>110</v>
      </c>
      <c r="S5" s="193"/>
      <c r="T5" s="193"/>
      <c r="U5" s="193"/>
      <c r="V5" s="193"/>
      <c r="W5" s="193"/>
      <c r="X5" s="193"/>
      <c r="Y5" s="193"/>
      <c r="Z5" s="193"/>
      <c r="AA5" s="323">
        <f t="shared" si="6"/>
        <v>7.8</v>
      </c>
      <c r="AB5" s="539">
        <f>J5+(S5*S$2/6)</f>
        <v>10.3</v>
      </c>
      <c r="AC5" s="539">
        <f>K5+(T$2/45)</f>
        <v>10.794999999999998</v>
      </c>
      <c r="AD5" s="539">
        <f>L5+(U$2/34)</f>
        <v>4.6100000000000012</v>
      </c>
      <c r="AE5" s="539">
        <f>M5+(V$2/22)</f>
        <v>4.99</v>
      </c>
      <c r="AF5" s="539">
        <f>N5+(W$2/28)</f>
        <v>6.5444444444444434</v>
      </c>
      <c r="AG5" s="539">
        <f>O5+(X$2/24)+(Y$2/7)</f>
        <v>3.99</v>
      </c>
      <c r="AH5" s="539">
        <f>P5+(Z$2/2.5)+(Y$2/10)</f>
        <v>16.178888888888888</v>
      </c>
      <c r="AI5" s="456">
        <f t="shared" ref="AI5:AI23" si="12">AB5-J5</f>
        <v>0</v>
      </c>
      <c r="AJ5" s="456">
        <f t="shared" ref="AJ5:AJ23" si="13">AC5-K5</f>
        <v>0</v>
      </c>
      <c r="AK5" s="456">
        <f t="shared" ref="AK5:AK23" si="14">AD5-L5</f>
        <v>0</v>
      </c>
      <c r="AL5" s="456">
        <f t="shared" ref="AL5:AL23" si="15">AE5-M5</f>
        <v>0</v>
      </c>
      <c r="AM5" s="456">
        <f t="shared" ref="AM5:AM23" si="16">AF5-N5</f>
        <v>0</v>
      </c>
      <c r="AN5" s="456">
        <f t="shared" ref="AN5:AN23" si="17">AG5-O5</f>
        <v>0</v>
      </c>
      <c r="AO5" s="456">
        <f t="shared" ref="AO5:AO23" si="18">AH5-P5</f>
        <v>0.40000000000000036</v>
      </c>
      <c r="AQ5" s="458" t="s">
        <v>704</v>
      </c>
      <c r="AR5" s="332" t="str">
        <f>D20</f>
        <v>B. Pinczehelyi</v>
      </c>
      <c r="AS5" s="463">
        <f>(AJ20*0.919)</f>
        <v>0</v>
      </c>
      <c r="AT5" s="463">
        <v>0</v>
      </c>
      <c r="AU5" s="463">
        <f>AJ20*0.414</f>
        <v>0</v>
      </c>
      <c r="AV5" s="463">
        <f>AK20*0.167</f>
        <v>0</v>
      </c>
      <c r="AW5" s="463">
        <f>AL20*0.588</f>
        <v>0</v>
      </c>
      <c r="AX5" s="463">
        <v>0</v>
      </c>
      <c r="AY5" s="463">
        <v>0</v>
      </c>
      <c r="AZ5" s="466">
        <f>(0.5*AN20+0.3*AO20)/10</f>
        <v>0.03</v>
      </c>
      <c r="BA5" s="466">
        <f>(0.4*AJ20+0.3*AO20)/10</f>
        <v>0.03</v>
      </c>
      <c r="BB5" s="466">
        <f>((AC20+1)+(AF20+1)*2)/8</f>
        <v>4.5049999999999999</v>
      </c>
      <c r="BC5" s="466">
        <f>((AJ20)+(AM20)*2)/8</f>
        <v>0</v>
      </c>
      <c r="BE5" s="458" t="s">
        <v>704</v>
      </c>
      <c r="BF5" s="332" t="str">
        <f>AR19</f>
        <v>B. Pinczehelyi</v>
      </c>
      <c r="BG5" s="464">
        <f>AS19</f>
        <v>0</v>
      </c>
      <c r="BH5" s="464">
        <f t="shared" ref="BH5:BQ5" si="19">AT19</f>
        <v>0</v>
      </c>
      <c r="BI5" s="464">
        <f t="shared" si="19"/>
        <v>0</v>
      </c>
      <c r="BJ5" s="464">
        <f t="shared" si="19"/>
        <v>0</v>
      </c>
      <c r="BK5" s="464">
        <f t="shared" si="19"/>
        <v>0</v>
      </c>
      <c r="BL5" s="464">
        <f t="shared" si="19"/>
        <v>0</v>
      </c>
      <c r="BM5" s="464">
        <f t="shared" si="19"/>
        <v>0</v>
      </c>
      <c r="BN5" s="467">
        <f t="shared" si="19"/>
        <v>0.03</v>
      </c>
      <c r="BO5" s="467">
        <f t="shared" si="19"/>
        <v>0.03</v>
      </c>
      <c r="BP5" s="467">
        <f t="shared" si="19"/>
        <v>4.5049999999999999</v>
      </c>
      <c r="BQ5" s="467">
        <f t="shared" si="19"/>
        <v>0</v>
      </c>
      <c r="BS5" s="275" t="s">
        <v>749</v>
      </c>
      <c r="BT5" s="473">
        <v>1</v>
      </c>
      <c r="BU5" s="474">
        <v>0.877</v>
      </c>
      <c r="BV5" s="475">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19" t="e">
        <f>PLANTILLA!#REF!</f>
        <v>#REF!</v>
      </c>
      <c r="K6" s="519" t="e">
        <f>PLANTILLA!#REF!</f>
        <v>#REF!</v>
      </c>
      <c r="L6" s="519" t="e">
        <f>PLANTILLA!#REF!</f>
        <v>#REF!</v>
      </c>
      <c r="M6" s="519" t="e">
        <f>PLANTILLA!#REF!</f>
        <v>#REF!</v>
      </c>
      <c r="N6" s="519" t="e">
        <f>PLANTILLA!#REF!</f>
        <v>#REF!</v>
      </c>
      <c r="O6" s="519" t="e">
        <f>PLANTILLA!#REF!</f>
        <v>#REF!</v>
      </c>
      <c r="P6" s="519" t="e">
        <f>PLANTILLA!#REF!</f>
        <v>#REF!</v>
      </c>
      <c r="Q6" s="443" t="e">
        <f t="shared" si="4"/>
        <v>#REF!</v>
      </c>
      <c r="R6" s="444" t="e">
        <f t="shared" si="5"/>
        <v>#REF!</v>
      </c>
      <c r="S6" s="193"/>
      <c r="T6" s="193"/>
      <c r="U6" s="193"/>
      <c r="V6" s="193"/>
      <c r="W6" s="193"/>
      <c r="X6" s="193"/>
      <c r="Y6" s="193"/>
      <c r="Z6" s="193"/>
      <c r="AA6" s="323" t="e">
        <f t="shared" si="6"/>
        <v>#REF!</v>
      </c>
      <c r="AB6" s="539" t="e">
        <f t="shared" ref="AB6:AB23" si="20">J6+(S6*S$2/5)</f>
        <v>#REF!</v>
      </c>
      <c r="AC6" s="539" t="e">
        <f>K6+(T$2/53)</f>
        <v>#REF!</v>
      </c>
      <c r="AD6" s="539" t="e">
        <f>L6+(U$2/32)</f>
        <v>#REF!</v>
      </c>
      <c r="AE6" s="539" t="e">
        <f>M6+(V$2/17)</f>
        <v>#REF!</v>
      </c>
      <c r="AF6" s="539" t="e">
        <f>N6+(W$2/23)</f>
        <v>#REF!</v>
      </c>
      <c r="AG6" s="539" t="e">
        <f>O6+(X$2/17)+(Y$2/5)</f>
        <v>#REF!</v>
      </c>
      <c r="AH6" s="539" t="e">
        <f>P6+(Z$2/2)+(Y$2/10)</f>
        <v>#REF!</v>
      </c>
      <c r="AI6" s="456" t="e">
        <f t="shared" si="12"/>
        <v>#REF!</v>
      </c>
      <c r="AJ6" s="456" t="e">
        <f t="shared" si="13"/>
        <v>#REF!</v>
      </c>
      <c r="AK6" s="456" t="e">
        <f t="shared" si="14"/>
        <v>#REF!</v>
      </c>
      <c r="AL6" s="456" t="e">
        <f t="shared" si="15"/>
        <v>#REF!</v>
      </c>
      <c r="AM6" s="456" t="e">
        <f t="shared" si="16"/>
        <v>#REF!</v>
      </c>
      <c r="AN6" s="456" t="e">
        <f t="shared" si="17"/>
        <v>#REF!</v>
      </c>
      <c r="AO6" s="456" t="e">
        <f t="shared" si="18"/>
        <v>#REF!</v>
      </c>
      <c r="AQ6" s="459" t="s">
        <v>737</v>
      </c>
      <c r="AR6" s="332" t="str">
        <f>D16</f>
        <v>E. Gross</v>
      </c>
      <c r="AS6" s="464">
        <f>AJ16*0.378</f>
        <v>0</v>
      </c>
      <c r="AT6" s="464">
        <f>AS6</f>
        <v>0</v>
      </c>
      <c r="AU6" s="464">
        <f>AJ16*1</f>
        <v>0</v>
      </c>
      <c r="AV6" s="464">
        <f>AK16*0.236</f>
        <v>0</v>
      </c>
      <c r="AW6" s="464">
        <v>0</v>
      </c>
      <c r="AX6" s="464">
        <v>0</v>
      </c>
      <c r="AY6" s="464">
        <v>0</v>
      </c>
      <c r="AZ6" s="467">
        <f>(0.5*AN16+0.3*AO16)/10</f>
        <v>1.1999999999999957E-2</v>
      </c>
      <c r="BA6" s="467">
        <f>(0.4*AJ16+0.3*AO16)/10</f>
        <v>1.1999999999999957E-2</v>
      </c>
      <c r="BB6" s="466">
        <f>((AC16+1)+(AF16+1)*2)/8</f>
        <v>3.9787499999999998</v>
      </c>
      <c r="BC6" s="466">
        <f>((AJ16)+(AM16)*2)/8</f>
        <v>0</v>
      </c>
      <c r="BE6" s="459" t="s">
        <v>789</v>
      </c>
      <c r="BF6" s="285" t="str">
        <f>BF20</f>
        <v>D. Toh</v>
      </c>
      <c r="BG6" s="464">
        <f>BG20</f>
        <v>0</v>
      </c>
      <c r="BH6" s="464">
        <f t="shared" ref="BH6:BM6" si="21">BH20</f>
        <v>0</v>
      </c>
      <c r="BI6" s="464">
        <f t="shared" si="21"/>
        <v>0</v>
      </c>
      <c r="BJ6" s="464">
        <f t="shared" si="21"/>
        <v>0</v>
      </c>
      <c r="BK6" s="464">
        <f t="shared" si="21"/>
        <v>0</v>
      </c>
      <c r="BL6" s="464">
        <f t="shared" si="21"/>
        <v>0</v>
      </c>
      <c r="BM6" s="464">
        <f t="shared" si="21"/>
        <v>0</v>
      </c>
      <c r="BN6" s="467">
        <f>(0.5*AN7+0.3*AO7)/10</f>
        <v>1.2000000000000011E-2</v>
      </c>
      <c r="BO6" s="467">
        <f>(0.4*AJ7+0.3*AO7)/10</f>
        <v>1.2000000000000011E-2</v>
      </c>
      <c r="BP6" s="466">
        <f>((AC7+1)+(AF7+1)*2)/8</f>
        <v>3.6806944444444447</v>
      </c>
      <c r="BQ6" s="466">
        <f>((AJ7)+(AM7)*2)/8</f>
        <v>0</v>
      </c>
      <c r="BS6" s="275" t="s">
        <v>750</v>
      </c>
      <c r="BT6" s="473">
        <v>1</v>
      </c>
      <c r="BU6" s="474">
        <v>0.59299999999999997</v>
      </c>
      <c r="BV6" s="475">
        <v>0.19</v>
      </c>
      <c r="BW6" s="363">
        <f t="shared" si="2"/>
        <v>1.9</v>
      </c>
      <c r="BX6" s="363">
        <f t="shared" si="3"/>
        <v>2.85</v>
      </c>
    </row>
    <row r="7" spans="1:76" s="288" customFormat="1" x14ac:dyDescent="0.25">
      <c r="A7" s="332" t="s">
        <v>717</v>
      </c>
      <c r="B7" s="285" t="s">
        <v>2</v>
      </c>
      <c r="C7" s="286">
        <f t="shared" ca="1" si="11"/>
        <v>1.6517857142857142</v>
      </c>
      <c r="D7" s="321" t="s">
        <v>315</v>
      </c>
      <c r="E7" s="419">
        <f>PLANTILLA!E8</f>
        <v>31</v>
      </c>
      <c r="F7" s="419">
        <f ca="1">PLANTILLA!F8</f>
        <v>39</v>
      </c>
      <c r="G7" s="420" t="s">
        <v>595</v>
      </c>
      <c r="H7" s="426">
        <v>5</v>
      </c>
      <c r="I7" s="335">
        <f>PLANTILLA!I8</f>
        <v>7.5</v>
      </c>
      <c r="J7" s="519">
        <f>PLANTILLA!V8</f>
        <v>0</v>
      </c>
      <c r="K7" s="519">
        <f>PLANTILLA!W8</f>
        <v>11</v>
      </c>
      <c r="L7" s="519">
        <f>PLANTILLA!X8</f>
        <v>6.1594444444444418</v>
      </c>
      <c r="M7" s="519">
        <f>PLANTILLA!Y8</f>
        <v>5.98</v>
      </c>
      <c r="N7" s="519">
        <f>PLANTILLA!Z8</f>
        <v>7.7227777777777789</v>
      </c>
      <c r="O7" s="519">
        <f>PLANTILLA!AA8</f>
        <v>4.383333333333332</v>
      </c>
      <c r="P7" s="519">
        <f>PLANTILLA!AB8</f>
        <v>15.349999999999998</v>
      </c>
      <c r="Q7" s="443">
        <f t="shared" si="4"/>
        <v>31</v>
      </c>
      <c r="R7" s="444">
        <f t="shared" ca="1" si="5"/>
        <v>46</v>
      </c>
      <c r="S7" s="193"/>
      <c r="T7" s="193"/>
      <c r="U7" s="193"/>
      <c r="V7" s="193"/>
      <c r="W7" s="193"/>
      <c r="X7" s="193"/>
      <c r="Y7" s="193"/>
      <c r="Z7" s="193"/>
      <c r="AA7" s="323">
        <f t="shared" si="6"/>
        <v>7.5</v>
      </c>
      <c r="AB7" s="539">
        <f t="shared" si="20"/>
        <v>0</v>
      </c>
      <c r="AC7" s="539">
        <f>K7+(T$2/11)</f>
        <v>11</v>
      </c>
      <c r="AD7" s="539">
        <f>L7+(U$2/6.5)</f>
        <v>6.1594444444444418</v>
      </c>
      <c r="AE7" s="539">
        <f>M7+(V$2/62)</f>
        <v>5.98</v>
      </c>
      <c r="AF7" s="539">
        <f>N7+(W$2/7)</f>
        <v>7.7227777777777789</v>
      </c>
      <c r="AG7" s="539">
        <f>O7+(X$2/21)+(Y$2/7)</f>
        <v>4.383333333333332</v>
      </c>
      <c r="AH7" s="539">
        <f>P7+(Z$2/2.5)+(Y$2/10)</f>
        <v>15.749999999999998</v>
      </c>
      <c r="AI7" s="456">
        <f t="shared" si="12"/>
        <v>0</v>
      </c>
      <c r="AJ7" s="456">
        <f t="shared" si="13"/>
        <v>0</v>
      </c>
      <c r="AK7" s="456">
        <f t="shared" si="14"/>
        <v>0</v>
      </c>
      <c r="AL7" s="456">
        <f t="shared" si="15"/>
        <v>0</v>
      </c>
      <c r="AM7" s="456">
        <f t="shared" si="16"/>
        <v>0</v>
      </c>
      <c r="AN7" s="456">
        <f t="shared" si="17"/>
        <v>0</v>
      </c>
      <c r="AO7" s="456">
        <f t="shared" si="18"/>
        <v>0.40000000000000036</v>
      </c>
      <c r="AQ7" s="459" t="s">
        <v>704</v>
      </c>
      <c r="AR7" s="332" t="str">
        <f>D8</f>
        <v>E. Toney</v>
      </c>
      <c r="AS7" s="464">
        <v>0</v>
      </c>
      <c r="AT7" s="464">
        <f>AJ8*0.919</f>
        <v>0</v>
      </c>
      <c r="AU7" s="464">
        <f>AJ8*0.414</f>
        <v>0</v>
      </c>
      <c r="AV7" s="464">
        <f>AK8*0.167</f>
        <v>0</v>
      </c>
      <c r="AW7" s="464">
        <v>0</v>
      </c>
      <c r="AX7" s="464">
        <f>AL8*0.588</f>
        <v>0</v>
      </c>
      <c r="AY7" s="464">
        <v>0</v>
      </c>
      <c r="AZ7" s="467">
        <f>(0.5*AN8+0.3*AO8)/10</f>
        <v>1.1999999999999957E-2</v>
      </c>
      <c r="BA7" s="467">
        <f>(0.4*AJ8+0.3*AO8)/10</f>
        <v>1.1999999999999957E-2</v>
      </c>
      <c r="BB7" s="466">
        <f>((AC8+1)+(AF8+1)*2)/8</f>
        <v>4.2825000000000006</v>
      </c>
      <c r="BC7" s="466">
        <f>((AJ8)+(AM8)*2)/8</f>
        <v>0</v>
      </c>
      <c r="BE7" s="459" t="s">
        <v>704</v>
      </c>
      <c r="BF7" s="285" t="str">
        <f>BF23</f>
        <v>E.Romweber</v>
      </c>
      <c r="BG7" s="464">
        <f>BG23</f>
        <v>0</v>
      </c>
      <c r="BH7" s="464">
        <f t="shared" ref="BH7:BM7" si="22">BH23</f>
        <v>0</v>
      </c>
      <c r="BI7" s="464">
        <f t="shared" si="22"/>
        <v>0</v>
      </c>
      <c r="BJ7" s="464">
        <f t="shared" si="22"/>
        <v>0</v>
      </c>
      <c r="BK7" s="464">
        <f t="shared" si="22"/>
        <v>0</v>
      </c>
      <c r="BL7" s="464">
        <f t="shared" si="22"/>
        <v>0</v>
      </c>
      <c r="BM7" s="464">
        <f t="shared" si="22"/>
        <v>0</v>
      </c>
      <c r="BN7" s="467">
        <f>BN23</f>
        <v>1.1999999999999957E-2</v>
      </c>
      <c r="BO7" s="467">
        <f t="shared" ref="BO7:BQ7" si="23">BO23</f>
        <v>1.1999999999999957E-2</v>
      </c>
      <c r="BP7" s="467">
        <f t="shared" si="23"/>
        <v>4.6012500000000003</v>
      </c>
      <c r="BQ7" s="467">
        <f t="shared" si="23"/>
        <v>0</v>
      </c>
    </row>
    <row r="8" spans="1:76" s="289" customFormat="1" x14ac:dyDescent="0.25">
      <c r="A8" s="416" t="s">
        <v>447</v>
      </c>
      <c r="B8" s="416" t="s">
        <v>2</v>
      </c>
      <c r="C8" s="417">
        <f t="shared" ca="1" si="11"/>
        <v>2.0625</v>
      </c>
      <c r="D8" s="418" t="s">
        <v>309</v>
      </c>
      <c r="E8" s="419">
        <f>PLANTILLA!E9</f>
        <v>30</v>
      </c>
      <c r="F8" s="419">
        <f ca="1">PLANTILLA!F9</f>
        <v>105</v>
      </c>
      <c r="G8" s="420"/>
      <c r="H8" s="426">
        <v>5</v>
      </c>
      <c r="I8" s="335">
        <f>PLANTILLA!I9</f>
        <v>12.1</v>
      </c>
      <c r="J8" s="519">
        <f>PLANTILLA!V9</f>
        <v>0</v>
      </c>
      <c r="K8" s="519">
        <f>PLANTILLA!W9</f>
        <v>12.060000000000004</v>
      </c>
      <c r="L8" s="519">
        <f>PLANTILLA!X9</f>
        <v>13.020999999999999</v>
      </c>
      <c r="M8" s="519">
        <f>PLANTILLA!Y9</f>
        <v>9.7100000000000062</v>
      </c>
      <c r="N8" s="519">
        <f>PLANTILLA!Z9</f>
        <v>9.6</v>
      </c>
      <c r="O8" s="519">
        <f>PLANTILLA!AA9</f>
        <v>3.6816666666666658</v>
      </c>
      <c r="P8" s="519">
        <f>PLANTILLA!AB9</f>
        <v>16.627777777777773</v>
      </c>
      <c r="Q8" s="443">
        <f t="shared" si="4"/>
        <v>30</v>
      </c>
      <c r="R8" s="444">
        <f t="shared" ca="1" si="5"/>
        <v>112</v>
      </c>
      <c r="S8" s="193"/>
      <c r="T8" s="193"/>
      <c r="U8" s="193"/>
      <c r="V8" s="193"/>
      <c r="W8" s="193"/>
      <c r="X8" s="193"/>
      <c r="Y8" s="193"/>
      <c r="Z8" s="193"/>
      <c r="AA8" s="323">
        <f t="shared" si="6"/>
        <v>12.1</v>
      </c>
      <c r="AB8" s="539">
        <f t="shared" si="20"/>
        <v>0</v>
      </c>
      <c r="AC8" s="539">
        <f>K8+(T$2/11)</f>
        <v>12.060000000000004</v>
      </c>
      <c r="AD8" s="539">
        <f>L8+(U$2/29)</f>
        <v>13.020999999999999</v>
      </c>
      <c r="AE8" s="539">
        <f>M8+(V$2/13)</f>
        <v>9.7100000000000062</v>
      </c>
      <c r="AF8" s="539">
        <f>N8+(W$2/8)</f>
        <v>9.6</v>
      </c>
      <c r="AG8" s="539">
        <f>O8+(X$2/19)+(Y$2/6)</f>
        <v>3.6816666666666658</v>
      </c>
      <c r="AH8" s="539">
        <f>P8+(Z$2/2.5)+(Y$2/10)</f>
        <v>17.027777777777771</v>
      </c>
      <c r="AI8" s="456">
        <f t="shared" si="12"/>
        <v>0</v>
      </c>
      <c r="AJ8" s="456">
        <f t="shared" si="13"/>
        <v>0</v>
      </c>
      <c r="AK8" s="456">
        <f t="shared" si="14"/>
        <v>0</v>
      </c>
      <c r="AL8" s="456">
        <f t="shared" si="15"/>
        <v>0</v>
      </c>
      <c r="AM8" s="456">
        <f t="shared" si="16"/>
        <v>0</v>
      </c>
      <c r="AN8" s="456">
        <f t="shared" si="17"/>
        <v>0</v>
      </c>
      <c r="AO8" s="456">
        <f t="shared" si="18"/>
        <v>0.39999999999999858</v>
      </c>
      <c r="AQ8" s="562" t="s">
        <v>790</v>
      </c>
      <c r="AR8" s="331" t="str">
        <f>D11</f>
        <v>E.Romweber</v>
      </c>
      <c r="AS8" s="462">
        <f>AJ11*0.349</f>
        <v>0</v>
      </c>
      <c r="AT8" s="462">
        <v>0</v>
      </c>
      <c r="AU8" s="462">
        <f>AJ11*0.201</f>
        <v>0</v>
      </c>
      <c r="AV8" s="462">
        <f>AK11*0.455</f>
        <v>0</v>
      </c>
      <c r="AW8" s="462">
        <f>(AL11*0.864)+(AM11*0.244)</f>
        <v>0</v>
      </c>
      <c r="AX8" s="462">
        <v>0</v>
      </c>
      <c r="AY8" s="462">
        <f>(AM11*0.121)</f>
        <v>0</v>
      </c>
      <c r="AZ8" s="467">
        <f>(0.5*AN11+0.3*AO11)/10</f>
        <v>1.1999999999999957E-2</v>
      </c>
      <c r="BA8" s="467">
        <f>(0.4*AJ11+0.3*AO11)/10</f>
        <v>1.1999999999999957E-2</v>
      </c>
      <c r="BB8" s="465">
        <v>0</v>
      </c>
      <c r="BC8" s="465">
        <v>0</v>
      </c>
      <c r="BE8" s="562" t="s">
        <v>791</v>
      </c>
      <c r="BF8" s="331" t="str">
        <f>D12</f>
        <v>K. Helms</v>
      </c>
      <c r="BG8" s="464">
        <f>BG24</f>
        <v>0</v>
      </c>
      <c r="BH8" s="464">
        <f t="shared" ref="BH8:BQ8" si="24">BH24</f>
        <v>0</v>
      </c>
      <c r="BI8" s="464">
        <f t="shared" si="24"/>
        <v>0</v>
      </c>
      <c r="BJ8" s="464">
        <f t="shared" si="24"/>
        <v>0</v>
      </c>
      <c r="BK8" s="464">
        <f t="shared" si="24"/>
        <v>0</v>
      </c>
      <c r="BL8" s="464">
        <f t="shared" si="24"/>
        <v>0</v>
      </c>
      <c r="BM8" s="464">
        <f t="shared" si="24"/>
        <v>0</v>
      </c>
      <c r="BN8" s="467">
        <f t="shared" si="24"/>
        <v>1.1999999999999957E-2</v>
      </c>
      <c r="BO8" s="467">
        <f t="shared" si="24"/>
        <v>1.1999999999999957E-2</v>
      </c>
      <c r="BP8" s="467">
        <f t="shared" si="24"/>
        <v>0</v>
      </c>
      <c r="BQ8" s="467">
        <f t="shared" si="24"/>
        <v>0</v>
      </c>
    </row>
    <row r="9" spans="1:76" s="288" customFormat="1" x14ac:dyDescent="0.25">
      <c r="A9" s="416" t="s">
        <v>451</v>
      </c>
      <c r="B9" s="285" t="s">
        <v>2</v>
      </c>
      <c r="C9" s="286">
        <f t="shared" ca="1" si="11"/>
        <v>2.1964285714285716</v>
      </c>
      <c r="D9" s="321" t="s">
        <v>313</v>
      </c>
      <c r="E9" s="419">
        <f>PLANTILLA!E10</f>
        <v>30</v>
      </c>
      <c r="F9" s="419">
        <f ca="1">PLANTILLA!F10</f>
        <v>90</v>
      </c>
      <c r="G9" s="420"/>
      <c r="H9" s="401">
        <v>4</v>
      </c>
      <c r="I9" s="335">
        <f>PLANTILLA!I10</f>
        <v>9.1999999999999993</v>
      </c>
      <c r="J9" s="519">
        <f>PLANTILLA!V10</f>
        <v>0</v>
      </c>
      <c r="K9" s="519">
        <f>PLANTILLA!W10</f>
        <v>11.649999999999997</v>
      </c>
      <c r="L9" s="519">
        <f>PLANTILLA!X10</f>
        <v>6.6275000000000022</v>
      </c>
      <c r="M9" s="519">
        <f>PLANTILLA!Y10</f>
        <v>7.3600000000000012</v>
      </c>
      <c r="N9" s="519">
        <f>PLANTILLA!Z10</f>
        <v>9.0199999999999978</v>
      </c>
      <c r="O9" s="519">
        <f>PLANTILLA!AA10</f>
        <v>4.6199999999999966</v>
      </c>
      <c r="P9" s="519">
        <f>PLANTILLA!AB10</f>
        <v>15.6</v>
      </c>
      <c r="Q9" s="443">
        <f t="shared" si="4"/>
        <v>30</v>
      </c>
      <c r="R9" s="444">
        <f t="shared" ca="1" si="5"/>
        <v>97</v>
      </c>
      <c r="S9" s="193"/>
      <c r="T9" s="193"/>
      <c r="U9" s="193"/>
      <c r="V9" s="193"/>
      <c r="W9" s="193"/>
      <c r="X9" s="193"/>
      <c r="Y9" s="193"/>
      <c r="Z9" s="193"/>
      <c r="AA9" s="323">
        <f t="shared" si="6"/>
        <v>9.1999999999999993</v>
      </c>
      <c r="AB9" s="539">
        <f t="shared" si="20"/>
        <v>0</v>
      </c>
      <c r="AC9" s="539">
        <f>K9+(T$2/10)</f>
        <v>11.649999999999997</v>
      </c>
      <c r="AD9" s="539">
        <f>L9+(U$2/31)</f>
        <v>6.6275000000000022</v>
      </c>
      <c r="AE9" s="539">
        <f>M9+(V$2/6)</f>
        <v>7.3600000000000012</v>
      </c>
      <c r="AF9" s="539">
        <f>N9+(W$2/7)</f>
        <v>9.0199999999999978</v>
      </c>
      <c r="AG9" s="539">
        <f>O9+(X$2/21)+(Y$2/7)</f>
        <v>4.6199999999999966</v>
      </c>
      <c r="AH9" s="539">
        <f>P9+(Z$2/2)+(Y$2/10)</f>
        <v>16.100000000000001</v>
      </c>
      <c r="AI9" s="456">
        <f t="shared" si="12"/>
        <v>0</v>
      </c>
      <c r="AJ9" s="456">
        <f t="shared" si="13"/>
        <v>0</v>
      </c>
      <c r="AK9" s="456">
        <f t="shared" si="14"/>
        <v>0</v>
      </c>
      <c r="AL9" s="456">
        <f t="shared" si="15"/>
        <v>0</v>
      </c>
      <c r="AM9" s="456">
        <f t="shared" si="16"/>
        <v>0</v>
      </c>
      <c r="AN9" s="456">
        <f t="shared" si="17"/>
        <v>0</v>
      </c>
      <c r="AO9" s="456">
        <f t="shared" si="18"/>
        <v>0.50000000000000178</v>
      </c>
      <c r="AQ9" s="459" t="s">
        <v>596</v>
      </c>
      <c r="AR9" s="285" t="str">
        <f>D14</f>
        <v>S. Buscleman</v>
      </c>
      <c r="AS9" s="464">
        <f>AJ14*0.291</f>
        <v>0</v>
      </c>
      <c r="AT9" s="464">
        <v>0</v>
      </c>
      <c r="AU9" s="464">
        <f>AJ14*0.348</f>
        <v>0</v>
      </c>
      <c r="AV9" s="464">
        <f>AK14*0.881</f>
        <v>0</v>
      </c>
      <c r="AW9" s="464">
        <f>(AL14*0.574)+(AM14*0.315)</f>
        <v>0</v>
      </c>
      <c r="AX9" s="464">
        <v>0</v>
      </c>
      <c r="AY9" s="464">
        <f>AM14*0.241</f>
        <v>0</v>
      </c>
      <c r="AZ9" s="467">
        <f>(0.5*AN14+0.3*AO14)/10</f>
        <v>0.03</v>
      </c>
      <c r="BA9" s="467">
        <f>(0.4*AJ14+0.3*AO14)/10</f>
        <v>0.03</v>
      </c>
      <c r="BB9" s="467">
        <v>0</v>
      </c>
      <c r="BC9" s="467">
        <v>0</v>
      </c>
      <c r="BE9" s="459" t="s">
        <v>596</v>
      </c>
      <c r="BF9" s="285" t="str">
        <f>D14</f>
        <v>S. Buscleman</v>
      </c>
      <c r="BG9" s="464">
        <f t="shared" ref="BG9:BM9" si="25">AS9</f>
        <v>0</v>
      </c>
      <c r="BH9" s="464">
        <f t="shared" si="25"/>
        <v>0</v>
      </c>
      <c r="BI9" s="464">
        <f t="shared" si="25"/>
        <v>0</v>
      </c>
      <c r="BJ9" s="464">
        <f t="shared" si="25"/>
        <v>0</v>
      </c>
      <c r="BK9" s="464">
        <f t="shared" si="25"/>
        <v>0</v>
      </c>
      <c r="BL9" s="464">
        <f t="shared" si="25"/>
        <v>0</v>
      </c>
      <c r="BM9" s="464">
        <f t="shared" si="25"/>
        <v>0</v>
      </c>
      <c r="BN9" s="467">
        <f t="shared" ref="BN9" si="26">AZ9</f>
        <v>0.03</v>
      </c>
      <c r="BO9" s="467">
        <f>BA9</f>
        <v>0.03</v>
      </c>
      <c r="BP9" s="467">
        <f>BB9</f>
        <v>0</v>
      </c>
      <c r="BQ9" s="467">
        <f>BC9</f>
        <v>0</v>
      </c>
    </row>
    <row r="10" spans="1:76" s="4" customFormat="1" x14ac:dyDescent="0.25">
      <c r="A10" s="331" t="s">
        <v>703</v>
      </c>
      <c r="B10" s="285" t="s">
        <v>2</v>
      </c>
      <c r="C10" s="286">
        <f t="shared" ca="1" si="11"/>
        <v>5.9910714285714288</v>
      </c>
      <c r="D10" s="321" t="s">
        <v>702</v>
      </c>
      <c r="E10" s="419">
        <f>PLANTILLA!E11</f>
        <v>27</v>
      </c>
      <c r="F10" s="419">
        <f ca="1">PLANTILLA!F11</f>
        <v>1</v>
      </c>
      <c r="G10" s="420"/>
      <c r="H10" s="426">
        <v>5</v>
      </c>
      <c r="I10" s="335">
        <f>PLANTILLA!I11</f>
        <v>4.9000000000000004</v>
      </c>
      <c r="J10" s="519">
        <f>PLANTILLA!V11</f>
        <v>0</v>
      </c>
      <c r="K10" s="519">
        <f>PLANTILLA!W11</f>
        <v>9.5796666666666663</v>
      </c>
      <c r="L10" s="519">
        <f>PLANTILLA!X11</f>
        <v>7.7107222222222234</v>
      </c>
      <c r="M10" s="519">
        <f>PLANTILLA!Y11</f>
        <v>6.129999999999999</v>
      </c>
      <c r="N10" s="519">
        <f>PLANTILLA!Z11</f>
        <v>8.8633333333333315</v>
      </c>
      <c r="O10" s="519">
        <f>PLANTILLA!AA11</f>
        <v>3.2566666666666673</v>
      </c>
      <c r="P10" s="519">
        <f>PLANTILLA!AB11</f>
        <v>13.238888888888889</v>
      </c>
      <c r="Q10" s="443">
        <f t="shared" si="4"/>
        <v>27</v>
      </c>
      <c r="R10" s="444">
        <f t="shared" ca="1" si="5"/>
        <v>8</v>
      </c>
      <c r="S10" s="193"/>
      <c r="T10" s="193"/>
      <c r="U10" s="193"/>
      <c r="V10" s="193"/>
      <c r="W10" s="193"/>
      <c r="X10" s="193"/>
      <c r="Y10" s="193"/>
      <c r="Z10" s="193"/>
      <c r="AA10" s="323">
        <f t="shared" si="6"/>
        <v>4.9000000000000004</v>
      </c>
      <c r="AB10" s="539">
        <f t="shared" si="20"/>
        <v>0</v>
      </c>
      <c r="AC10" s="539">
        <f>K10+(T$2/25)</f>
        <v>9.5796666666666663</v>
      </c>
      <c r="AD10" s="539">
        <f>L10+(U$2/37)</f>
        <v>7.7107222222222234</v>
      </c>
      <c r="AE10" s="539">
        <f>M10+(V$2/20)</f>
        <v>6.129999999999999</v>
      </c>
      <c r="AF10" s="539">
        <f>N10+(W$2/8)</f>
        <v>8.8633333333333315</v>
      </c>
      <c r="AG10" s="539">
        <f>O10+(X$2/18)+(Y$2/5)</f>
        <v>3.2566666666666673</v>
      </c>
      <c r="AH10" s="539">
        <f>P10+(Z$2/1.2)+(Y$2/10)</f>
        <v>14.072222222222223</v>
      </c>
      <c r="AI10" s="456">
        <f t="shared" si="12"/>
        <v>0</v>
      </c>
      <c r="AJ10" s="456">
        <f t="shared" si="13"/>
        <v>0</v>
      </c>
      <c r="AK10" s="456">
        <f t="shared" si="14"/>
        <v>0</v>
      </c>
      <c r="AL10" s="456">
        <f t="shared" si="15"/>
        <v>0</v>
      </c>
      <c r="AM10" s="456">
        <f t="shared" si="16"/>
        <v>0</v>
      </c>
      <c r="AN10" s="456">
        <f t="shared" si="17"/>
        <v>0</v>
      </c>
      <c r="AO10" s="456">
        <f t="shared" si="18"/>
        <v>0.83333333333333393</v>
      </c>
      <c r="AQ10" s="459" t="s">
        <v>792</v>
      </c>
      <c r="AR10" s="285" t="str">
        <f>D17</f>
        <v>L. Bauman</v>
      </c>
      <c r="AS10" s="464">
        <f>AJ17*0.057</f>
        <v>0</v>
      </c>
      <c r="AT10" s="464">
        <f>AS10</f>
        <v>0</v>
      </c>
      <c r="AU10" s="464">
        <f>AJ17*0.162</f>
        <v>0</v>
      </c>
      <c r="AV10" s="464">
        <f>AK17*0.944</f>
        <v>0</v>
      </c>
      <c r="AW10" s="464">
        <f>AM17*0.188</f>
        <v>0</v>
      </c>
      <c r="AX10" s="464">
        <f>AW10</f>
        <v>0</v>
      </c>
      <c r="AY10" s="464">
        <f>AM17*0.507+AN17*0.31</f>
        <v>0</v>
      </c>
      <c r="AZ10" s="467">
        <f>(0.5*AN17+0.3*AO17)/10</f>
        <v>1.1999999999999957E-2</v>
      </c>
      <c r="BA10" s="467">
        <f>(0.4*AJ17+0.3*AO17)/10</f>
        <v>1.1999999999999957E-2</v>
      </c>
      <c r="BB10" s="467">
        <v>0</v>
      </c>
      <c r="BC10" s="467">
        <v>0</v>
      </c>
      <c r="BE10" s="459" t="s">
        <v>789</v>
      </c>
      <c r="BF10" s="285" t="str">
        <f>BF22</f>
        <v>B. Bartolache</v>
      </c>
      <c r="BG10" s="464">
        <f>BG22</f>
        <v>0</v>
      </c>
      <c r="BH10" s="464">
        <f t="shared" ref="BH10:BM10" si="27">BH22</f>
        <v>0</v>
      </c>
      <c r="BI10" s="464">
        <f t="shared" si="27"/>
        <v>0</v>
      </c>
      <c r="BJ10" s="464">
        <f t="shared" si="27"/>
        <v>0</v>
      </c>
      <c r="BK10" s="464">
        <f t="shared" si="27"/>
        <v>0</v>
      </c>
      <c r="BL10" s="464">
        <f t="shared" si="27"/>
        <v>0</v>
      </c>
      <c r="BM10" s="464">
        <f t="shared" si="27"/>
        <v>0</v>
      </c>
      <c r="BN10" s="467">
        <f>AZ7</f>
        <v>1.1999999999999957E-2</v>
      </c>
      <c r="BO10" s="467">
        <f>BA7</f>
        <v>1.1999999999999957E-2</v>
      </c>
      <c r="BP10" s="467">
        <f t="shared" ref="BP10:BQ10" si="28">BP22</f>
        <v>4.2825000000000006</v>
      </c>
      <c r="BQ10" s="467">
        <f t="shared" si="28"/>
        <v>0</v>
      </c>
    </row>
    <row r="11" spans="1:76" x14ac:dyDescent="0.25">
      <c r="A11" s="416" t="s">
        <v>445</v>
      </c>
      <c r="B11" s="416" t="s">
        <v>66</v>
      </c>
      <c r="C11" s="417">
        <f t="shared" ca="1" si="11"/>
        <v>2.4017857142857144</v>
      </c>
      <c r="D11" s="418" t="s">
        <v>310</v>
      </c>
      <c r="E11" s="419">
        <f>PLANTILLA!E12</f>
        <v>30</v>
      </c>
      <c r="F11" s="419">
        <f ca="1">PLANTILLA!F12</f>
        <v>67</v>
      </c>
      <c r="G11" s="420" t="s">
        <v>311</v>
      </c>
      <c r="H11" s="401">
        <v>1</v>
      </c>
      <c r="I11" s="335">
        <f>PLANTILLA!I12</f>
        <v>12.2</v>
      </c>
      <c r="J11" s="519">
        <f>PLANTILLA!V12</f>
        <v>0</v>
      </c>
      <c r="K11" s="519">
        <f>PLANTILLA!W12</f>
        <v>11.99</v>
      </c>
      <c r="L11" s="519">
        <f>PLANTILLA!X12</f>
        <v>12.399111111111115</v>
      </c>
      <c r="M11" s="519">
        <f>PLANTILLA!Y12</f>
        <v>13.05</v>
      </c>
      <c r="N11" s="519">
        <f>PLANTILLA!Z12</f>
        <v>10.91</v>
      </c>
      <c r="O11" s="519">
        <f>PLANTILLA!AA12</f>
        <v>7.7700000000000005</v>
      </c>
      <c r="P11" s="519">
        <f>PLANTILLA!AB12</f>
        <v>17.13</v>
      </c>
      <c r="Q11" s="443">
        <f t="shared" si="4"/>
        <v>30</v>
      </c>
      <c r="R11" s="444">
        <f t="shared" ca="1" si="5"/>
        <v>74</v>
      </c>
      <c r="S11" s="193"/>
      <c r="T11" s="193"/>
      <c r="U11" s="193"/>
      <c r="V11" s="193"/>
      <c r="W11" s="193"/>
      <c r="X11" s="193"/>
      <c r="Y11" s="193"/>
      <c r="Z11" s="193"/>
      <c r="AA11" s="323">
        <f t="shared" si="6"/>
        <v>12.2</v>
      </c>
      <c r="AB11" s="539">
        <f t="shared" si="20"/>
        <v>0</v>
      </c>
      <c r="AC11" s="539">
        <f>K11+(T$2/10)</f>
        <v>11.99</v>
      </c>
      <c r="AD11" s="539">
        <f>L11+(U$2/18)</f>
        <v>12.399111111111115</v>
      </c>
      <c r="AE11" s="539">
        <f>M11+(V$2/15)</f>
        <v>13.05</v>
      </c>
      <c r="AF11" s="539">
        <f>N11+(W$2/8)</f>
        <v>10.91</v>
      </c>
      <c r="AG11" s="539">
        <f>O11+(X$2/5)+(Y$2/4)/2</f>
        <v>7.7700000000000005</v>
      </c>
      <c r="AH11" s="539">
        <f>P11+(Z$2/2.5)+(Y$2/10)</f>
        <v>17.529999999999998</v>
      </c>
      <c r="AI11" s="456">
        <f t="shared" si="12"/>
        <v>0</v>
      </c>
      <c r="AJ11" s="456">
        <f t="shared" si="13"/>
        <v>0</v>
      </c>
      <c r="AK11" s="456">
        <f t="shared" si="14"/>
        <v>0</v>
      </c>
      <c r="AL11" s="456">
        <f t="shared" si="15"/>
        <v>0</v>
      </c>
      <c r="AM11" s="456">
        <f t="shared" si="16"/>
        <v>0</v>
      </c>
      <c r="AN11" s="456">
        <f t="shared" si="17"/>
        <v>0</v>
      </c>
      <c r="AO11" s="456">
        <f t="shared" si="18"/>
        <v>0.39999999999999858</v>
      </c>
      <c r="AQ11" s="459" t="s">
        <v>596</v>
      </c>
      <c r="AR11" s="285" t="str">
        <f>D15</f>
        <v>C. Rojas</v>
      </c>
      <c r="AS11" s="464">
        <v>0</v>
      </c>
      <c r="AT11" s="464">
        <f>AJ15*0.291</f>
        <v>0</v>
      </c>
      <c r="AU11" s="464">
        <f>AJ15*0.348</f>
        <v>0</v>
      </c>
      <c r="AV11" s="464">
        <f>AK15*0.881</f>
        <v>0</v>
      </c>
      <c r="AW11" s="464">
        <v>0</v>
      </c>
      <c r="AX11" s="464">
        <f>(AL15*0.574)+(AM15*0.314)</f>
        <v>0</v>
      </c>
      <c r="AY11" s="464">
        <f>AM15*0.241</f>
        <v>0</v>
      </c>
      <c r="AZ11" s="467">
        <f>(0.5*AN15+0.3*AO15)/10</f>
        <v>1.4999999999999999E-2</v>
      </c>
      <c r="BA11" s="467">
        <f>(0.4*AJ15+0.3*AO15)/10</f>
        <v>1.4999999999999999E-2</v>
      </c>
      <c r="BB11" s="467">
        <v>0</v>
      </c>
      <c r="BC11" s="467">
        <v>0</v>
      </c>
      <c r="BE11" s="459" t="s">
        <v>596</v>
      </c>
      <c r="BF11" s="285" t="str">
        <f>D15</f>
        <v>C. Rojas</v>
      </c>
      <c r="BG11" s="464">
        <f>BG26</f>
        <v>0</v>
      </c>
      <c r="BH11" s="464">
        <f t="shared" ref="BH11:BM11" si="29">BH26</f>
        <v>0</v>
      </c>
      <c r="BI11" s="464">
        <f t="shared" si="29"/>
        <v>0</v>
      </c>
      <c r="BJ11" s="464">
        <f t="shared" si="29"/>
        <v>0</v>
      </c>
      <c r="BK11" s="464">
        <f t="shared" si="29"/>
        <v>0</v>
      </c>
      <c r="BL11" s="464">
        <f t="shared" si="29"/>
        <v>0</v>
      </c>
      <c r="BM11" s="464">
        <f t="shared" si="29"/>
        <v>0</v>
      </c>
      <c r="BN11" s="467">
        <f>BN26</f>
        <v>1.4999999999999999E-2</v>
      </c>
      <c r="BO11" s="467">
        <f t="shared" ref="BO11:BQ11" si="30">BO26</f>
        <v>1.4999999999999999E-2</v>
      </c>
      <c r="BP11" s="467">
        <f t="shared" si="30"/>
        <v>0</v>
      </c>
      <c r="BQ11" s="467">
        <f t="shared" si="30"/>
        <v>0</v>
      </c>
    </row>
    <row r="12" spans="1:76" s="288" customFormat="1" x14ac:dyDescent="0.25">
      <c r="A12" s="416" t="s">
        <v>452</v>
      </c>
      <c r="B12" s="416" t="s">
        <v>66</v>
      </c>
      <c r="C12" s="417">
        <f t="shared" ca="1" si="11"/>
        <v>2.875</v>
      </c>
      <c r="D12" s="418" t="s">
        <v>338</v>
      </c>
      <c r="E12" s="419">
        <f>PLANTILLA!E13</f>
        <v>30</v>
      </c>
      <c r="F12" s="419">
        <f ca="1">PLANTILLA!F13</f>
        <v>14</v>
      </c>
      <c r="G12" s="420" t="s">
        <v>308</v>
      </c>
      <c r="H12" s="401">
        <v>3</v>
      </c>
      <c r="I12" s="335">
        <f>PLANTILLA!I13</f>
        <v>10.199999999999999</v>
      </c>
      <c r="J12" s="519">
        <f>PLANTILLA!V13</f>
        <v>0</v>
      </c>
      <c r="K12" s="519">
        <f>PLANTILLA!W13</f>
        <v>7.11</v>
      </c>
      <c r="L12" s="519">
        <f>PLANTILLA!X13</f>
        <v>10.250000000000004</v>
      </c>
      <c r="M12" s="519">
        <f>PLANTILLA!Y13</f>
        <v>13.305</v>
      </c>
      <c r="N12" s="519">
        <f>PLANTILLA!Z13</f>
        <v>10.359999999999998</v>
      </c>
      <c r="O12" s="519">
        <f>PLANTILLA!AA13</f>
        <v>5.4050000000000002</v>
      </c>
      <c r="P12" s="519">
        <f>PLANTILLA!AB13</f>
        <v>17.300000000000004</v>
      </c>
      <c r="Q12" s="443">
        <f t="shared" si="4"/>
        <v>30</v>
      </c>
      <c r="R12" s="444">
        <f t="shared" ca="1" si="5"/>
        <v>21</v>
      </c>
      <c r="S12" s="193"/>
      <c r="T12" s="193"/>
      <c r="U12" s="193"/>
      <c r="V12" s="193"/>
      <c r="W12" s="193"/>
      <c r="X12" s="193"/>
      <c r="Y12" s="193"/>
      <c r="Z12" s="193"/>
      <c r="AA12" s="323">
        <f t="shared" si="6"/>
        <v>10.199999999999999</v>
      </c>
      <c r="AB12" s="539">
        <f t="shared" si="20"/>
        <v>0</v>
      </c>
      <c r="AC12" s="539">
        <f>K12+(T$2/7)</f>
        <v>7.11</v>
      </c>
      <c r="AD12" s="539">
        <f>L12+(U$2/7)</f>
        <v>10.250000000000004</v>
      </c>
      <c r="AE12" s="539">
        <f>M12+(V$2/8)</f>
        <v>13.305</v>
      </c>
      <c r="AF12" s="539">
        <f>N12+(W$2/8)</f>
        <v>10.359999999999998</v>
      </c>
      <c r="AG12" s="539">
        <f>O12+(X$2/4)+(Y$2/6)</f>
        <v>5.4050000000000002</v>
      </c>
      <c r="AH12" s="539">
        <f>P12+(Z$2/2.5)+(Y$2/10)</f>
        <v>17.700000000000003</v>
      </c>
      <c r="AI12" s="456">
        <f t="shared" si="12"/>
        <v>0</v>
      </c>
      <c r="AJ12" s="456">
        <f t="shared" si="13"/>
        <v>0</v>
      </c>
      <c r="AK12" s="456">
        <f t="shared" si="14"/>
        <v>0</v>
      </c>
      <c r="AL12" s="456">
        <f t="shared" si="15"/>
        <v>0</v>
      </c>
      <c r="AM12" s="456">
        <f t="shared" si="16"/>
        <v>0</v>
      </c>
      <c r="AN12" s="456">
        <f t="shared" si="17"/>
        <v>0</v>
      </c>
      <c r="AO12" s="456">
        <f t="shared" si="18"/>
        <v>0.39999999999999858</v>
      </c>
      <c r="AQ12" s="563" t="s">
        <v>791</v>
      </c>
      <c r="AR12" s="285" t="str">
        <f>D12</f>
        <v>K. Helms</v>
      </c>
      <c r="AS12" s="464">
        <v>0</v>
      </c>
      <c r="AT12" s="464">
        <f>AJ12*0.18</f>
        <v>0</v>
      </c>
      <c r="AU12" s="464">
        <f>AJ12*0.068</f>
        <v>0</v>
      </c>
      <c r="AV12" s="464">
        <f>AK12*0.305</f>
        <v>0</v>
      </c>
      <c r="AW12" s="464">
        <v>0</v>
      </c>
      <c r="AX12" s="464">
        <f>(AL12*1)+(AM12*0.286)</f>
        <v>0</v>
      </c>
      <c r="AY12" s="464">
        <f>AM12*0.135</f>
        <v>0</v>
      </c>
      <c r="AZ12" s="467">
        <f>(0.5*AN12+0.3*AO12)/10</f>
        <v>1.1999999999999957E-2</v>
      </c>
      <c r="BA12" s="467">
        <f>(0.4*AJ12+0.3*AO12)/10</f>
        <v>1.1999999999999957E-2</v>
      </c>
      <c r="BB12" s="467">
        <v>0</v>
      </c>
      <c r="BC12" s="467">
        <v>0</v>
      </c>
      <c r="BE12" s="563" t="s">
        <v>791</v>
      </c>
      <c r="BF12" s="285" t="str">
        <f>BF27</f>
        <v>S. Zobbe</v>
      </c>
      <c r="BG12" s="464">
        <f>BG27</f>
        <v>0</v>
      </c>
      <c r="BH12" s="464">
        <f t="shared" ref="BH12:BM12" si="31">BH27</f>
        <v>0</v>
      </c>
      <c r="BI12" s="464">
        <f t="shared" si="31"/>
        <v>0</v>
      </c>
      <c r="BJ12" s="464">
        <f t="shared" si="31"/>
        <v>0</v>
      </c>
      <c r="BK12" s="464">
        <f t="shared" si="31"/>
        <v>0</v>
      </c>
      <c r="BL12" s="464">
        <f t="shared" si="31"/>
        <v>0</v>
      </c>
      <c r="BM12" s="464">
        <f t="shared" si="31"/>
        <v>0</v>
      </c>
      <c r="BN12" s="467">
        <f>BN27</f>
        <v>1.4999999999999999E-2</v>
      </c>
      <c r="BO12" s="467">
        <f t="shared" ref="BO12:BQ12" si="32">BO27</f>
        <v>1.4999999999999999E-2</v>
      </c>
      <c r="BP12" s="467">
        <f t="shared" si="32"/>
        <v>0</v>
      </c>
      <c r="BQ12" s="467">
        <f t="shared" si="32"/>
        <v>0</v>
      </c>
    </row>
    <row r="13" spans="1:76" s="289" customFormat="1" x14ac:dyDescent="0.25">
      <c r="A13" s="416" t="s">
        <v>599</v>
      </c>
      <c r="B13" s="416" t="s">
        <v>66</v>
      </c>
      <c r="C13" s="417">
        <f t="shared" ca="1" si="11"/>
        <v>5.7410714285714288</v>
      </c>
      <c r="D13" s="418" t="s">
        <v>600</v>
      </c>
      <c r="E13" s="419">
        <f>PLANTILLA!E14</f>
        <v>27</v>
      </c>
      <c r="F13" s="419">
        <f ca="1">PLANTILLA!F14</f>
        <v>29</v>
      </c>
      <c r="G13" s="420" t="s">
        <v>595</v>
      </c>
      <c r="H13" s="401">
        <v>3</v>
      </c>
      <c r="I13" s="335">
        <f>PLANTILLA!I14</f>
        <v>8.6</v>
      </c>
      <c r="J13" s="519">
        <f>PLANTILLA!V14</f>
        <v>0</v>
      </c>
      <c r="K13" s="519">
        <f>PLANTILLA!W14</f>
        <v>8.1199999999999992</v>
      </c>
      <c r="L13" s="519">
        <f>PLANTILLA!X14</f>
        <v>11.958412698412697</v>
      </c>
      <c r="M13" s="519">
        <f>PLANTILLA!Y14</f>
        <v>12.13</v>
      </c>
      <c r="N13" s="519">
        <f>PLANTILLA!Z14</f>
        <v>10.24</v>
      </c>
      <c r="O13" s="519">
        <f>PLANTILLA!AA14</f>
        <v>7.4766666666666666</v>
      </c>
      <c r="P13" s="519">
        <f>PLANTILLA!AB14</f>
        <v>15.270000000000001</v>
      </c>
      <c r="Q13" s="443">
        <f t="shared" si="4"/>
        <v>27</v>
      </c>
      <c r="R13" s="444">
        <f t="shared" ca="1" si="5"/>
        <v>36</v>
      </c>
      <c r="S13" s="193"/>
      <c r="T13" s="193"/>
      <c r="U13" s="193"/>
      <c r="V13" s="193"/>
      <c r="W13" s="193"/>
      <c r="X13" s="193"/>
      <c r="Y13" s="193"/>
      <c r="Z13" s="193"/>
      <c r="AA13" s="323">
        <f t="shared" si="6"/>
        <v>8.6</v>
      </c>
      <c r="AB13" s="539">
        <f t="shared" si="20"/>
        <v>0</v>
      </c>
      <c r="AC13" s="539">
        <f>K13+(T$2/6.5)</f>
        <v>8.1199999999999992</v>
      </c>
      <c r="AD13" s="539">
        <f>L13+(U$2/8)</f>
        <v>11.958412698412697</v>
      </c>
      <c r="AE13" s="539">
        <f>M13+(V$2/6)</f>
        <v>12.13</v>
      </c>
      <c r="AF13" s="539">
        <f>N13+(W$2/8)</f>
        <v>10.24</v>
      </c>
      <c r="AG13" s="539">
        <f>O13+(X$2/4.5)+(Y$2/3.5)/2</f>
        <v>7.4766666666666666</v>
      </c>
      <c r="AH13" s="539">
        <f>P13+(Z$2/2)+(Y$2/10)</f>
        <v>15.770000000000001</v>
      </c>
      <c r="AI13" s="456">
        <f t="shared" si="12"/>
        <v>0</v>
      </c>
      <c r="AJ13" s="456">
        <f t="shared" si="13"/>
        <v>0</v>
      </c>
      <c r="AK13" s="456">
        <f t="shared" si="14"/>
        <v>0</v>
      </c>
      <c r="AL13" s="456">
        <f t="shared" si="15"/>
        <v>0</v>
      </c>
      <c r="AM13" s="456">
        <f t="shared" si="16"/>
        <v>0</v>
      </c>
      <c r="AN13" s="456">
        <f t="shared" si="17"/>
        <v>0</v>
      </c>
      <c r="AO13" s="456">
        <f t="shared" si="18"/>
        <v>0.5</v>
      </c>
      <c r="AQ13" s="562" t="s">
        <v>67</v>
      </c>
      <c r="AR13" s="331" t="str">
        <f>D21</f>
        <v>J. Limon</v>
      </c>
      <c r="AS13" s="462">
        <v>0</v>
      </c>
      <c r="AT13" s="462">
        <v>0</v>
      </c>
      <c r="AU13" s="462">
        <v>0</v>
      </c>
      <c r="AV13" s="462">
        <f>AK21*0.25</f>
        <v>0</v>
      </c>
      <c r="AW13" s="462">
        <f>(AM21*0.142)+(AL21*0.221)+(AN21*0.26)</f>
        <v>0</v>
      </c>
      <c r="AX13" s="462">
        <f>AW13</f>
        <v>0</v>
      </c>
      <c r="AY13" s="462">
        <f>(AM21*0.369)+(AN21*1)</f>
        <v>0</v>
      </c>
      <c r="AZ13" s="586">
        <f>((0.5*AN21+0.3*AO21)/10)+0.09*AO21</f>
        <v>0.06</v>
      </c>
      <c r="BA13" s="586">
        <f>(0.4*AJ21+0.3*AO21)/10</f>
        <v>1.4999999999999999E-2</v>
      </c>
      <c r="BB13" s="465">
        <v>0</v>
      </c>
      <c r="BC13" s="465">
        <v>0</v>
      </c>
      <c r="BE13" s="562" t="s">
        <v>788</v>
      </c>
      <c r="BF13" s="331" t="str">
        <f>D21</f>
        <v>J. Limon</v>
      </c>
      <c r="BG13" s="462">
        <v>0</v>
      </c>
      <c r="BH13" s="462">
        <v>0</v>
      </c>
      <c r="BI13" s="462">
        <v>0</v>
      </c>
      <c r="BJ13" s="462">
        <f>AK21*0.25</f>
        <v>0</v>
      </c>
      <c r="BK13" s="462">
        <f>(AM21*0.209)+(AL21*0.607)+(AN21*0.524)</f>
        <v>0</v>
      </c>
      <c r="BL13" s="462">
        <v>0</v>
      </c>
      <c r="BM13" s="462">
        <f>(AM21*0.261)+(AN21*0.607)</f>
        <v>0</v>
      </c>
      <c r="BN13" s="587">
        <f>AZ13</f>
        <v>0.06</v>
      </c>
      <c r="BO13" s="587">
        <f>BA13</f>
        <v>1.4999999999999999E-2</v>
      </c>
      <c r="BP13" s="465">
        <v>0</v>
      </c>
      <c r="BQ13" s="465">
        <v>0</v>
      </c>
    </row>
    <row r="14" spans="1:76" s="288" customFormat="1" x14ac:dyDescent="0.25">
      <c r="A14" s="416" t="s">
        <v>448</v>
      </c>
      <c r="B14" s="285" t="s">
        <v>65</v>
      </c>
      <c r="C14" s="286">
        <f t="shared" ca="1" si="11"/>
        <v>3.7678571428571428</v>
      </c>
      <c r="D14" s="321" t="s">
        <v>455</v>
      </c>
      <c r="E14" s="419">
        <f>PLANTILLA!E15</f>
        <v>29</v>
      </c>
      <c r="F14" s="419">
        <f ca="1">PLANTILLA!F15</f>
        <v>26</v>
      </c>
      <c r="G14" s="420" t="s">
        <v>308</v>
      </c>
      <c r="H14" s="401">
        <v>4</v>
      </c>
      <c r="I14" s="335">
        <f>PLANTILLA!I15</f>
        <v>10.4</v>
      </c>
      <c r="J14" s="519">
        <f>PLANTILLA!V15</f>
        <v>0</v>
      </c>
      <c r="K14" s="519">
        <f>PLANTILLA!W15</f>
        <v>9.1936666666666653</v>
      </c>
      <c r="L14" s="519">
        <f>PLANTILLA!X15</f>
        <v>13.499999999999998</v>
      </c>
      <c r="M14" s="519">
        <f>PLANTILLA!Y15</f>
        <v>12.725000000000001</v>
      </c>
      <c r="N14" s="519">
        <f>PLANTILLA!Z15</f>
        <v>9.6733333333333356</v>
      </c>
      <c r="O14" s="519">
        <f>PLANTILLA!AA15</f>
        <v>5.0296666666666656</v>
      </c>
      <c r="P14" s="519">
        <f>PLANTILLA!AB15</f>
        <v>15.2</v>
      </c>
      <c r="Q14" s="443">
        <f t="shared" si="4"/>
        <v>29</v>
      </c>
      <c r="R14" s="444">
        <f t="shared" ca="1" si="5"/>
        <v>33</v>
      </c>
      <c r="S14" s="193"/>
      <c r="T14" s="193"/>
      <c r="U14" s="193"/>
      <c r="V14" s="193"/>
      <c r="W14" s="193"/>
      <c r="X14" s="193"/>
      <c r="Y14" s="193"/>
      <c r="Z14" s="193"/>
      <c r="AA14" s="323">
        <f t="shared" si="6"/>
        <v>10.4</v>
      </c>
      <c r="AB14" s="539">
        <f t="shared" si="20"/>
        <v>0</v>
      </c>
      <c r="AC14" s="539">
        <f>K14+(T$2/50)</f>
        <v>9.1936666666666653</v>
      </c>
      <c r="AD14" s="539">
        <f>L14+(U$2/10)</f>
        <v>13.499999999999998</v>
      </c>
      <c r="AE14" s="539">
        <f>M14+(V$2/15)</f>
        <v>12.725000000000001</v>
      </c>
      <c r="AF14" s="539">
        <f>N14+(W$2/7.5)</f>
        <v>9.6733333333333356</v>
      </c>
      <c r="AG14" s="539">
        <f>O14+(X$2/3.5)+(Y$2/6)</f>
        <v>5.0296666666666656</v>
      </c>
      <c r="AH14" s="539">
        <f>P14+(Z$2/1)+(Y$2/10)</f>
        <v>16.2</v>
      </c>
      <c r="AI14" s="456">
        <f t="shared" si="12"/>
        <v>0</v>
      </c>
      <c r="AJ14" s="456">
        <f t="shared" si="13"/>
        <v>0</v>
      </c>
      <c r="AK14" s="456">
        <f t="shared" si="14"/>
        <v>0</v>
      </c>
      <c r="AL14" s="456">
        <f t="shared" si="15"/>
        <v>0</v>
      </c>
      <c r="AM14" s="456">
        <f t="shared" si="16"/>
        <v>0</v>
      </c>
      <c r="AN14" s="456">
        <f t="shared" si="17"/>
        <v>0</v>
      </c>
      <c r="AO14" s="456">
        <f t="shared" si="18"/>
        <v>1</v>
      </c>
      <c r="AQ14" s="563" t="s">
        <v>67</v>
      </c>
      <c r="AR14" s="285" t="str">
        <f>D13</f>
        <v>S. Zobbe</v>
      </c>
      <c r="AS14" s="464">
        <v>0</v>
      </c>
      <c r="AT14" s="464">
        <v>0</v>
      </c>
      <c r="AU14" s="464">
        <v>0</v>
      </c>
      <c r="AV14" s="462">
        <f>AK13*0.25</f>
        <v>0</v>
      </c>
      <c r="AW14" s="462">
        <f>(AM13*0.142)+(AL13*0.221)+(AN13*0.26)</f>
        <v>0</v>
      </c>
      <c r="AX14" s="462">
        <f>AW14</f>
        <v>0</v>
      </c>
      <c r="AY14" s="462">
        <f>(AM13*0.369)+(AN13*1)</f>
        <v>0</v>
      </c>
      <c r="AZ14" s="467">
        <f>(0.5*AN13+0.3*AO13)/10</f>
        <v>1.4999999999999999E-2</v>
      </c>
      <c r="BA14" s="467">
        <f>(0.4*AJ13+0.3*AO13)/10</f>
        <v>1.4999999999999999E-2</v>
      </c>
      <c r="BB14" s="465">
        <v>0</v>
      </c>
      <c r="BC14" s="465">
        <v>0</v>
      </c>
      <c r="BE14" s="563" t="s">
        <v>788</v>
      </c>
      <c r="BF14" s="285" t="s">
        <v>864</v>
      </c>
      <c r="BG14" s="464">
        <v>0</v>
      </c>
      <c r="BH14" s="464">
        <v>0</v>
      </c>
      <c r="BI14" s="464">
        <v>0</v>
      </c>
      <c r="BJ14" s="462">
        <f>AK23*0.25</f>
        <v>0</v>
      </c>
      <c r="BK14" s="462">
        <v>0</v>
      </c>
      <c r="BL14" s="462">
        <f>(AM23*0.209)+(AL23*0.607)+(AN23*0.524)</f>
        <v>0</v>
      </c>
      <c r="BM14" s="462">
        <f>(AM23*0.261)+(AN23*0.607)</f>
        <v>0</v>
      </c>
      <c r="BN14" s="465">
        <f>AZ20</f>
        <v>1.9999999999999983E-2</v>
      </c>
      <c r="BO14" s="465">
        <f>BA20</f>
        <v>1.9999999999999983E-2</v>
      </c>
      <c r="BP14" s="465">
        <v>0</v>
      </c>
      <c r="BQ14" s="465">
        <v>0</v>
      </c>
    </row>
    <row r="15" spans="1:76" s="272" customFormat="1" x14ac:dyDescent="0.25">
      <c r="A15" s="332" t="s">
        <v>449</v>
      </c>
      <c r="B15" s="416" t="s">
        <v>65</v>
      </c>
      <c r="C15" s="417">
        <f t="shared" ca="1" si="11"/>
        <v>1.4642857142857142</v>
      </c>
      <c r="D15" s="418" t="s">
        <v>325</v>
      </c>
      <c r="E15" s="419">
        <f>PLANTILLA!E16</f>
        <v>31</v>
      </c>
      <c r="F15" s="419">
        <f ca="1">PLANTILLA!F16</f>
        <v>60</v>
      </c>
      <c r="G15" s="420" t="s">
        <v>308</v>
      </c>
      <c r="H15" s="426">
        <v>5</v>
      </c>
      <c r="I15" s="335">
        <f>PLANTILLA!I16</f>
        <v>10.9</v>
      </c>
      <c r="J15" s="519">
        <f>PLANTILLA!V16</f>
        <v>0</v>
      </c>
      <c r="K15" s="519">
        <f>PLANTILLA!W16</f>
        <v>8.6075555555555585</v>
      </c>
      <c r="L15" s="519">
        <f>PLANTILLA!X16</f>
        <v>14.09516031746031</v>
      </c>
      <c r="M15" s="519">
        <f>PLANTILLA!Y16</f>
        <v>9.99</v>
      </c>
      <c r="N15" s="519">
        <f>PLANTILLA!Z16</f>
        <v>10.09</v>
      </c>
      <c r="O15" s="519">
        <f>PLANTILLA!AA16</f>
        <v>4.3999999999999995</v>
      </c>
      <c r="P15" s="519">
        <f>PLANTILLA!AB16</f>
        <v>16.544444444444441</v>
      </c>
      <c r="Q15" s="443">
        <f t="shared" si="4"/>
        <v>31</v>
      </c>
      <c r="R15" s="444">
        <f t="shared" ca="1" si="5"/>
        <v>67</v>
      </c>
      <c r="S15" s="193"/>
      <c r="T15" s="193"/>
      <c r="U15" s="193"/>
      <c r="V15" s="193"/>
      <c r="W15" s="193"/>
      <c r="X15" s="193"/>
      <c r="Y15" s="193"/>
      <c r="Z15" s="193"/>
      <c r="AA15" s="323">
        <f t="shared" si="6"/>
        <v>10.9</v>
      </c>
      <c r="AB15" s="539">
        <f t="shared" si="20"/>
        <v>0</v>
      </c>
      <c r="AC15" s="539">
        <f>K15+(T$2/50)</f>
        <v>8.6075555555555585</v>
      </c>
      <c r="AD15" s="539">
        <f>L15+(U$2/11)</f>
        <v>14.09516031746031</v>
      </c>
      <c r="AE15" s="539">
        <f>M15+(V$2/15)</f>
        <v>9.99</v>
      </c>
      <c r="AF15" s="539">
        <f>N15+(W$2/8)</f>
        <v>10.09</v>
      </c>
      <c r="AG15" s="539">
        <f>O15+(X$2/22)+(Y$2/7)</f>
        <v>4.3999999999999995</v>
      </c>
      <c r="AH15" s="539">
        <f>P15+(Z$2/2)+(Y$2/10)</f>
        <v>17.044444444444441</v>
      </c>
      <c r="AI15" s="456">
        <f t="shared" si="12"/>
        <v>0</v>
      </c>
      <c r="AJ15" s="456">
        <f t="shared" si="13"/>
        <v>0</v>
      </c>
      <c r="AK15" s="456">
        <f t="shared" si="14"/>
        <v>0</v>
      </c>
      <c r="AL15" s="456">
        <f t="shared" si="15"/>
        <v>0</v>
      </c>
      <c r="AM15" s="456">
        <f t="shared" si="16"/>
        <v>0</v>
      </c>
      <c r="AN15" s="456">
        <f t="shared" si="17"/>
        <v>0</v>
      </c>
      <c r="AO15" s="456">
        <f t="shared" si="18"/>
        <v>0.5</v>
      </c>
      <c r="AQ15" s="460"/>
      <c r="AR15" s="461"/>
      <c r="AS15" s="461"/>
      <c r="AT15" s="461"/>
      <c r="AU15" s="461"/>
      <c r="AV15" s="461"/>
      <c r="AW15" s="461"/>
      <c r="AX15" s="461"/>
      <c r="AY15" s="461"/>
      <c r="AZ15" s="461"/>
      <c r="BA15" s="461"/>
      <c r="BB15" s="461"/>
      <c r="BC15" s="461"/>
      <c r="BE15"/>
      <c r="BF15"/>
      <c r="BG15"/>
      <c r="BH15"/>
      <c r="BI15"/>
      <c r="BJ15"/>
      <c r="BK15"/>
      <c r="BL15"/>
      <c r="BM15"/>
      <c r="BN15"/>
      <c r="BO15"/>
      <c r="BP15"/>
      <c r="BQ15"/>
    </row>
    <row r="16" spans="1:76" s="289" customFormat="1" x14ac:dyDescent="0.25">
      <c r="A16" s="416" t="s">
        <v>446</v>
      </c>
      <c r="B16" s="416" t="s">
        <v>65</v>
      </c>
      <c r="C16" s="417">
        <f t="shared" ca="1" si="11"/>
        <v>2.5178571428571428</v>
      </c>
      <c r="D16" s="418" t="s">
        <v>312</v>
      </c>
      <c r="E16" s="419">
        <f>PLANTILLA!E17</f>
        <v>30</v>
      </c>
      <c r="F16" s="419">
        <f ca="1">PLANTILLA!F17</f>
        <v>54</v>
      </c>
      <c r="G16" s="420"/>
      <c r="H16" s="401">
        <v>4</v>
      </c>
      <c r="I16" s="335">
        <f>PLANTILLA!I17</f>
        <v>9</v>
      </c>
      <c r="J16" s="519">
        <f>PLANTILLA!V17</f>
        <v>0</v>
      </c>
      <c r="K16" s="519">
        <f>PLANTILLA!W17</f>
        <v>10.349999999999996</v>
      </c>
      <c r="L16" s="519">
        <f>PLANTILLA!X17</f>
        <v>12.749777777777778</v>
      </c>
      <c r="M16" s="519">
        <f>PLANTILLA!Y17</f>
        <v>5.1199999999999983</v>
      </c>
      <c r="N16" s="519">
        <f>PLANTILLA!Z17</f>
        <v>9.24</v>
      </c>
      <c r="O16" s="519">
        <f>PLANTILLA!AA17</f>
        <v>2.98</v>
      </c>
      <c r="P16" s="519">
        <f>PLANTILLA!AB17</f>
        <v>16.959999999999997</v>
      </c>
      <c r="Q16" s="443">
        <f t="shared" si="4"/>
        <v>30</v>
      </c>
      <c r="R16" s="444">
        <f t="shared" ca="1" si="5"/>
        <v>61</v>
      </c>
      <c r="S16" s="193"/>
      <c r="T16" s="193"/>
      <c r="U16" s="193"/>
      <c r="V16" s="193"/>
      <c r="W16" s="193"/>
      <c r="X16" s="193"/>
      <c r="Y16" s="193"/>
      <c r="Z16" s="193"/>
      <c r="AA16" s="323">
        <f t="shared" si="6"/>
        <v>9</v>
      </c>
      <c r="AB16" s="539">
        <f t="shared" si="20"/>
        <v>0</v>
      </c>
      <c r="AC16" s="539">
        <f>K16+(T$2/7)</f>
        <v>10.349999999999996</v>
      </c>
      <c r="AD16" s="539">
        <f>L16+(U$2/11)</f>
        <v>12.749777777777778</v>
      </c>
      <c r="AE16" s="539">
        <f>M16+(V$2/19)</f>
        <v>5.1199999999999983</v>
      </c>
      <c r="AF16" s="539">
        <f>N16+(W$2/7)</f>
        <v>9.24</v>
      </c>
      <c r="AG16" s="539">
        <f>O16+(X$2/16)+(Y$2/5)</f>
        <v>2.98</v>
      </c>
      <c r="AH16" s="539">
        <f>P16+(Z$2/2.5)+(Y$2/10)</f>
        <v>17.359999999999996</v>
      </c>
      <c r="AI16" s="456">
        <f t="shared" si="12"/>
        <v>0</v>
      </c>
      <c r="AJ16" s="456">
        <f t="shared" si="13"/>
        <v>0</v>
      </c>
      <c r="AK16" s="456">
        <f t="shared" si="14"/>
        <v>0</v>
      </c>
      <c r="AL16" s="456">
        <f t="shared" si="15"/>
        <v>0</v>
      </c>
      <c r="AM16" s="456">
        <f t="shared" si="16"/>
        <v>0</v>
      </c>
      <c r="AN16" s="456">
        <f t="shared" si="17"/>
        <v>0</v>
      </c>
      <c r="AO16" s="456">
        <f t="shared" si="18"/>
        <v>0.39999999999999858</v>
      </c>
      <c r="AQ16" s="267"/>
      <c r="AR16" s="267"/>
      <c r="AS16" s="468">
        <f>SUM(AS18:AS28)*$BV$3</f>
        <v>0</v>
      </c>
      <c r="AT16" s="468">
        <f>SUM(AT18:AT28)*$BV$3</f>
        <v>0</v>
      </c>
      <c r="AU16" s="468">
        <f>SUM(AU18:AU28)*$BV$2</f>
        <v>0</v>
      </c>
      <c r="AV16" s="468">
        <f>SUM(AV18:AV28)*$BV$4</f>
        <v>0</v>
      </c>
      <c r="AW16" s="468">
        <f>SUM(AW18:AW28)*$BV$5</f>
        <v>0</v>
      </c>
      <c r="AX16" s="468">
        <f>SUM(AX18:AX28)*$BV$5</f>
        <v>0</v>
      </c>
      <c r="AY16" s="468">
        <f>SUM(AY18:AY28)*$BV$6</f>
        <v>0</v>
      </c>
      <c r="AZ16" s="469">
        <f>SUM(AZ18:AZ28)</f>
        <v>0.23599999999999988</v>
      </c>
      <c r="BA16" s="469">
        <f>SUM(BA18:BA28)</f>
        <v>0.24099999999999988</v>
      </c>
      <c r="BB16" s="469">
        <f t="shared" ref="BB16:BC16" si="33">SUM(BB18:BB28)</f>
        <v>12.585000000000001</v>
      </c>
      <c r="BC16" s="469">
        <f t="shared" si="33"/>
        <v>0</v>
      </c>
      <c r="BE16" s="267"/>
      <c r="BF16" s="267"/>
      <c r="BG16" s="468">
        <f>SUM(BG18:BG28)*$BV$3</f>
        <v>0</v>
      </c>
      <c r="BH16" s="468">
        <f>SUM(BH18:BH28)*$BV$3</f>
        <v>0</v>
      </c>
      <c r="BI16" s="468">
        <f>SUM(BI18:BI28)*$BV$2</f>
        <v>0</v>
      </c>
      <c r="BJ16" s="468">
        <f>SUM(BJ18:BJ28)*$BV$4</f>
        <v>0</v>
      </c>
      <c r="BK16" s="468">
        <f>SUM(BK18:BK28)*$BV$5</f>
        <v>0</v>
      </c>
      <c r="BL16" s="468">
        <f>SUM(BL18:BL28)*$BV$5</f>
        <v>0</v>
      </c>
      <c r="BM16" s="468">
        <f>SUM(BM18:BM28)*$BV$6</f>
        <v>0</v>
      </c>
      <c r="BN16" s="469">
        <f>SUM(BN18:BN28)</f>
        <v>0.20999999999999985</v>
      </c>
      <c r="BO16" s="469">
        <f>SUM(BO18:BO28)</f>
        <v>0.21499999999999986</v>
      </c>
      <c r="BP16" s="469">
        <f t="shared" ref="BP16:BQ16" si="34">SUM(BP18:BP28)</f>
        <v>21.048194444444444</v>
      </c>
      <c r="BQ16" s="469">
        <f t="shared" si="34"/>
        <v>0</v>
      </c>
    </row>
    <row r="17" spans="1:69" s="272" customFormat="1" x14ac:dyDescent="0.25">
      <c r="A17" s="332" t="s">
        <v>450</v>
      </c>
      <c r="B17" s="285" t="s">
        <v>65</v>
      </c>
      <c r="C17" s="286">
        <f t="shared" ca="1" si="11"/>
        <v>2.7410714285714284</v>
      </c>
      <c r="D17" s="321" t="s">
        <v>440</v>
      </c>
      <c r="E17" s="419">
        <f>PLANTILLA!E18</f>
        <v>30</v>
      </c>
      <c r="F17" s="419">
        <f ca="1">PLANTILLA!F18</f>
        <v>29</v>
      </c>
      <c r="G17" s="420"/>
      <c r="H17" s="401">
        <v>1</v>
      </c>
      <c r="I17" s="335">
        <f>PLANTILLA!I18</f>
        <v>8</v>
      </c>
      <c r="J17" s="519">
        <f>PLANTILLA!V18</f>
        <v>0</v>
      </c>
      <c r="K17" s="519">
        <f>PLANTILLA!W18</f>
        <v>5.2811111111111115</v>
      </c>
      <c r="L17" s="519">
        <f>PLANTILLA!X18</f>
        <v>14.193842857142847</v>
      </c>
      <c r="M17" s="519">
        <f>PLANTILLA!Y18</f>
        <v>3.4924999999999993</v>
      </c>
      <c r="N17" s="519">
        <f>PLANTILLA!Z18</f>
        <v>9.1400000000000041</v>
      </c>
      <c r="O17" s="519">
        <f>PLANTILLA!AA18</f>
        <v>7.4318888888888894</v>
      </c>
      <c r="P17" s="519">
        <f>PLANTILLA!AB18</f>
        <v>16.07</v>
      </c>
      <c r="Q17" s="443">
        <f t="shared" si="4"/>
        <v>30</v>
      </c>
      <c r="R17" s="444">
        <f t="shared" ca="1" si="5"/>
        <v>36</v>
      </c>
      <c r="S17" s="193"/>
      <c r="T17" s="193"/>
      <c r="U17" s="193"/>
      <c r="V17" s="193"/>
      <c r="W17" s="193"/>
      <c r="X17" s="193"/>
      <c r="Y17" s="193"/>
      <c r="Z17" s="193"/>
      <c r="AA17" s="323">
        <f t="shared" si="6"/>
        <v>8</v>
      </c>
      <c r="AB17" s="539">
        <f t="shared" si="20"/>
        <v>0</v>
      </c>
      <c r="AC17" s="539">
        <f>K17+(T$2/6.5)</f>
        <v>5.2811111111111115</v>
      </c>
      <c r="AD17" s="539">
        <f>L17+(U$2/11)</f>
        <v>14.193842857142847</v>
      </c>
      <c r="AE17" s="539">
        <f>M17+(V$2/17)</f>
        <v>3.4924999999999993</v>
      </c>
      <c r="AF17" s="539">
        <f>N17+(W$2/7)</f>
        <v>9.1400000000000041</v>
      </c>
      <c r="AG17" s="539">
        <f>O17+(X$2/30)+(Y$2/4.5)/2</f>
        <v>7.4318888888888894</v>
      </c>
      <c r="AH17" s="539">
        <f>P17+(Z$2/2.5)+(Y$2/10)</f>
        <v>16.47</v>
      </c>
      <c r="AI17" s="456">
        <f t="shared" si="12"/>
        <v>0</v>
      </c>
      <c r="AJ17" s="456">
        <f t="shared" si="13"/>
        <v>0</v>
      </c>
      <c r="AK17" s="456">
        <f t="shared" si="14"/>
        <v>0</v>
      </c>
      <c r="AL17" s="456">
        <f t="shared" si="15"/>
        <v>0</v>
      </c>
      <c r="AM17" s="456">
        <f t="shared" si="16"/>
        <v>0</v>
      </c>
      <c r="AN17" s="456">
        <f t="shared" si="17"/>
        <v>0</v>
      </c>
      <c r="AO17" s="456">
        <f t="shared" si="18"/>
        <v>0.39999999999999858</v>
      </c>
      <c r="AQ17" s="717" t="s">
        <v>862</v>
      </c>
      <c r="AR17" s="718"/>
      <c r="AS17" s="361" t="s">
        <v>541</v>
      </c>
      <c r="AT17" s="361" t="s">
        <v>542</v>
      </c>
      <c r="AU17" s="361" t="s">
        <v>582</v>
      </c>
      <c r="AV17" s="361" t="s">
        <v>543</v>
      </c>
      <c r="AW17" s="361" t="s">
        <v>544</v>
      </c>
      <c r="AX17" s="361" t="s">
        <v>545</v>
      </c>
      <c r="AY17" s="361" t="s">
        <v>546</v>
      </c>
      <c r="AZ17" s="361" t="s">
        <v>876</v>
      </c>
      <c r="BA17" s="361" t="s">
        <v>877</v>
      </c>
      <c r="BB17" s="361" t="s">
        <v>700</v>
      </c>
      <c r="BC17" s="361" t="s">
        <v>740</v>
      </c>
      <c r="BE17" s="717" t="s">
        <v>787</v>
      </c>
      <c r="BF17" s="718"/>
      <c r="BG17" s="361" t="s">
        <v>541</v>
      </c>
      <c r="BH17" s="361" t="s">
        <v>542</v>
      </c>
      <c r="BI17" s="361" t="s">
        <v>582</v>
      </c>
      <c r="BJ17" s="361" t="s">
        <v>543</v>
      </c>
      <c r="BK17" s="361" t="s">
        <v>544</v>
      </c>
      <c r="BL17" s="361" t="s">
        <v>545</v>
      </c>
      <c r="BM17" s="361" t="s">
        <v>546</v>
      </c>
      <c r="BN17" s="361" t="s">
        <v>876</v>
      </c>
      <c r="BO17" s="361" t="s">
        <v>877</v>
      </c>
      <c r="BP17" s="361" t="s">
        <v>700</v>
      </c>
      <c r="BQ17" s="361" t="s">
        <v>740</v>
      </c>
    </row>
    <row r="18" spans="1:69" s="265" customFormat="1" x14ac:dyDescent="0.25">
      <c r="A18" s="332" t="s">
        <v>598</v>
      </c>
      <c r="B18" s="285" t="s">
        <v>65</v>
      </c>
      <c r="C18" s="286">
        <f t="shared" ca="1" si="11"/>
        <v>4.1875</v>
      </c>
      <c r="D18" s="321" t="s">
        <v>454</v>
      </c>
      <c r="E18" s="419">
        <f>PLANTILLA!E19</f>
        <v>28</v>
      </c>
      <c r="F18" s="419">
        <f ca="1">PLANTILLA!F19</f>
        <v>91</v>
      </c>
      <c r="G18" s="420"/>
      <c r="H18" s="401">
        <v>3</v>
      </c>
      <c r="I18" s="335">
        <f>PLANTILLA!I19</f>
        <v>4</v>
      </c>
      <c r="J18" s="519">
        <f>PLANTILLA!V19</f>
        <v>0</v>
      </c>
      <c r="K18" s="519">
        <f>PLANTILLA!W19</f>
        <v>5.6315555555555523</v>
      </c>
      <c r="L18" s="519">
        <f>PLANTILLA!X19</f>
        <v>9.8263388888888876</v>
      </c>
      <c r="M18" s="519">
        <f>PLANTILLA!Y19</f>
        <v>7.0526666666666671</v>
      </c>
      <c r="N18" s="519">
        <f>PLANTILLA!Z19</f>
        <v>9.2666666666666639</v>
      </c>
      <c r="O18" s="519">
        <f>PLANTILLA!AA19</f>
        <v>3.5417777777777766</v>
      </c>
      <c r="P18" s="519">
        <f>PLANTILLA!AB19</f>
        <v>12.450000000000001</v>
      </c>
      <c r="Q18" s="443">
        <f t="shared" si="4"/>
        <v>28</v>
      </c>
      <c r="R18" s="444">
        <f t="shared" ca="1" si="5"/>
        <v>98</v>
      </c>
      <c r="S18" s="193"/>
      <c r="T18" s="193"/>
      <c r="U18" s="193"/>
      <c r="V18" s="193"/>
      <c r="W18" s="193"/>
      <c r="X18" s="193"/>
      <c r="Y18" s="193"/>
      <c r="Z18" s="193"/>
      <c r="AA18" s="323">
        <f t="shared" si="6"/>
        <v>4</v>
      </c>
      <c r="AB18" s="539">
        <f t="shared" si="20"/>
        <v>0</v>
      </c>
      <c r="AC18" s="539">
        <f>K18+(T$2/26)</f>
        <v>5.6315555555555523</v>
      </c>
      <c r="AD18" s="539">
        <f>L18+(U$2/55)</f>
        <v>9.8263388888888876</v>
      </c>
      <c r="AE18" s="539">
        <f>M18+(V$2/24)</f>
        <v>7.0526666666666671</v>
      </c>
      <c r="AF18" s="539">
        <f>N18+(W$2/7)</f>
        <v>9.2666666666666639</v>
      </c>
      <c r="AG18" s="539">
        <f>O18+(X$2/18)+(Y$2/6)</f>
        <v>3.5417777777777766</v>
      </c>
      <c r="AH18" s="539">
        <f>P18+(Z$2/2)+(Y$2/10)</f>
        <v>12.950000000000001</v>
      </c>
      <c r="AI18" s="456">
        <f t="shared" si="12"/>
        <v>0</v>
      </c>
      <c r="AJ18" s="456">
        <f t="shared" si="13"/>
        <v>0</v>
      </c>
      <c r="AK18" s="456">
        <f t="shared" si="14"/>
        <v>0</v>
      </c>
      <c r="AL18" s="456">
        <f t="shared" si="15"/>
        <v>0</v>
      </c>
      <c r="AM18" s="456">
        <f t="shared" si="16"/>
        <v>0</v>
      </c>
      <c r="AN18" s="456">
        <f t="shared" si="17"/>
        <v>0</v>
      </c>
      <c r="AO18" s="456">
        <f t="shared" si="18"/>
        <v>0.5</v>
      </c>
      <c r="AQ18" s="457" t="s">
        <v>1</v>
      </c>
      <c r="AR18" s="331" t="str">
        <f>D4</f>
        <v>D. Gehmacher</v>
      </c>
      <c r="AS18" s="462">
        <f>AS4</f>
        <v>0</v>
      </c>
      <c r="AT18" s="462">
        <f t="shared" ref="AT18:BC18" si="35">AT4</f>
        <v>0</v>
      </c>
      <c r="AU18" s="462">
        <f t="shared" si="35"/>
        <v>0</v>
      </c>
      <c r="AV18" s="462">
        <f t="shared" si="35"/>
        <v>0</v>
      </c>
      <c r="AW18" s="462">
        <f t="shared" si="35"/>
        <v>0</v>
      </c>
      <c r="AX18" s="462">
        <f t="shared" si="35"/>
        <v>0</v>
      </c>
      <c r="AY18" s="462">
        <f t="shared" si="35"/>
        <v>0</v>
      </c>
      <c r="AZ18" s="587">
        <f t="shared" si="35"/>
        <v>0</v>
      </c>
      <c r="BA18" s="587">
        <f t="shared" si="35"/>
        <v>0.05</v>
      </c>
      <c r="BB18" s="465">
        <f t="shared" si="35"/>
        <v>0</v>
      </c>
      <c r="BC18" s="465">
        <f t="shared" si="35"/>
        <v>0</v>
      </c>
      <c r="BE18" s="457" t="s">
        <v>1</v>
      </c>
      <c r="BF18" s="331" t="str">
        <f>D4</f>
        <v>D. Gehmacher</v>
      </c>
      <c r="BG18" s="462">
        <f>BG4</f>
        <v>0</v>
      </c>
      <c r="BH18" s="462">
        <f t="shared" ref="BH18:BQ18" si="36">BH4</f>
        <v>0</v>
      </c>
      <c r="BI18" s="462">
        <f t="shared" si="36"/>
        <v>0</v>
      </c>
      <c r="BJ18" s="462">
        <f t="shared" si="36"/>
        <v>0</v>
      </c>
      <c r="BK18" s="462">
        <f t="shared" si="36"/>
        <v>0</v>
      </c>
      <c r="BL18" s="462">
        <f t="shared" si="36"/>
        <v>0</v>
      </c>
      <c r="BM18" s="462">
        <f t="shared" si="36"/>
        <v>0</v>
      </c>
      <c r="BN18" s="587">
        <f t="shared" si="36"/>
        <v>0</v>
      </c>
      <c r="BO18" s="587">
        <f t="shared" si="36"/>
        <v>0.05</v>
      </c>
      <c r="BP18" s="465">
        <f t="shared" si="36"/>
        <v>0</v>
      </c>
      <c r="BQ18" s="465">
        <f t="shared" si="36"/>
        <v>0</v>
      </c>
    </row>
    <row r="19" spans="1:69" s="265" customFormat="1" x14ac:dyDescent="0.25">
      <c r="A19" s="332" t="s">
        <v>764</v>
      </c>
      <c r="B19" s="285" t="s">
        <v>65</v>
      </c>
      <c r="C19" s="286" t="e">
        <f t="shared" si="11"/>
        <v>#REF!</v>
      </c>
      <c r="D19" s="321" t="s">
        <v>765</v>
      </c>
      <c r="E19" s="419" t="e">
        <f>PLANTILLA!#REF!</f>
        <v>#REF!</v>
      </c>
      <c r="F19" s="419" t="e">
        <f>PLANTILLA!#REF!</f>
        <v>#REF!</v>
      </c>
      <c r="G19" s="420" t="s">
        <v>595</v>
      </c>
      <c r="H19" s="401">
        <v>4</v>
      </c>
      <c r="I19" s="335" t="e">
        <f>PLANTILLA!#REF!</f>
        <v>#REF!</v>
      </c>
      <c r="J19" s="519" t="e">
        <f>PLANTILLA!#REF!</f>
        <v>#REF!</v>
      </c>
      <c r="K19" s="519" t="e">
        <f>PLANTILLA!#REF!</f>
        <v>#REF!</v>
      </c>
      <c r="L19" s="519" t="e">
        <f>PLANTILLA!#REF!</f>
        <v>#REF!</v>
      </c>
      <c r="M19" s="519" t="e">
        <f>PLANTILLA!#REF!</f>
        <v>#REF!</v>
      </c>
      <c r="N19" s="519" t="e">
        <f>PLANTILLA!#REF!</f>
        <v>#REF!</v>
      </c>
      <c r="O19" s="519" t="e">
        <f>PLANTILLA!#REF!</f>
        <v>#REF!</v>
      </c>
      <c r="P19" s="519" t="e">
        <f>PLANTILLA!#REF!</f>
        <v>#REF!</v>
      </c>
      <c r="Q19" s="443" t="e">
        <f t="shared" si="4"/>
        <v>#REF!</v>
      </c>
      <c r="R19" s="444" t="e">
        <f t="shared" si="5"/>
        <v>#REF!</v>
      </c>
      <c r="S19" s="193"/>
      <c r="T19" s="193"/>
      <c r="U19" s="193"/>
      <c r="V19" s="193"/>
      <c r="W19" s="193"/>
      <c r="X19" s="193"/>
      <c r="Y19" s="193"/>
      <c r="Z19" s="193"/>
      <c r="AA19" s="323" t="e">
        <f t="shared" si="6"/>
        <v>#REF!</v>
      </c>
      <c r="AB19" s="539" t="e">
        <f>J19</f>
        <v>#REF!</v>
      </c>
      <c r="AC19" s="539" t="e">
        <f>K19+(T2/25)</f>
        <v>#REF!</v>
      </c>
      <c r="AD19" s="539" t="e">
        <f>L19+(U2/38)</f>
        <v>#REF!</v>
      </c>
      <c r="AE19" s="539" t="e">
        <f>M19+(V2/12)</f>
        <v>#REF!</v>
      </c>
      <c r="AF19" s="539" t="e">
        <f>N19+(W2/4)</f>
        <v>#REF!</v>
      </c>
      <c r="AG19" s="539" t="e">
        <f>O19+(X2/14)+(Y2/5)</f>
        <v>#REF!</v>
      </c>
      <c r="AH19" s="539" t="e">
        <f>P19+(Z2/1)+(Y$2/10)</f>
        <v>#REF!</v>
      </c>
      <c r="AI19" s="456" t="e">
        <f t="shared" si="12"/>
        <v>#REF!</v>
      </c>
      <c r="AJ19" s="456" t="e">
        <f t="shared" si="13"/>
        <v>#REF!</v>
      </c>
      <c r="AK19" s="456" t="e">
        <f t="shared" si="14"/>
        <v>#REF!</v>
      </c>
      <c r="AL19" s="456" t="e">
        <f t="shared" si="15"/>
        <v>#REF!</v>
      </c>
      <c r="AM19" s="456" t="e">
        <f t="shared" si="16"/>
        <v>#REF!</v>
      </c>
      <c r="AN19" s="456" t="e">
        <f t="shared" si="17"/>
        <v>#REF!</v>
      </c>
      <c r="AO19" s="456" t="e">
        <f t="shared" si="18"/>
        <v>#REF!</v>
      </c>
      <c r="AQ19" s="458" t="s">
        <v>704</v>
      </c>
      <c r="AR19" s="332" t="str">
        <f>D20</f>
        <v>B. Pinczehelyi</v>
      </c>
      <c r="AS19" s="463">
        <f>(AJ20*0.919)</f>
        <v>0</v>
      </c>
      <c r="AT19" s="463">
        <v>0</v>
      </c>
      <c r="AU19" s="463">
        <f>AJ20*0.414</f>
        <v>0</v>
      </c>
      <c r="AV19" s="463">
        <f>AK20*0.167</f>
        <v>0</v>
      </c>
      <c r="AW19" s="463">
        <f>AL20*0.588</f>
        <v>0</v>
      </c>
      <c r="AX19" s="463">
        <v>0</v>
      </c>
      <c r="AY19" s="463">
        <v>0</v>
      </c>
      <c r="AZ19" s="466">
        <f>AZ5</f>
        <v>0.03</v>
      </c>
      <c r="BA19" s="466">
        <f>BA5</f>
        <v>0.03</v>
      </c>
      <c r="BB19" s="466">
        <f>((AC20+1)+(AF20+1)*2)/8</f>
        <v>4.5049999999999999</v>
      </c>
      <c r="BC19" s="466">
        <f>((AJ20)+(AM20)*2)/8</f>
        <v>0</v>
      </c>
      <c r="BE19" s="458" t="s">
        <v>704</v>
      </c>
      <c r="BF19" s="332" t="str">
        <f>D8</f>
        <v>E. Toney</v>
      </c>
      <c r="BG19" s="463">
        <f t="shared" ref="BG19:BM19" si="37">AS5</f>
        <v>0</v>
      </c>
      <c r="BH19" s="463">
        <f t="shared" si="37"/>
        <v>0</v>
      </c>
      <c r="BI19" s="463">
        <f t="shared" si="37"/>
        <v>0</v>
      </c>
      <c r="BJ19" s="463">
        <f t="shared" si="37"/>
        <v>0</v>
      </c>
      <c r="BK19" s="463">
        <f t="shared" si="37"/>
        <v>0</v>
      </c>
      <c r="BL19" s="463">
        <f t="shared" si="37"/>
        <v>0</v>
      </c>
      <c r="BM19" s="463">
        <f t="shared" si="37"/>
        <v>0</v>
      </c>
      <c r="BN19" s="466">
        <f t="shared" ref="BN19" si="38">AZ5</f>
        <v>0.03</v>
      </c>
      <c r="BO19" s="466">
        <f>BA5</f>
        <v>0.03</v>
      </c>
      <c r="BP19" s="466">
        <f>BB5</f>
        <v>4.5049999999999999</v>
      </c>
      <c r="BQ19" s="466">
        <f>BC5</f>
        <v>0</v>
      </c>
    </row>
    <row r="20" spans="1:69" s="264" customFormat="1" x14ac:dyDescent="0.25">
      <c r="A20" s="331" t="s">
        <v>717</v>
      </c>
      <c r="B20" s="285" t="s">
        <v>2</v>
      </c>
      <c r="C20" s="286">
        <f t="shared" ca="1" si="11"/>
        <v>3.0535714285714284</v>
      </c>
      <c r="D20" s="321" t="str">
        <f>PLANTILLA!D7</f>
        <v>B. Pinczehelyi</v>
      </c>
      <c r="E20" s="419">
        <f>PLANTILLA!E7</f>
        <v>29</v>
      </c>
      <c r="F20" s="427">
        <f ca="1">PLANTILLA!F7</f>
        <v>106</v>
      </c>
      <c r="G20" s="420" t="s">
        <v>595</v>
      </c>
      <c r="H20" s="401">
        <v>2</v>
      </c>
      <c r="I20" s="335">
        <f>PLANTILLA!I7</f>
        <v>14</v>
      </c>
      <c r="J20" s="519">
        <f>PLANTILLA!V7</f>
        <v>0</v>
      </c>
      <c r="K20" s="519">
        <f>PLANTILLA!W7</f>
        <v>14.200000000000003</v>
      </c>
      <c r="L20" s="519">
        <f>PLANTILLA!X7</f>
        <v>9.283333333333335</v>
      </c>
      <c r="M20" s="519">
        <f>PLANTILLA!Y7</f>
        <v>14.249999999999996</v>
      </c>
      <c r="N20" s="519">
        <f>PLANTILLA!Z7</f>
        <v>9.4199999999999982</v>
      </c>
      <c r="O20" s="519">
        <f>PLANTILLA!AA7</f>
        <v>1.1428571428571428</v>
      </c>
      <c r="P20" s="519">
        <f>PLANTILLA!AB7</f>
        <v>9.4</v>
      </c>
      <c r="Q20" s="443">
        <f t="shared" si="4"/>
        <v>29</v>
      </c>
      <c r="R20" s="444">
        <f t="shared" ca="1" si="5"/>
        <v>113</v>
      </c>
      <c r="S20" s="193"/>
      <c r="T20" s="193"/>
      <c r="U20" s="193"/>
      <c r="V20" s="193"/>
      <c r="W20" s="193"/>
      <c r="X20" s="193"/>
      <c r="Y20" s="193"/>
      <c r="Z20" s="193"/>
      <c r="AA20" s="323">
        <f t="shared" si="6"/>
        <v>14</v>
      </c>
      <c r="AB20" s="539">
        <f t="shared" si="20"/>
        <v>0</v>
      </c>
      <c r="AC20" s="539">
        <f>K20+(T$2/20)</f>
        <v>14.200000000000003</v>
      </c>
      <c r="AD20" s="539">
        <f>L20+(U$2/50)</f>
        <v>9.283333333333335</v>
      </c>
      <c r="AE20" s="539">
        <f>M20+(V$2/35)</f>
        <v>14.249999999999996</v>
      </c>
      <c r="AF20" s="539">
        <f>N20+(W$2/7)</f>
        <v>9.4199999999999982</v>
      </c>
      <c r="AG20" s="539">
        <f>O20+(X$2/3)+(Y$2/7)</f>
        <v>1.1428571428571428</v>
      </c>
      <c r="AH20" s="539">
        <f>P20+(Z$2/1)+(Y$2/10)</f>
        <v>10.4</v>
      </c>
      <c r="AI20" s="456">
        <f t="shared" si="12"/>
        <v>0</v>
      </c>
      <c r="AJ20" s="456">
        <f t="shared" si="13"/>
        <v>0</v>
      </c>
      <c r="AK20" s="456">
        <f t="shared" si="14"/>
        <v>0</v>
      </c>
      <c r="AL20" s="456">
        <f t="shared" si="15"/>
        <v>0</v>
      </c>
      <c r="AM20" s="456">
        <f t="shared" si="16"/>
        <v>0</v>
      </c>
      <c r="AN20" s="456">
        <f t="shared" si="17"/>
        <v>0</v>
      </c>
      <c r="AO20" s="456">
        <f t="shared" si="18"/>
        <v>1</v>
      </c>
      <c r="AQ20" s="563" t="s">
        <v>67</v>
      </c>
      <c r="AR20" s="285" t="str">
        <f>D23</f>
        <v>P .Trivadi</v>
      </c>
      <c r="AS20" s="462">
        <v>0</v>
      </c>
      <c r="AT20" s="462">
        <v>0</v>
      </c>
      <c r="AU20" s="462">
        <v>0</v>
      </c>
      <c r="AV20" s="464">
        <f>AK23*0.25</f>
        <v>0</v>
      </c>
      <c r="AW20" s="464">
        <f>(AM23*0.142)+(AL23*0.221)+(AN23*0.26)</f>
        <v>0</v>
      </c>
      <c r="AX20" s="462">
        <f>AW20</f>
        <v>0</v>
      </c>
      <c r="AY20" s="464">
        <f>(AM23*0.369)+(AN23*1)</f>
        <v>0</v>
      </c>
      <c r="AZ20" s="467">
        <f>(0.5*AN23+0.3*AO23)/10</f>
        <v>1.9999999999999983E-2</v>
      </c>
      <c r="BA20" s="467">
        <f>(0.4*AJ23+0.3*AO23)/10</f>
        <v>1.9999999999999983E-2</v>
      </c>
      <c r="BB20" s="466">
        <f>((AC23+1)+(AF23+1)*2)/8</f>
        <v>3.5749999999999997</v>
      </c>
      <c r="BC20" s="466">
        <f>((AJ23)+(AM23)*2)/8</f>
        <v>0</v>
      </c>
      <c r="BE20" s="459" t="s">
        <v>789</v>
      </c>
      <c r="BF20" s="285" t="str">
        <f>D7</f>
        <v>D. Toh</v>
      </c>
      <c r="BG20" s="464">
        <f>AJ7*0.754</f>
        <v>0</v>
      </c>
      <c r="BH20" s="464">
        <v>0</v>
      </c>
      <c r="BI20" s="464">
        <f>AJ7*0.708</f>
        <v>0</v>
      </c>
      <c r="BJ20" s="464">
        <f>AK7*0.165</f>
        <v>0</v>
      </c>
      <c r="BK20" s="464">
        <f>AL7*0.286</f>
        <v>0</v>
      </c>
      <c r="BL20" s="464">
        <v>0</v>
      </c>
      <c r="BM20" s="464">
        <v>0</v>
      </c>
      <c r="BN20" s="467">
        <f>BN6</f>
        <v>1.2000000000000011E-2</v>
      </c>
      <c r="BO20" s="467">
        <f>BO6</f>
        <v>1.2000000000000011E-2</v>
      </c>
      <c r="BP20" s="466">
        <f>((AC7+1)+(AF7+1)*2)/8</f>
        <v>3.6806944444444447</v>
      </c>
      <c r="BQ20" s="466">
        <f>((AJ7)+(AM7)*2)/8</f>
        <v>0</v>
      </c>
    </row>
    <row r="21" spans="1:69" s="284" customFormat="1" x14ac:dyDescent="0.25">
      <c r="A21" s="416" t="s">
        <v>577</v>
      </c>
      <c r="B21" s="416" t="s">
        <v>67</v>
      </c>
      <c r="C21" s="417">
        <f t="shared" ca="1" si="11"/>
        <v>3.4107142857142856</v>
      </c>
      <c r="D21" s="418" t="s">
        <v>327</v>
      </c>
      <c r="E21" s="419">
        <f>PLANTILLA!E22</f>
        <v>29</v>
      </c>
      <c r="F21" s="419">
        <f ca="1">PLANTILLA!F22</f>
        <v>66</v>
      </c>
      <c r="G21" s="420" t="s">
        <v>336</v>
      </c>
      <c r="H21" s="401">
        <v>4</v>
      </c>
      <c r="I21" s="335">
        <f>PLANTILLA!I22</f>
        <v>9.9</v>
      </c>
      <c r="J21" s="519">
        <f>PLANTILLA!V22</f>
        <v>0</v>
      </c>
      <c r="K21" s="519">
        <f>PLANTILLA!W22</f>
        <v>6.8176190476190497</v>
      </c>
      <c r="L21" s="519">
        <f>PLANTILLA!X22</f>
        <v>8.3125</v>
      </c>
      <c r="M21" s="519">
        <f>PLANTILLA!Y22</f>
        <v>8.7199999999999971</v>
      </c>
      <c r="N21" s="519">
        <f>PLANTILLA!Z22</f>
        <v>9.6900000000000013</v>
      </c>
      <c r="O21" s="519">
        <f>PLANTILLA!AA22</f>
        <v>8.5625000000000018</v>
      </c>
      <c r="P21" s="519">
        <f>PLANTILLA!AB22</f>
        <v>18.639999999999993</v>
      </c>
      <c r="Q21" s="443">
        <f t="shared" si="4"/>
        <v>29</v>
      </c>
      <c r="R21" s="444">
        <f t="shared" ca="1" si="5"/>
        <v>73</v>
      </c>
      <c r="S21" s="193"/>
      <c r="T21" s="193"/>
      <c r="U21" s="193"/>
      <c r="V21" s="193"/>
      <c r="W21" s="193"/>
      <c r="X21" s="193"/>
      <c r="Y21" s="193"/>
      <c r="Z21" s="193"/>
      <c r="AA21" s="323">
        <f t="shared" si="6"/>
        <v>9.9</v>
      </c>
      <c r="AB21" s="539">
        <f t="shared" si="20"/>
        <v>0</v>
      </c>
      <c r="AC21" s="539">
        <f>K21+(T$2/32)</f>
        <v>6.8176190476190497</v>
      </c>
      <c r="AD21" s="539">
        <f>L21+(U$2/7)</f>
        <v>8.3125</v>
      </c>
      <c r="AE21" s="539">
        <f>M21+(V$2/25)</f>
        <v>8.7199999999999971</v>
      </c>
      <c r="AF21" s="539">
        <f>N21+(W$2/8)</f>
        <v>9.6900000000000013</v>
      </c>
      <c r="AG21" s="539">
        <f>O21+(X$2/6)+(Y$2/5)/2</f>
        <v>8.5625000000000018</v>
      </c>
      <c r="AH21" s="539">
        <f>P21+(Z$2/2)+(Y$2/10)</f>
        <v>19.139999999999993</v>
      </c>
      <c r="AI21" s="456">
        <f t="shared" si="12"/>
        <v>0</v>
      </c>
      <c r="AJ21" s="456">
        <f t="shared" si="13"/>
        <v>0</v>
      </c>
      <c r="AK21" s="456">
        <f t="shared" si="14"/>
        <v>0</v>
      </c>
      <c r="AL21" s="456">
        <f t="shared" si="15"/>
        <v>0</v>
      </c>
      <c r="AM21" s="456">
        <f t="shared" si="16"/>
        <v>0</v>
      </c>
      <c r="AN21" s="456">
        <f t="shared" si="17"/>
        <v>0</v>
      </c>
      <c r="AO21" s="456">
        <f t="shared" si="18"/>
        <v>0.5</v>
      </c>
      <c r="AQ21" s="459" t="s">
        <v>704</v>
      </c>
      <c r="AR21" s="285" t="str">
        <f>D8</f>
        <v>E. Toney</v>
      </c>
      <c r="AS21" s="464">
        <v>0</v>
      </c>
      <c r="AT21" s="464">
        <f>AJ17*0.919</f>
        <v>0</v>
      </c>
      <c r="AU21" s="464">
        <f>AJ8*0.414</f>
        <v>0</v>
      </c>
      <c r="AV21" s="464">
        <f>AK8*0.167</f>
        <v>0</v>
      </c>
      <c r="AW21" s="464">
        <v>0</v>
      </c>
      <c r="AX21" s="464">
        <f>AL8*0.588</f>
        <v>0</v>
      </c>
      <c r="AY21" s="464">
        <v>0</v>
      </c>
      <c r="AZ21" s="467">
        <f>AZ5</f>
        <v>0.03</v>
      </c>
      <c r="BA21" s="467">
        <f>BA5</f>
        <v>0.03</v>
      </c>
      <c r="BB21" s="467">
        <f>BB5</f>
        <v>4.5049999999999999</v>
      </c>
      <c r="BC21" s="467">
        <f>BC5</f>
        <v>0</v>
      </c>
      <c r="BE21" s="459" t="s">
        <v>737</v>
      </c>
      <c r="BF21" s="285" t="str">
        <f>D16</f>
        <v>E. Gross</v>
      </c>
      <c r="BG21" s="464">
        <f t="shared" ref="BG21:BM21" si="39">AS6</f>
        <v>0</v>
      </c>
      <c r="BH21" s="464">
        <f t="shared" si="39"/>
        <v>0</v>
      </c>
      <c r="BI21" s="464">
        <f t="shared" si="39"/>
        <v>0</v>
      </c>
      <c r="BJ21" s="464">
        <f t="shared" si="39"/>
        <v>0</v>
      </c>
      <c r="BK21" s="464">
        <f t="shared" si="39"/>
        <v>0</v>
      </c>
      <c r="BL21" s="464">
        <f t="shared" si="39"/>
        <v>0</v>
      </c>
      <c r="BM21" s="464">
        <f t="shared" si="39"/>
        <v>0</v>
      </c>
      <c r="BN21" s="467">
        <f t="shared" ref="BN21" si="40">AZ6</f>
        <v>1.1999999999999957E-2</v>
      </c>
      <c r="BO21" s="467">
        <f t="shared" ref="BO21:BQ22" si="41">BA6</f>
        <v>1.1999999999999957E-2</v>
      </c>
      <c r="BP21" s="466">
        <f t="shared" si="41"/>
        <v>3.9787499999999998</v>
      </c>
      <c r="BQ21" s="466">
        <f t="shared" si="41"/>
        <v>0</v>
      </c>
    </row>
    <row r="22" spans="1:69" s="272" customFormat="1" x14ac:dyDescent="0.25">
      <c r="A22" s="416" t="s">
        <v>588</v>
      </c>
      <c r="B22" s="416" t="s">
        <v>67</v>
      </c>
      <c r="C22" s="417">
        <f t="shared" ca="1" si="11"/>
        <v>2.7946428571428572</v>
      </c>
      <c r="D22" s="418" t="str">
        <f>PLANTILLA!D23</f>
        <v>L. Calosso</v>
      </c>
      <c r="E22" s="419">
        <f>PLANTILLA!E23</f>
        <v>30</v>
      </c>
      <c r="F22" s="419">
        <f ca="1">PLANTILLA!F23</f>
        <v>23</v>
      </c>
      <c r="G22" s="420"/>
      <c r="H22" s="401">
        <v>4</v>
      </c>
      <c r="I22" s="335">
        <f>PLANTILLA!I23</f>
        <v>10.1</v>
      </c>
      <c r="J22" s="519">
        <f>PLANTILLA!V23</f>
        <v>0</v>
      </c>
      <c r="K22" s="519">
        <f>PLANTILLA!W23</f>
        <v>2</v>
      </c>
      <c r="L22" s="519">
        <f>PLANTILLA!X23</f>
        <v>14.0938</v>
      </c>
      <c r="M22" s="519">
        <f>PLANTILLA!Y23</f>
        <v>3</v>
      </c>
      <c r="N22" s="519">
        <f>PLANTILLA!Z23</f>
        <v>15.02</v>
      </c>
      <c r="O22" s="519">
        <f>PLANTILLA!AA23</f>
        <v>10</v>
      </c>
      <c r="P22" s="519">
        <f>PLANTILLA!AB23</f>
        <v>9.3000000000000007</v>
      </c>
      <c r="Q22" s="443">
        <f t="shared" si="4"/>
        <v>30</v>
      </c>
      <c r="R22" s="444">
        <f t="shared" ca="1" si="5"/>
        <v>30</v>
      </c>
      <c r="S22" s="193"/>
      <c r="T22" s="193"/>
      <c r="U22" s="193"/>
      <c r="V22" s="193"/>
      <c r="W22" s="193"/>
      <c r="X22" s="193"/>
      <c r="Y22" s="193"/>
      <c r="Z22" s="193"/>
      <c r="AA22" s="323">
        <f t="shared" si="6"/>
        <v>10.1</v>
      </c>
      <c r="AB22" s="539">
        <f t="shared" si="20"/>
        <v>0</v>
      </c>
      <c r="AC22" s="539">
        <f>K22+(T$2/21)</f>
        <v>2</v>
      </c>
      <c r="AD22" s="539">
        <f>L22+(U$2/21)</f>
        <v>14.0938</v>
      </c>
      <c r="AE22" s="539">
        <f>M22+(V$2/22)</f>
        <v>3</v>
      </c>
      <c r="AF22" s="539">
        <f>N22+(W$2/17)</f>
        <v>15.02</v>
      </c>
      <c r="AG22" s="539">
        <f>O22+(X$2/25)+(Y$2/8)</f>
        <v>10</v>
      </c>
      <c r="AH22" s="539">
        <f>P22+(Z$2/1)+(Y$2/10)</f>
        <v>10.3</v>
      </c>
      <c r="AI22" s="456">
        <f t="shared" si="12"/>
        <v>0</v>
      </c>
      <c r="AJ22" s="456">
        <f t="shared" si="13"/>
        <v>0</v>
      </c>
      <c r="AK22" s="456">
        <f t="shared" si="14"/>
        <v>0</v>
      </c>
      <c r="AL22" s="456">
        <f t="shared" si="15"/>
        <v>0</v>
      </c>
      <c r="AM22" s="456">
        <f t="shared" si="16"/>
        <v>0</v>
      </c>
      <c r="AN22" s="456">
        <f t="shared" si="17"/>
        <v>0</v>
      </c>
      <c r="AO22" s="456">
        <f t="shared" si="18"/>
        <v>1</v>
      </c>
      <c r="AQ22" s="562" t="s">
        <v>790</v>
      </c>
      <c r="AR22" s="331" t="str">
        <f>AR8</f>
        <v>E.Romweber</v>
      </c>
      <c r="AS22" s="462">
        <f>AS8</f>
        <v>0</v>
      </c>
      <c r="AT22" s="462">
        <f t="shared" ref="AT22:AY22" si="42">AT8</f>
        <v>0</v>
      </c>
      <c r="AU22" s="462">
        <f t="shared" si="42"/>
        <v>0</v>
      </c>
      <c r="AV22" s="462">
        <f t="shared" si="42"/>
        <v>0</v>
      </c>
      <c r="AW22" s="462">
        <f>AW8</f>
        <v>0</v>
      </c>
      <c r="AX22" s="462">
        <f t="shared" si="42"/>
        <v>0</v>
      </c>
      <c r="AY22" s="462">
        <f t="shared" si="42"/>
        <v>0</v>
      </c>
      <c r="AZ22" s="465">
        <f>AZ8</f>
        <v>1.1999999999999957E-2</v>
      </c>
      <c r="BA22" s="465">
        <f t="shared" ref="BA22:BC22" si="43">BA8</f>
        <v>1.1999999999999957E-2</v>
      </c>
      <c r="BB22" s="465">
        <f t="shared" si="43"/>
        <v>0</v>
      </c>
      <c r="BC22" s="465">
        <f t="shared" si="43"/>
        <v>0</v>
      </c>
      <c r="BE22" s="459" t="s">
        <v>789</v>
      </c>
      <c r="BF22" s="331" t="str">
        <f>D9</f>
        <v>B. Bartolache</v>
      </c>
      <c r="BG22" s="462">
        <v>0</v>
      </c>
      <c r="BH22" s="462">
        <f>AJ9*0.754</f>
        <v>0</v>
      </c>
      <c r="BI22" s="462">
        <f>AJ9*0.708</f>
        <v>0</v>
      </c>
      <c r="BJ22" s="462">
        <f>AK9*0.165</f>
        <v>0</v>
      </c>
      <c r="BK22" s="462">
        <v>0</v>
      </c>
      <c r="BL22" s="462">
        <f>AL9*0.286</f>
        <v>0</v>
      </c>
      <c r="BM22" s="462">
        <v>0</v>
      </c>
      <c r="BN22" s="465">
        <f>AZ7</f>
        <v>1.1999999999999957E-2</v>
      </c>
      <c r="BO22" s="465">
        <f t="shared" si="41"/>
        <v>1.1999999999999957E-2</v>
      </c>
      <c r="BP22" s="465">
        <f t="shared" si="41"/>
        <v>4.2825000000000006</v>
      </c>
      <c r="BQ22" s="465">
        <f t="shared" si="41"/>
        <v>0</v>
      </c>
    </row>
    <row r="23" spans="1:69" s="289" customFormat="1" x14ac:dyDescent="0.25">
      <c r="A23" s="416" t="s">
        <v>633</v>
      </c>
      <c r="B23" s="416" t="s">
        <v>67</v>
      </c>
      <c r="C23" s="286">
        <f t="shared" ca="1" si="11"/>
        <v>6.1339285714285712</v>
      </c>
      <c r="D23" s="321" t="s">
        <v>634</v>
      </c>
      <c r="E23" s="419">
        <f>PLANTILLA!E24</f>
        <v>26</v>
      </c>
      <c r="F23" s="419">
        <f ca="1">PLANTILLA!F24</f>
        <v>97</v>
      </c>
      <c r="G23" s="420"/>
      <c r="H23" s="428">
        <v>6</v>
      </c>
      <c r="I23" s="335">
        <f>PLANTILLA!I24</f>
        <v>5.3</v>
      </c>
      <c r="J23" s="519">
        <f>PLANTILLA!V24</f>
        <v>0</v>
      </c>
      <c r="K23" s="519">
        <f>PLANTILLA!W24</f>
        <v>4</v>
      </c>
      <c r="L23" s="519">
        <f>PLANTILLA!X24</f>
        <v>5.5138722222222212</v>
      </c>
      <c r="M23" s="519">
        <f>PLANTILLA!Y24</f>
        <v>5.47</v>
      </c>
      <c r="N23" s="519">
        <f>PLANTILLA!Z24</f>
        <v>10.799999999999999</v>
      </c>
      <c r="O23" s="519">
        <f>PLANTILLA!AA24</f>
        <v>8.384500000000001</v>
      </c>
      <c r="P23" s="519">
        <f>PLANTILLA!AB24</f>
        <v>13.566666666666668</v>
      </c>
      <c r="Q23" s="443">
        <f t="shared" si="4"/>
        <v>26</v>
      </c>
      <c r="R23" s="444">
        <f t="shared" ca="1" si="5"/>
        <v>104</v>
      </c>
      <c r="S23" s="193"/>
      <c r="T23" s="193"/>
      <c r="U23" s="193"/>
      <c r="V23" s="193"/>
      <c r="W23" s="193"/>
      <c r="X23" s="193"/>
      <c r="Y23" s="193"/>
      <c r="Z23" s="193"/>
      <c r="AA23" s="323">
        <f t="shared" si="6"/>
        <v>5.3</v>
      </c>
      <c r="AB23" s="539">
        <f t="shared" si="20"/>
        <v>0</v>
      </c>
      <c r="AC23" s="539">
        <f>K23+(T$2/20)</f>
        <v>4</v>
      </c>
      <c r="AD23" s="539">
        <f>L23+(U$2/27)</f>
        <v>5.5138722222222212</v>
      </c>
      <c r="AE23" s="539">
        <f>M23+(V$2/21)</f>
        <v>5.47</v>
      </c>
      <c r="AF23" s="539">
        <f>N23+(W$2/8)</f>
        <v>10.799999999999999</v>
      </c>
      <c r="AG23" s="539">
        <f>O23+(X$2/5)+(Y$2/5)/2</f>
        <v>8.384500000000001</v>
      </c>
      <c r="AH23" s="539">
        <f>P23+(Z$2/1.5)+(Y$2/10)</f>
        <v>14.233333333333334</v>
      </c>
      <c r="AI23" s="456">
        <f t="shared" si="12"/>
        <v>0</v>
      </c>
      <c r="AJ23" s="456">
        <f t="shared" si="13"/>
        <v>0</v>
      </c>
      <c r="AK23" s="456">
        <f t="shared" si="14"/>
        <v>0</v>
      </c>
      <c r="AL23" s="456">
        <f t="shared" si="15"/>
        <v>0</v>
      </c>
      <c r="AM23" s="456">
        <f t="shared" si="16"/>
        <v>0</v>
      </c>
      <c r="AN23" s="456">
        <f t="shared" si="17"/>
        <v>0</v>
      </c>
      <c r="AO23" s="456">
        <f t="shared" si="18"/>
        <v>0.66666666666666607</v>
      </c>
      <c r="AQ23" s="459" t="s">
        <v>596</v>
      </c>
      <c r="AR23" s="285" t="str">
        <f>D14</f>
        <v>S. Buscleman</v>
      </c>
      <c r="AS23" s="464">
        <f t="shared" ref="AS23:AS28" si="44">AS9</f>
        <v>0</v>
      </c>
      <c r="AT23" s="464">
        <f t="shared" ref="AT23:BC23" si="45">AT9</f>
        <v>0</v>
      </c>
      <c r="AU23" s="464">
        <f t="shared" si="45"/>
        <v>0</v>
      </c>
      <c r="AV23" s="464">
        <f t="shared" si="45"/>
        <v>0</v>
      </c>
      <c r="AW23" s="464">
        <f t="shared" si="45"/>
        <v>0</v>
      </c>
      <c r="AX23" s="464">
        <f t="shared" si="45"/>
        <v>0</v>
      </c>
      <c r="AY23" s="464">
        <f t="shared" si="45"/>
        <v>0</v>
      </c>
      <c r="AZ23" s="467">
        <f t="shared" si="45"/>
        <v>0.03</v>
      </c>
      <c r="BA23" s="467">
        <f t="shared" si="45"/>
        <v>0.03</v>
      </c>
      <c r="BB23" s="467">
        <f t="shared" si="45"/>
        <v>0</v>
      </c>
      <c r="BC23" s="467">
        <f t="shared" si="45"/>
        <v>0</v>
      </c>
      <c r="BE23" s="459" t="s">
        <v>704</v>
      </c>
      <c r="BF23" s="285" t="str">
        <f>D11</f>
        <v>E.Romweber</v>
      </c>
      <c r="BG23" s="464">
        <v>0</v>
      </c>
      <c r="BH23" s="464">
        <f>AJ11*0.919</f>
        <v>0</v>
      </c>
      <c r="BI23" s="464">
        <f>AJ11*0.414</f>
        <v>0</v>
      </c>
      <c r="BJ23" s="464">
        <f>AK11*0.167</f>
        <v>0</v>
      </c>
      <c r="BK23" s="464">
        <v>0</v>
      </c>
      <c r="BL23" s="464">
        <f>AL11*0.588</f>
        <v>0</v>
      </c>
      <c r="BM23" s="464">
        <v>0</v>
      </c>
      <c r="BN23" s="467">
        <f>AZ8</f>
        <v>1.1999999999999957E-2</v>
      </c>
      <c r="BO23" s="467">
        <f>BA8</f>
        <v>1.1999999999999957E-2</v>
      </c>
      <c r="BP23" s="467">
        <f>((AC11+1)+(AF11+1)*2)/8</f>
        <v>4.6012500000000003</v>
      </c>
      <c r="BQ23" s="467">
        <f>((AJ11)+(AM11)*2)/8</f>
        <v>0</v>
      </c>
    </row>
    <row r="24" spans="1:69" s="266" customFormat="1" x14ac:dyDescent="0.25">
      <c r="A24"/>
      <c r="B24"/>
      <c r="C24" s="236"/>
      <c r="D24" s="180"/>
      <c r="E24"/>
      <c r="F24"/>
      <c r="G24" s="454"/>
      <c r="H24" s="4"/>
      <c r="I24"/>
      <c r="J24" s="156"/>
      <c r="K24"/>
      <c r="L24"/>
      <c r="M24"/>
      <c r="N24"/>
      <c r="O24"/>
      <c r="P24"/>
      <c r="Q24" s="485"/>
      <c r="R24" s="485"/>
      <c r="S24" s="371">
        <f t="shared" ref="S24:Z24" si="46">SUM(S21:S23)</f>
        <v>0</v>
      </c>
      <c r="T24" s="371">
        <f t="shared" si="46"/>
        <v>0</v>
      </c>
      <c r="U24" s="371">
        <f t="shared" si="46"/>
        <v>0</v>
      </c>
      <c r="V24" s="371">
        <f t="shared" si="46"/>
        <v>0</v>
      </c>
      <c r="W24" s="371">
        <f t="shared" si="46"/>
        <v>0</v>
      </c>
      <c r="X24" s="371">
        <f t="shared" si="46"/>
        <v>0</v>
      </c>
      <c r="Y24" s="371"/>
      <c r="Z24" s="371">
        <f t="shared" si="46"/>
        <v>0</v>
      </c>
      <c r="AA24" s="454"/>
      <c r="AB24" s="454"/>
      <c r="AC24" s="454"/>
      <c r="AD24" s="454"/>
      <c r="AE24" s="454"/>
      <c r="AF24" s="454"/>
      <c r="AG24" s="454"/>
      <c r="AH24" s="454"/>
      <c r="AI24"/>
      <c r="AJ24"/>
      <c r="AK24"/>
      <c r="AL24"/>
      <c r="AM24"/>
      <c r="AN24"/>
      <c r="AO24"/>
      <c r="AQ24" s="459" t="s">
        <v>792</v>
      </c>
      <c r="AR24" s="285" t="str">
        <f>AR10</f>
        <v>L. Bauman</v>
      </c>
      <c r="AS24" s="464">
        <f t="shared" si="44"/>
        <v>0</v>
      </c>
      <c r="AT24" s="464">
        <f t="shared" ref="AT24:AY24" si="47">AT10</f>
        <v>0</v>
      </c>
      <c r="AU24" s="464">
        <f t="shared" si="47"/>
        <v>0</v>
      </c>
      <c r="AV24" s="464">
        <f t="shared" si="47"/>
        <v>0</v>
      </c>
      <c r="AW24" s="464">
        <f t="shared" si="47"/>
        <v>0</v>
      </c>
      <c r="AX24" s="464">
        <f t="shared" si="47"/>
        <v>0</v>
      </c>
      <c r="AY24" s="464">
        <f t="shared" si="47"/>
        <v>0</v>
      </c>
      <c r="AZ24" s="467">
        <f>AZ10</f>
        <v>1.1999999999999957E-2</v>
      </c>
      <c r="BA24" s="467">
        <f t="shared" ref="BA24:BC24" si="48">BA10</f>
        <v>1.1999999999999957E-2</v>
      </c>
      <c r="BB24" s="467">
        <f t="shared" si="48"/>
        <v>0</v>
      </c>
      <c r="BC24" s="467">
        <f t="shared" si="48"/>
        <v>0</v>
      </c>
      <c r="BE24" s="563" t="s">
        <v>791</v>
      </c>
      <c r="BF24" s="285" t="str">
        <f>D12</f>
        <v>K. Helms</v>
      </c>
      <c r="BG24" s="462">
        <f>AT12</f>
        <v>0</v>
      </c>
      <c r="BH24" s="462">
        <f>AS12</f>
        <v>0</v>
      </c>
      <c r="BI24" s="462">
        <f>AU12</f>
        <v>0</v>
      </c>
      <c r="BJ24" s="462">
        <f>AV12</f>
        <v>0</v>
      </c>
      <c r="BK24" s="462">
        <f>AX12</f>
        <v>0</v>
      </c>
      <c r="BL24" s="462">
        <v>0</v>
      </c>
      <c r="BM24" s="462">
        <f>AY12</f>
        <v>0</v>
      </c>
      <c r="BN24" s="465">
        <f>AZ12</f>
        <v>1.1999999999999957E-2</v>
      </c>
      <c r="BO24" s="465">
        <f t="shared" ref="BO24:BQ24" si="49">BA12</f>
        <v>1.1999999999999957E-2</v>
      </c>
      <c r="BP24" s="465">
        <f t="shared" si="49"/>
        <v>0</v>
      </c>
      <c r="BQ24" s="465">
        <f t="shared" si="49"/>
        <v>0</v>
      </c>
    </row>
    <row r="25" spans="1:69" s="264" customFormat="1" x14ac:dyDescent="0.25">
      <c r="A25"/>
      <c r="B25"/>
      <c r="C25" s="236"/>
      <c r="D25" s="180"/>
      <c r="E25"/>
      <c r="F25"/>
      <c r="G25" s="454"/>
      <c r="H25" s="4"/>
      <c r="I25"/>
      <c r="J25" s="156"/>
      <c r="K25"/>
      <c r="L25"/>
      <c r="M25"/>
      <c r="N25"/>
      <c r="O25"/>
      <c r="P25"/>
      <c r="Q25" s="485"/>
      <c r="R25" s="485"/>
      <c r="S25" s="454"/>
      <c r="T25" s="454"/>
      <c r="U25" s="454"/>
      <c r="V25" s="454"/>
      <c r="W25" s="454"/>
      <c r="X25" s="454"/>
      <c r="Y25" s="561"/>
      <c r="Z25" s="454"/>
      <c r="AA25" s="454"/>
      <c r="AB25" s="454"/>
      <c r="AC25" s="454"/>
      <c r="AD25" s="454"/>
      <c r="AE25" s="454"/>
      <c r="AF25" s="454"/>
      <c r="AG25" s="454"/>
      <c r="AH25" s="454"/>
      <c r="AI25"/>
      <c r="AJ25"/>
      <c r="AK25"/>
      <c r="AL25"/>
      <c r="AM25"/>
      <c r="AN25"/>
      <c r="AO25"/>
      <c r="AQ25" s="459" t="s">
        <v>596</v>
      </c>
      <c r="AR25" s="285" t="str">
        <f>D15</f>
        <v>C. Rojas</v>
      </c>
      <c r="AS25" s="464">
        <f t="shared" si="44"/>
        <v>0</v>
      </c>
      <c r="AT25" s="464">
        <f t="shared" ref="AT25:BC25" si="50">AT11</f>
        <v>0</v>
      </c>
      <c r="AU25" s="464">
        <f t="shared" si="50"/>
        <v>0</v>
      </c>
      <c r="AV25" s="464">
        <f t="shared" si="50"/>
        <v>0</v>
      </c>
      <c r="AW25" s="464">
        <f t="shared" si="50"/>
        <v>0</v>
      </c>
      <c r="AX25" s="464">
        <f t="shared" si="50"/>
        <v>0</v>
      </c>
      <c r="AY25" s="464">
        <f t="shared" si="50"/>
        <v>0</v>
      </c>
      <c r="AZ25" s="467">
        <f t="shared" si="50"/>
        <v>1.4999999999999999E-2</v>
      </c>
      <c r="BA25" s="467">
        <f t="shared" si="50"/>
        <v>1.4999999999999999E-2</v>
      </c>
      <c r="BB25" s="467">
        <f t="shared" si="50"/>
        <v>0</v>
      </c>
      <c r="BC25" s="467">
        <f t="shared" si="50"/>
        <v>0</v>
      </c>
      <c r="BE25" s="459" t="s">
        <v>596</v>
      </c>
      <c r="BF25" s="285" t="str">
        <f>D14</f>
        <v>S. Buscleman</v>
      </c>
      <c r="BG25" s="464">
        <f t="shared" ref="BG25:BM25" si="51">AS9</f>
        <v>0</v>
      </c>
      <c r="BH25" s="464">
        <f t="shared" si="51"/>
        <v>0</v>
      </c>
      <c r="BI25" s="464">
        <f t="shared" si="51"/>
        <v>0</v>
      </c>
      <c r="BJ25" s="464">
        <f t="shared" si="51"/>
        <v>0</v>
      </c>
      <c r="BK25" s="464">
        <f t="shared" si="51"/>
        <v>0</v>
      </c>
      <c r="BL25" s="464">
        <f t="shared" si="51"/>
        <v>0</v>
      </c>
      <c r="BM25" s="464">
        <f t="shared" si="51"/>
        <v>0</v>
      </c>
      <c r="BN25" s="467">
        <f t="shared" ref="BN25" si="52">AZ9</f>
        <v>0.03</v>
      </c>
      <c r="BO25" s="467">
        <f>BA9</f>
        <v>0.03</v>
      </c>
      <c r="BP25" s="467">
        <f>BB9</f>
        <v>0</v>
      </c>
      <c r="BQ25" s="467">
        <f>BC9</f>
        <v>0</v>
      </c>
    </row>
    <row r="26" spans="1:69" s="289" customFormat="1" ht="14.25" customHeight="1" x14ac:dyDescent="0.25">
      <c r="A26"/>
      <c r="B26"/>
      <c r="C26" s="236"/>
      <c r="D26" s="180"/>
      <c r="E26"/>
      <c r="F26"/>
      <c r="G26" s="454"/>
      <c r="H26" s="4"/>
      <c r="I26"/>
      <c r="J26" s="156"/>
      <c r="K26"/>
      <c r="L26"/>
      <c r="M26"/>
      <c r="N26"/>
      <c r="O26"/>
      <c r="P26"/>
      <c r="Q26" s="485"/>
      <c r="R26" s="485"/>
      <c r="S26" s="454"/>
      <c r="T26" s="454"/>
      <c r="U26" s="454"/>
      <c r="V26" s="454"/>
      <c r="W26" s="454"/>
      <c r="X26" s="454"/>
      <c r="Y26" s="561"/>
      <c r="Z26" s="454"/>
      <c r="AA26" s="454"/>
      <c r="AB26" s="454"/>
      <c r="AC26" s="454"/>
      <c r="AD26" s="454"/>
      <c r="AE26" s="454"/>
      <c r="AF26" s="454"/>
      <c r="AG26" s="454"/>
      <c r="AH26" s="454"/>
      <c r="AI26"/>
      <c r="AJ26"/>
      <c r="AK26"/>
      <c r="AL26"/>
      <c r="AM26"/>
      <c r="AN26"/>
      <c r="AO26"/>
      <c r="AQ26" s="563" t="s">
        <v>791</v>
      </c>
      <c r="AR26" s="285" t="str">
        <f>AR12</f>
        <v>K. Helms</v>
      </c>
      <c r="AS26" s="464">
        <f t="shared" si="44"/>
        <v>0</v>
      </c>
      <c r="AT26" s="464">
        <f t="shared" ref="AT26:AY26" si="53">AT12</f>
        <v>0</v>
      </c>
      <c r="AU26" s="464">
        <f t="shared" si="53"/>
        <v>0</v>
      </c>
      <c r="AV26" s="464">
        <f t="shared" si="53"/>
        <v>0</v>
      </c>
      <c r="AW26" s="464">
        <f t="shared" si="53"/>
        <v>0</v>
      </c>
      <c r="AX26" s="464">
        <f t="shared" si="53"/>
        <v>0</v>
      </c>
      <c r="AY26" s="464">
        <f t="shared" si="53"/>
        <v>0</v>
      </c>
      <c r="AZ26" s="467">
        <f>AZ12</f>
        <v>1.1999999999999957E-2</v>
      </c>
      <c r="BA26" s="467">
        <f t="shared" ref="BA26:BC26" si="54">BA12</f>
        <v>1.1999999999999957E-2</v>
      </c>
      <c r="BB26" s="467">
        <f t="shared" si="54"/>
        <v>0</v>
      </c>
      <c r="BC26" s="467">
        <f t="shared" si="54"/>
        <v>0</v>
      </c>
      <c r="BE26" s="459" t="s">
        <v>596</v>
      </c>
      <c r="BF26" s="285" t="str">
        <f>D15</f>
        <v>C. Rojas</v>
      </c>
      <c r="BG26" s="464">
        <f t="shared" ref="BG26:BM26" si="55">AS11</f>
        <v>0</v>
      </c>
      <c r="BH26" s="464">
        <f t="shared" si="55"/>
        <v>0</v>
      </c>
      <c r="BI26" s="464">
        <f t="shared" si="55"/>
        <v>0</v>
      </c>
      <c r="BJ26" s="464">
        <f t="shared" si="55"/>
        <v>0</v>
      </c>
      <c r="BK26" s="464">
        <f t="shared" si="55"/>
        <v>0</v>
      </c>
      <c r="BL26" s="464">
        <f t="shared" si="55"/>
        <v>0</v>
      </c>
      <c r="BM26" s="464">
        <f t="shared" si="55"/>
        <v>0</v>
      </c>
      <c r="BN26" s="467">
        <f t="shared" ref="BN26" si="56">AZ11</f>
        <v>1.4999999999999999E-2</v>
      </c>
      <c r="BO26" s="467">
        <f>BA11</f>
        <v>1.4999999999999999E-2</v>
      </c>
      <c r="BP26" s="467">
        <f>BB11</f>
        <v>0</v>
      </c>
      <c r="BQ26" s="467">
        <f>BC11</f>
        <v>0</v>
      </c>
    </row>
    <row r="27" spans="1:69" x14ac:dyDescent="0.25">
      <c r="W27" s="454">
        <v>1</v>
      </c>
      <c r="AQ27" s="562" t="s">
        <v>67</v>
      </c>
      <c r="AR27" s="331" t="str">
        <f>D21</f>
        <v>J. Limon</v>
      </c>
      <c r="AS27" s="462">
        <f t="shared" si="44"/>
        <v>0</v>
      </c>
      <c r="AT27" s="462">
        <f t="shared" ref="AT27:BC27" si="57">AT13</f>
        <v>0</v>
      </c>
      <c r="AU27" s="462">
        <f t="shared" si="57"/>
        <v>0</v>
      </c>
      <c r="AV27" s="462">
        <f t="shared" si="57"/>
        <v>0</v>
      </c>
      <c r="AW27" s="462">
        <f t="shared" si="57"/>
        <v>0</v>
      </c>
      <c r="AX27" s="462">
        <f t="shared" si="57"/>
        <v>0</v>
      </c>
      <c r="AY27" s="462">
        <f t="shared" si="57"/>
        <v>0</v>
      </c>
      <c r="AZ27" s="587">
        <f t="shared" si="57"/>
        <v>0.06</v>
      </c>
      <c r="BA27" s="587">
        <f t="shared" si="57"/>
        <v>1.4999999999999999E-2</v>
      </c>
      <c r="BB27" s="465">
        <f t="shared" si="57"/>
        <v>0</v>
      </c>
      <c r="BC27" s="465">
        <f t="shared" si="57"/>
        <v>0</v>
      </c>
      <c r="BE27" s="562" t="s">
        <v>791</v>
      </c>
      <c r="BF27" s="331" t="str">
        <f>D13</f>
        <v>S. Zobbe</v>
      </c>
      <c r="BG27" s="464">
        <v>0</v>
      </c>
      <c r="BH27" s="464">
        <f>AJ13*0.18</f>
        <v>0</v>
      </c>
      <c r="BI27" s="464">
        <f>AJ13*0.068</f>
        <v>0</v>
      </c>
      <c r="BJ27" s="464">
        <f>AK13*0.305</f>
        <v>0</v>
      </c>
      <c r="BK27" s="464">
        <v>0</v>
      </c>
      <c r="BL27" s="464">
        <f>(AL13*1)+(AM13*0.286)</f>
        <v>0</v>
      </c>
      <c r="BM27" s="464">
        <f>AM13*0.135</f>
        <v>0</v>
      </c>
      <c r="BN27" s="467">
        <f>AZ14</f>
        <v>1.4999999999999999E-2</v>
      </c>
      <c r="BO27" s="467">
        <f t="shared" ref="BO27:BQ27" si="58">BA14</f>
        <v>1.4999999999999999E-2</v>
      </c>
      <c r="BP27" s="467">
        <f t="shared" si="58"/>
        <v>0</v>
      </c>
      <c r="BQ27" s="467">
        <f t="shared" si="58"/>
        <v>0</v>
      </c>
    </row>
    <row r="28" spans="1:69" x14ac:dyDescent="0.25">
      <c r="Q28" s="163"/>
      <c r="W28" s="454">
        <v>0.8</v>
      </c>
      <c r="AQ28" s="563" t="s">
        <v>67</v>
      </c>
      <c r="AR28" s="285" t="str">
        <f>AR14</f>
        <v>S. Zobbe</v>
      </c>
      <c r="AS28" s="464">
        <f t="shared" si="44"/>
        <v>0</v>
      </c>
      <c r="AT28" s="464">
        <f t="shared" ref="AT28:AY28" si="59">AT14</f>
        <v>0</v>
      </c>
      <c r="AU28" s="464">
        <f t="shared" si="59"/>
        <v>0</v>
      </c>
      <c r="AV28" s="464">
        <f t="shared" si="59"/>
        <v>0</v>
      </c>
      <c r="AW28" s="464">
        <f t="shared" si="59"/>
        <v>0</v>
      </c>
      <c r="AX28" s="464">
        <f t="shared" si="59"/>
        <v>0</v>
      </c>
      <c r="AY28" s="464">
        <f t="shared" si="59"/>
        <v>0</v>
      </c>
      <c r="AZ28" s="465">
        <f>AZ14</f>
        <v>1.4999999999999999E-2</v>
      </c>
      <c r="BA28" s="465">
        <f t="shared" ref="BA28:BC28" si="60">BA14</f>
        <v>1.4999999999999999E-2</v>
      </c>
      <c r="BB28" s="465">
        <f t="shared" si="60"/>
        <v>0</v>
      </c>
      <c r="BC28" s="465">
        <f t="shared" si="60"/>
        <v>0</v>
      </c>
      <c r="BE28" s="563" t="s">
        <v>67</v>
      </c>
      <c r="BF28" s="285" t="str">
        <f>D21</f>
        <v>J. Limon</v>
      </c>
      <c r="BG28" s="462">
        <f t="shared" ref="BG28:BM28" si="61">AS13</f>
        <v>0</v>
      </c>
      <c r="BH28" s="462">
        <f t="shared" si="61"/>
        <v>0</v>
      </c>
      <c r="BI28" s="462">
        <f t="shared" si="61"/>
        <v>0</v>
      </c>
      <c r="BJ28" s="462">
        <f t="shared" si="61"/>
        <v>0</v>
      </c>
      <c r="BK28" s="462">
        <f t="shared" si="61"/>
        <v>0</v>
      </c>
      <c r="BL28" s="462">
        <f t="shared" si="61"/>
        <v>0</v>
      </c>
      <c r="BM28" s="462">
        <f t="shared" si="61"/>
        <v>0</v>
      </c>
      <c r="BN28" s="587">
        <f t="shared" ref="BN28" si="62">AZ13</f>
        <v>0.06</v>
      </c>
      <c r="BO28" s="587">
        <f>BA13</f>
        <v>1.4999999999999999E-2</v>
      </c>
      <c r="BP28" s="465">
        <f>BB13</f>
        <v>0</v>
      </c>
      <c r="BQ28" s="465">
        <f>BC13</f>
        <v>0</v>
      </c>
    </row>
    <row r="29" spans="1:69" x14ac:dyDescent="0.25">
      <c r="K29">
        <v>0.8</v>
      </c>
      <c r="W29" s="454">
        <f>W27-W28</f>
        <v>0.19999999999999996</v>
      </c>
      <c r="X29" s="454">
        <v>3</v>
      </c>
      <c r="AB29" s="163"/>
      <c r="AC29" s="163"/>
      <c r="AD29" s="163"/>
      <c r="AE29" s="163"/>
      <c r="AF29" s="163"/>
      <c r="AG29" s="163"/>
      <c r="AH29" s="163"/>
      <c r="AQ29" s="460"/>
      <c r="AR29" s="461"/>
      <c r="AS29" s="461"/>
      <c r="AT29" s="461"/>
      <c r="AU29" s="461"/>
      <c r="AV29" s="461"/>
      <c r="AW29" s="461"/>
      <c r="AX29" s="461"/>
      <c r="AY29" s="461"/>
      <c r="AZ29" s="461"/>
      <c r="BA29" s="461"/>
      <c r="BB29" s="461"/>
      <c r="BC29" s="461"/>
    </row>
    <row r="30" spans="1:69" x14ac:dyDescent="0.25">
      <c r="K30">
        <f>1-K29</f>
        <v>0.19999999999999996</v>
      </c>
      <c r="W30" s="454">
        <v>1</v>
      </c>
      <c r="X30" s="454">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16" priority="91" operator="greaterThan">
      <formula>0</formula>
    </cfRule>
  </conditionalFormatting>
  <conditionalFormatting sqref="AS4:AY13 AS14:AU14">
    <cfRule type="cellIs" dxfId="315"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14" priority="48" operator="lessThan">
      <formula>0.2</formula>
    </cfRule>
    <cfRule type="cellIs" dxfId="313"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12" priority="42" operator="greaterThan">
      <formula>0</formula>
    </cfRule>
  </conditionalFormatting>
  <conditionalFormatting sqref="AS19:AY19 AS24:AY24 AS21:AY22 AV20:AW20 AY20">
    <cfRule type="cellIs" dxfId="311" priority="47" operator="greaterThan">
      <formula>0</formula>
    </cfRule>
  </conditionalFormatting>
  <conditionalFormatting sqref="BG6:BM7 BG12:BM13">
    <cfRule type="cellIs" dxfId="310" priority="45" operator="greaterThan">
      <formula>0</formula>
    </cfRule>
  </conditionalFormatting>
  <conditionalFormatting sqref="AS18:AY18">
    <cfRule type="cellIs" dxfId="309" priority="41" operator="greaterThan">
      <formula>0</formula>
    </cfRule>
  </conditionalFormatting>
  <conditionalFormatting sqref="BG20:BM20 BG22:BM22">
    <cfRule type="cellIs" dxfId="308" priority="43" operator="greaterThan">
      <formula>0</formula>
    </cfRule>
  </conditionalFormatting>
  <conditionalFormatting sqref="BG4:BM4">
    <cfRule type="cellIs" dxfId="307" priority="40" operator="greaterThan">
      <formula>0</formula>
    </cfRule>
  </conditionalFormatting>
  <conditionalFormatting sqref="BG18:BM18">
    <cfRule type="cellIs" dxfId="306" priority="39" operator="greaterThan">
      <formula>0</formula>
    </cfRule>
  </conditionalFormatting>
  <conditionalFormatting sqref="BG21:BM21">
    <cfRule type="cellIs" dxfId="305" priority="36" operator="greaterThan">
      <formula>0</formula>
    </cfRule>
  </conditionalFormatting>
  <conditionalFormatting sqref="BG19:BM19">
    <cfRule type="cellIs" dxfId="304" priority="37" operator="greaterThan">
      <formula>0</formula>
    </cfRule>
  </conditionalFormatting>
  <conditionalFormatting sqref="AS23:AY23">
    <cfRule type="cellIs" dxfId="303" priority="34" operator="greaterThan">
      <formula>0</formula>
    </cfRule>
  </conditionalFormatting>
  <conditionalFormatting sqref="BG9:BM9">
    <cfRule type="cellIs" dxfId="302" priority="33" operator="greaterThan">
      <formula>0</formula>
    </cfRule>
  </conditionalFormatting>
  <conditionalFormatting sqref="BG23:BM23">
    <cfRule type="cellIs" dxfId="301" priority="32" operator="greaterThan">
      <formula>0</formula>
    </cfRule>
  </conditionalFormatting>
  <conditionalFormatting sqref="BG10:BM10">
    <cfRule type="cellIs" dxfId="300" priority="31" operator="greaterThan">
      <formula>0</formula>
    </cfRule>
  </conditionalFormatting>
  <conditionalFormatting sqref="BG24:BM24">
    <cfRule type="cellIs" dxfId="299" priority="30" operator="greaterThan">
      <formula>0</formula>
    </cfRule>
  </conditionalFormatting>
  <conditionalFormatting sqref="AS25:AY25">
    <cfRule type="cellIs" dxfId="298" priority="29" operator="greaterThan">
      <formula>0</formula>
    </cfRule>
  </conditionalFormatting>
  <conditionalFormatting sqref="BG11:BM11">
    <cfRule type="cellIs" dxfId="297" priority="28" operator="greaterThan">
      <formula>0</formula>
    </cfRule>
  </conditionalFormatting>
  <conditionalFormatting sqref="AS26:AY26">
    <cfRule type="cellIs" dxfId="296" priority="26" operator="greaterThan">
      <formula>0</formula>
    </cfRule>
  </conditionalFormatting>
  <conditionalFormatting sqref="BG26:BM26">
    <cfRule type="cellIs" dxfId="295" priority="25" operator="greaterThan">
      <formula>0</formula>
    </cfRule>
  </conditionalFormatting>
  <conditionalFormatting sqref="AS27:AY27">
    <cfRule type="cellIs" dxfId="294" priority="24" operator="greaterThan">
      <formula>0</formula>
    </cfRule>
  </conditionalFormatting>
  <conditionalFormatting sqref="BG27:BM27">
    <cfRule type="cellIs" dxfId="293" priority="23" operator="greaterThan">
      <formula>0</formula>
    </cfRule>
  </conditionalFormatting>
  <conditionalFormatting sqref="AV14:AY14">
    <cfRule type="cellIs" dxfId="292" priority="22" operator="greaterThan">
      <formula>0</formula>
    </cfRule>
  </conditionalFormatting>
  <conditionalFormatting sqref="AS28:AY28">
    <cfRule type="cellIs" dxfId="291" priority="21" operator="greaterThan">
      <formula>0</formula>
    </cfRule>
  </conditionalFormatting>
  <conditionalFormatting sqref="BG14:BI14">
    <cfRule type="cellIs" dxfId="290" priority="19" operator="greaterThan">
      <formula>0</formula>
    </cfRule>
  </conditionalFormatting>
  <conditionalFormatting sqref="BG28:BM28">
    <cfRule type="cellIs" dxfId="289" priority="17" operator="greaterThan">
      <formula>0</formula>
    </cfRule>
  </conditionalFormatting>
  <conditionalFormatting sqref="BG25:BM25">
    <cfRule type="cellIs" dxfId="288" priority="16" operator="greaterThan">
      <formula>0</formula>
    </cfRule>
  </conditionalFormatting>
  <conditionalFormatting sqref="AS20:AU20">
    <cfRule type="cellIs" dxfId="287" priority="8" operator="greaterThan">
      <formula>0</formula>
    </cfRule>
  </conditionalFormatting>
  <conditionalFormatting sqref="AX20">
    <cfRule type="cellIs" dxfId="286" priority="7" operator="greaterThan">
      <formula>0</formula>
    </cfRule>
  </conditionalFormatting>
  <conditionalFormatting sqref="BJ14:BM14">
    <cfRule type="cellIs" dxfId="285" priority="6" operator="greaterThan">
      <formula>0</formula>
    </cfRule>
  </conditionalFormatting>
  <conditionalFormatting sqref="BG2:BM2">
    <cfRule type="cellIs" dxfId="284" priority="5" operator="greaterThan">
      <formula>0</formula>
    </cfRule>
  </conditionalFormatting>
  <conditionalFormatting sqref="AS2:AY2">
    <cfRule type="cellIs" dxfId="283" priority="4" operator="greaterThan">
      <formula>0</formula>
    </cfRule>
  </conditionalFormatting>
  <conditionalFormatting sqref="AS16:AY16">
    <cfRule type="cellIs" dxfId="282" priority="3" operator="greaterThan">
      <formula>0</formula>
    </cfRule>
  </conditionalFormatting>
  <conditionalFormatting sqref="J4:P23">
    <cfRule type="cellIs" dxfId="281"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80" priority="1" operator="greaterThan">
      <formula>0</formula>
    </cfRule>
  </conditionalFormatting>
  <conditionalFormatting sqref="BG5:BM5">
    <cfRule type="cellIs" dxfId="279"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1" customWidth="1"/>
    <col min="2" max="2" width="14.28515625" style="561" bestFit="1" customWidth="1"/>
    <col min="3" max="9" width="8.28515625" style="561" bestFit="1" customWidth="1"/>
    <col min="10" max="10" width="8.28515625" style="584" bestFit="1" customWidth="1"/>
    <col min="11" max="11" width="9.28515625" style="584" bestFit="1" customWidth="1"/>
    <col min="12" max="12" width="8.28515625" style="56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4"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875</v>
      </c>
      <c r="C1" s="613">
        <f t="shared" ref="C1:L1" si="0">MAX(C3:C27)</f>
        <v>7.6541020779221203E-2</v>
      </c>
      <c r="D1" s="613">
        <f t="shared" si="0"/>
        <v>9.516709370629349E-2</v>
      </c>
      <c r="E1" s="613">
        <f t="shared" si="0"/>
        <v>0.10114897692307692</v>
      </c>
      <c r="F1" s="613">
        <f t="shared" si="0"/>
        <v>5.254696863959811E-2</v>
      </c>
      <c r="G1" s="613">
        <f t="shared" si="0"/>
        <v>5.2239892473118138E-2</v>
      </c>
      <c r="H1" s="613">
        <f t="shared" si="0"/>
        <v>8.0176190476190248E-2</v>
      </c>
      <c r="I1" s="613">
        <f t="shared" si="0"/>
        <v>5.7961761904761842E-2</v>
      </c>
      <c r="J1" s="613">
        <f t="shared" si="0"/>
        <v>0</v>
      </c>
      <c r="K1" s="613">
        <f t="shared" si="0"/>
        <v>3.6222627372627408E-2</v>
      </c>
      <c r="L1" s="613">
        <f t="shared" si="0"/>
        <v>0.16964285714285698</v>
      </c>
      <c r="N1" s="561"/>
      <c r="O1" s="561"/>
      <c r="P1" s="564"/>
      <c r="Q1" s="564"/>
      <c r="R1" s="564"/>
      <c r="S1" s="564"/>
      <c r="T1" s="564"/>
      <c r="U1" s="564"/>
      <c r="V1" s="564"/>
      <c r="W1" s="564"/>
      <c r="X1" s="564"/>
      <c r="Y1" s="675"/>
      <c r="Z1" s="564"/>
      <c r="AA1" s="564"/>
      <c r="AB1" s="564"/>
      <c r="AC1" s="564"/>
      <c r="AD1" s="564"/>
      <c r="AE1" s="564"/>
      <c r="AF1" s="564"/>
      <c r="AG1" s="564"/>
    </row>
    <row r="2" spans="1:33" x14ac:dyDescent="0.25">
      <c r="A2" s="670" t="s">
        <v>867</v>
      </c>
      <c r="B2" s="671" t="s">
        <v>866</v>
      </c>
      <c r="C2" s="361" t="s">
        <v>541</v>
      </c>
      <c r="D2" s="567" t="s">
        <v>542</v>
      </c>
      <c r="E2" s="567" t="s">
        <v>582</v>
      </c>
      <c r="F2" s="567" t="s">
        <v>543</v>
      </c>
      <c r="G2" s="567" t="s">
        <v>544</v>
      </c>
      <c r="H2" s="567" t="s">
        <v>545</v>
      </c>
      <c r="I2" s="567" t="s">
        <v>546</v>
      </c>
      <c r="J2" s="567" t="s">
        <v>876</v>
      </c>
      <c r="K2" s="567" t="s">
        <v>877</v>
      </c>
      <c r="L2" s="567" t="s">
        <v>714</v>
      </c>
      <c r="N2" s="670" t="s">
        <v>867</v>
      </c>
      <c r="O2" s="671" t="s">
        <v>866</v>
      </c>
      <c r="P2" s="361" t="s">
        <v>541</v>
      </c>
      <c r="Q2" s="567" t="s">
        <v>1024</v>
      </c>
      <c r="R2" s="567" t="s">
        <v>542</v>
      </c>
      <c r="S2" s="567" t="s">
        <v>1024</v>
      </c>
      <c r="T2" s="567" t="s">
        <v>582</v>
      </c>
      <c r="U2" s="567" t="s">
        <v>1024</v>
      </c>
      <c r="V2" s="567" t="s">
        <v>543</v>
      </c>
      <c r="W2" s="567" t="s">
        <v>1024</v>
      </c>
      <c r="X2" s="567" t="s">
        <v>544</v>
      </c>
      <c r="Y2" s="567" t="s">
        <v>1024</v>
      </c>
      <c r="Z2" s="567" t="s">
        <v>545</v>
      </c>
      <c r="AA2" s="567" t="s">
        <v>1024</v>
      </c>
      <c r="AB2" s="567" t="s">
        <v>546</v>
      </c>
      <c r="AC2" s="567" t="s">
        <v>1024</v>
      </c>
      <c r="AD2" s="610" t="s">
        <v>876</v>
      </c>
      <c r="AE2" s="610" t="s">
        <v>1024</v>
      </c>
      <c r="AF2" s="610" t="s">
        <v>877</v>
      </c>
      <c r="AG2" s="610" t="s">
        <v>1024</v>
      </c>
    </row>
    <row r="3" spans="1:33" x14ac:dyDescent="0.25">
      <c r="A3" s="566" t="s">
        <v>868</v>
      </c>
      <c r="B3" s="565" t="s">
        <v>180</v>
      </c>
      <c r="C3" s="575"/>
      <c r="D3" s="576"/>
      <c r="E3" s="576"/>
      <c r="F3" s="576"/>
      <c r="G3" s="576"/>
      <c r="H3" s="576"/>
      <c r="I3" s="576"/>
      <c r="J3" s="576"/>
      <c r="K3" s="576"/>
      <c r="L3" s="576"/>
      <c r="M3" s="9"/>
      <c r="N3" s="614" t="s">
        <v>868</v>
      </c>
      <c r="O3" s="615" t="s">
        <v>180</v>
      </c>
      <c r="P3" s="578">
        <f>C3/$C$4</f>
        <v>0</v>
      </c>
      <c r="Q3" s="683" t="e">
        <f>1/C3</f>
        <v>#DIV/0!</v>
      </c>
      <c r="R3" s="578">
        <f>D3/D1</f>
        <v>0</v>
      </c>
      <c r="S3" s="683" t="e">
        <f>1/D3</f>
        <v>#DIV/0!</v>
      </c>
      <c r="T3" s="578">
        <f>E3/E1</f>
        <v>0</v>
      </c>
      <c r="U3" s="683" t="e">
        <f>1/E3</f>
        <v>#DIV/0!</v>
      </c>
      <c r="V3" s="579"/>
      <c r="W3" s="579"/>
      <c r="X3" s="579"/>
      <c r="Y3" s="676"/>
      <c r="Z3" s="579"/>
      <c r="AA3" s="579"/>
      <c r="AB3" s="579"/>
      <c r="AC3" s="579"/>
      <c r="AD3" s="579"/>
      <c r="AE3" s="579"/>
      <c r="AF3" s="579">
        <f>K3/K1</f>
        <v>0</v>
      </c>
      <c r="AG3" s="676"/>
    </row>
    <row r="4" spans="1:33" x14ac:dyDescent="0.25">
      <c r="A4" s="719" t="s">
        <v>869</v>
      </c>
      <c r="B4" s="573" t="s">
        <v>822</v>
      </c>
      <c r="C4" s="616">
        <v>5.9340247552447711E-2</v>
      </c>
      <c r="D4" s="590">
        <v>6.8999559240759498E-2</v>
      </c>
      <c r="E4" s="590">
        <v>7.5579372027972075E-2</v>
      </c>
      <c r="F4" s="590"/>
      <c r="G4" s="590"/>
      <c r="H4" s="590"/>
      <c r="I4" s="590"/>
      <c r="J4" s="590">
        <v>0</v>
      </c>
      <c r="K4" s="590">
        <v>3.6222627372627408E-2</v>
      </c>
      <c r="L4" s="590"/>
      <c r="M4" s="9"/>
      <c r="N4" s="721" t="s">
        <v>869</v>
      </c>
      <c r="O4" s="617" t="s">
        <v>822</v>
      </c>
      <c r="P4" s="580">
        <f>C4/$C$1</f>
        <v>0.77527379369046734</v>
      </c>
      <c r="Q4" s="677">
        <f>1/C4</f>
        <v>16.851968794301925</v>
      </c>
      <c r="R4" s="581">
        <f>D4/$D$1</f>
        <v>0.72503589795131562</v>
      </c>
      <c r="S4" s="677">
        <f>1/D4</f>
        <v>14.492846200809916</v>
      </c>
      <c r="T4" s="581">
        <f>E4/$E$1</f>
        <v>0.74720846742176794</v>
      </c>
      <c r="U4" s="677">
        <f>1/E4</f>
        <v>13.231123429153367</v>
      </c>
      <c r="V4" s="581"/>
      <c r="W4" s="581"/>
      <c r="X4" s="580"/>
      <c r="Y4" s="677"/>
      <c r="Z4" s="581"/>
      <c r="AA4" s="581"/>
      <c r="AB4" s="581"/>
      <c r="AC4" s="581"/>
      <c r="AD4" s="580"/>
      <c r="AE4" s="580"/>
      <c r="AF4" s="580">
        <f>K4/K1</f>
        <v>1</v>
      </c>
      <c r="AG4" s="681"/>
    </row>
    <row r="5" spans="1:33" x14ac:dyDescent="0.25">
      <c r="A5" s="719"/>
      <c r="B5" s="573" t="s">
        <v>821</v>
      </c>
      <c r="C5" s="611"/>
      <c r="D5" s="577"/>
      <c r="E5" s="577"/>
      <c r="F5" s="577">
        <v>5.254696863959811E-2</v>
      </c>
      <c r="G5" s="577"/>
      <c r="H5" s="577"/>
      <c r="I5" s="577"/>
      <c r="J5" s="577"/>
      <c r="K5" s="577"/>
      <c r="L5" s="577"/>
      <c r="M5" s="9"/>
      <c r="N5" s="721"/>
      <c r="O5" s="617" t="s">
        <v>821</v>
      </c>
      <c r="P5" s="582"/>
      <c r="Q5" s="678"/>
      <c r="R5" s="569"/>
      <c r="S5" s="678"/>
      <c r="T5" s="569"/>
      <c r="U5" s="678"/>
      <c r="V5" s="569">
        <f>F5/F1</f>
        <v>1</v>
      </c>
      <c r="W5" s="678">
        <f>1/F5</f>
        <v>19.03059350309362</v>
      </c>
      <c r="X5" s="582"/>
      <c r="Y5" s="678"/>
      <c r="Z5" s="569"/>
      <c r="AA5" s="569"/>
      <c r="AB5" s="569"/>
      <c r="AC5" s="569"/>
      <c r="AD5" s="582"/>
      <c r="AE5" s="582"/>
      <c r="AF5" s="582"/>
      <c r="AG5" s="680"/>
    </row>
    <row r="6" spans="1:33" x14ac:dyDescent="0.25">
      <c r="A6" s="719"/>
      <c r="B6" s="573" t="s">
        <v>873</v>
      </c>
      <c r="C6" s="611"/>
      <c r="D6" s="577"/>
      <c r="E6" s="577"/>
      <c r="F6" s="577"/>
      <c r="G6" s="577">
        <v>3.9584999999999822E-2</v>
      </c>
      <c r="H6" s="577">
        <v>6.3542692307692147E-2</v>
      </c>
      <c r="I6" s="577">
        <v>0</v>
      </c>
      <c r="J6" s="577"/>
      <c r="K6" s="577"/>
      <c r="L6" s="577"/>
      <c r="M6" s="9"/>
      <c r="N6" s="721"/>
      <c r="O6" s="617" t="s">
        <v>873</v>
      </c>
      <c r="P6" s="582"/>
      <c r="Q6" s="678"/>
      <c r="R6" s="569"/>
      <c r="S6" s="678"/>
      <c r="T6" s="569"/>
      <c r="U6" s="678"/>
      <c r="V6" s="569"/>
      <c r="W6" s="678"/>
      <c r="X6" s="582">
        <f>G6/$G$1</f>
        <v>0.75775423964300204</v>
      </c>
      <c r="Y6" s="678">
        <f>1/G6</f>
        <v>25.262094227611584</v>
      </c>
      <c r="Z6" s="569">
        <f>H6/$H$1</f>
        <v>0.79253818284821453</v>
      </c>
      <c r="AA6" s="678">
        <f>1/H6</f>
        <v>15.737450896126811</v>
      </c>
      <c r="AB6" s="569">
        <f>I6/$I$1</f>
        <v>0</v>
      </c>
      <c r="AC6" s="569"/>
      <c r="AD6" s="582"/>
      <c r="AE6" s="582"/>
      <c r="AF6" s="582"/>
      <c r="AG6" s="680"/>
    </row>
    <row r="7" spans="1:33" x14ac:dyDescent="0.25">
      <c r="A7" s="719"/>
      <c r="B7" s="573" t="s">
        <v>874</v>
      </c>
      <c r="C7" s="611"/>
      <c r="D7" s="577"/>
      <c r="E7" s="577"/>
      <c r="F7" s="577"/>
      <c r="G7" s="577">
        <v>3.3714285714285648E-2</v>
      </c>
      <c r="H7" s="577">
        <v>3.433928571428569E-2</v>
      </c>
      <c r="I7" s="577">
        <v>4.9198011904761828E-2</v>
      </c>
      <c r="J7" s="577"/>
      <c r="K7" s="577"/>
      <c r="L7" s="577"/>
      <c r="M7" s="9"/>
      <c r="N7" s="721"/>
      <c r="O7" s="617" t="s">
        <v>874</v>
      </c>
      <c r="P7" s="582"/>
      <c r="Q7" s="678"/>
      <c r="R7" s="569"/>
      <c r="S7" s="678"/>
      <c r="T7" s="569"/>
      <c r="U7" s="678"/>
      <c r="V7" s="569"/>
      <c r="W7" s="678"/>
      <c r="X7" s="582">
        <f t="shared" ref="X7" si="1">G7/$G$1</f>
        <v>0.64537433210902018</v>
      </c>
      <c r="Y7" s="678">
        <f t="shared" ref="Y7" si="2">1/G7</f>
        <v>29.6610169491526</v>
      </c>
      <c r="Z7" s="569">
        <f t="shared" ref="Z7" si="3">H7/$H$1</f>
        <v>0.42829779651957089</v>
      </c>
      <c r="AA7" s="678">
        <f t="shared" ref="AA7" si="4">1/H7</f>
        <v>29.121164846593885</v>
      </c>
      <c r="AB7" s="569">
        <f t="shared" ref="AB7" si="5">I7/$I$1</f>
        <v>0.84880118008835015</v>
      </c>
      <c r="AC7" s="678">
        <f t="shared" ref="AC7" si="6">1/I7</f>
        <v>20.326024594973745</v>
      </c>
      <c r="AD7" s="582"/>
      <c r="AE7" s="582"/>
      <c r="AF7" s="582"/>
      <c r="AG7" s="680"/>
    </row>
    <row r="8" spans="1:33" x14ac:dyDescent="0.25">
      <c r="A8" s="719"/>
      <c r="B8" s="573" t="s">
        <v>840</v>
      </c>
      <c r="C8" s="611"/>
      <c r="D8" s="577"/>
      <c r="E8" s="577"/>
      <c r="F8" s="577"/>
      <c r="G8" s="577"/>
      <c r="H8" s="577"/>
      <c r="I8" s="577"/>
      <c r="J8" s="577"/>
      <c r="K8" s="577"/>
      <c r="L8" s="577"/>
      <c r="M8" s="9"/>
      <c r="N8" s="721"/>
      <c r="O8" s="617" t="s">
        <v>840</v>
      </c>
      <c r="P8" s="582"/>
      <c r="Q8" s="678"/>
      <c r="R8" s="569"/>
      <c r="S8" s="678"/>
      <c r="T8" s="569"/>
      <c r="U8" s="678"/>
      <c r="V8" s="569"/>
      <c r="W8" s="678"/>
      <c r="X8" s="582"/>
      <c r="Y8" s="678"/>
      <c r="Z8" s="569"/>
      <c r="AA8" s="678"/>
      <c r="AB8" s="569"/>
      <c r="AC8" s="678"/>
      <c r="AD8" s="582"/>
      <c r="AE8" s="680"/>
      <c r="AF8" s="582"/>
      <c r="AG8" s="680"/>
    </row>
    <row r="9" spans="1:33" x14ac:dyDescent="0.25">
      <c r="A9" s="719"/>
      <c r="B9" s="585" t="s">
        <v>0</v>
      </c>
      <c r="C9" s="612"/>
      <c r="D9" s="568"/>
      <c r="E9" s="568"/>
      <c r="F9" s="568"/>
      <c r="G9" s="568"/>
      <c r="H9" s="568"/>
      <c r="I9" s="568"/>
      <c r="J9" s="568"/>
      <c r="K9" s="568"/>
      <c r="L9" s="568"/>
      <c r="M9" s="9"/>
      <c r="N9" s="721"/>
      <c r="O9" s="617" t="s">
        <v>0</v>
      </c>
      <c r="P9" s="583"/>
      <c r="Q9" s="679"/>
      <c r="R9" s="570"/>
      <c r="S9" s="679"/>
      <c r="T9" s="570"/>
      <c r="U9" s="679"/>
      <c r="V9" s="570"/>
      <c r="W9" s="679"/>
      <c r="X9" s="583"/>
      <c r="Y9" s="679"/>
      <c r="Z9" s="570"/>
      <c r="AA9" s="570"/>
      <c r="AB9" s="570"/>
      <c r="AC9" s="570"/>
      <c r="AD9" s="583" t="e">
        <f>J9/$J$1</f>
        <v>#DIV/0!</v>
      </c>
      <c r="AE9" s="682" t="e">
        <f>1/J9</f>
        <v>#DIV/0!</v>
      </c>
      <c r="AF9" s="583">
        <f>K9/$K$1</f>
        <v>0</v>
      </c>
      <c r="AG9" s="682" t="e">
        <f>1/K9</f>
        <v>#DIV/0!</v>
      </c>
    </row>
    <row r="10" spans="1:33" x14ac:dyDescent="0.25">
      <c r="A10" s="720" t="s">
        <v>870</v>
      </c>
      <c r="B10" s="574" t="s">
        <v>822</v>
      </c>
      <c r="C10" s="616">
        <v>4.0980247552447779E-2</v>
      </c>
      <c r="D10" s="590">
        <v>7.0304873926074096E-2</v>
      </c>
      <c r="E10" s="590">
        <v>4.0579372027972196E-2</v>
      </c>
      <c r="F10" s="590"/>
      <c r="G10" s="590"/>
      <c r="H10" s="590"/>
      <c r="I10" s="590"/>
      <c r="J10" s="590">
        <v>0</v>
      </c>
      <c r="K10" s="590">
        <v>3.0871978021978067E-2</v>
      </c>
      <c r="L10" s="590"/>
      <c r="M10" s="9"/>
      <c r="N10" s="722" t="s">
        <v>870</v>
      </c>
      <c r="O10" s="618" t="s">
        <v>822</v>
      </c>
      <c r="P10" s="582">
        <f>C10/$C$1</f>
        <v>0.53540241736066307</v>
      </c>
      <c r="Q10" s="677">
        <f>1/C10</f>
        <v>24.40199998109258</v>
      </c>
      <c r="R10" s="581">
        <f>D10/$D$1</f>
        <v>0.73875192766788012</v>
      </c>
      <c r="S10" s="677">
        <f>1/D10</f>
        <v>14.223764927755999</v>
      </c>
      <c r="T10" s="581">
        <f>E10/$E$1</f>
        <v>0.40118420632996138</v>
      </c>
      <c r="U10" s="677">
        <f>1/E10</f>
        <v>24.643062472989463</v>
      </c>
      <c r="V10" s="569"/>
      <c r="W10" s="678"/>
      <c r="X10" s="582"/>
      <c r="Y10" s="678"/>
      <c r="Z10" s="569"/>
      <c r="AA10" s="569"/>
      <c r="AB10" s="569"/>
      <c r="AC10" s="569"/>
      <c r="AD10" s="582"/>
      <c r="AE10" s="569"/>
      <c r="AF10" s="569">
        <f>K10/K1</f>
        <v>0.85228433885796195</v>
      </c>
      <c r="AG10" s="678"/>
    </row>
    <row r="11" spans="1:33" x14ac:dyDescent="0.25">
      <c r="A11" s="719"/>
      <c r="B11" s="573" t="s">
        <v>821</v>
      </c>
      <c r="C11" s="611"/>
      <c r="D11" s="577"/>
      <c r="E11" s="577"/>
      <c r="F11" s="577">
        <v>5.1022557865187314E-2</v>
      </c>
      <c r="G11" s="577"/>
      <c r="H11" s="577"/>
      <c r="I11" s="577"/>
      <c r="J11" s="577"/>
      <c r="K11" s="577"/>
      <c r="L11" s="577"/>
      <c r="M11" s="9"/>
      <c r="N11" s="721"/>
      <c r="O11" s="617" t="s">
        <v>821</v>
      </c>
      <c r="P11" s="582"/>
      <c r="Q11" s="678"/>
      <c r="R11" s="569"/>
      <c r="S11" s="678"/>
      <c r="T11" s="569"/>
      <c r="U11" s="678"/>
      <c r="V11" s="569">
        <f>F11/F1</f>
        <v>0.97098955822045196</v>
      </c>
      <c r="W11" s="678">
        <f>1/F11</f>
        <v>19.599174205303804</v>
      </c>
      <c r="X11" s="582"/>
      <c r="Y11" s="678"/>
      <c r="Z11" s="569"/>
      <c r="AA11" s="569"/>
      <c r="AB11" s="569"/>
      <c r="AC11" s="569"/>
      <c r="AD11" s="582"/>
      <c r="AE11" s="569"/>
      <c r="AF11" s="569"/>
      <c r="AG11" s="678"/>
    </row>
    <row r="12" spans="1:33" x14ac:dyDescent="0.25">
      <c r="A12" s="719"/>
      <c r="B12" s="573" t="s">
        <v>873</v>
      </c>
      <c r="C12" s="611"/>
      <c r="D12" s="577"/>
      <c r="E12" s="577"/>
      <c r="F12" s="577"/>
      <c r="G12" s="577">
        <v>4.2215952380952187E-2</v>
      </c>
      <c r="H12" s="577">
        <v>6.617364468864452E-2</v>
      </c>
      <c r="I12" s="577">
        <v>0</v>
      </c>
      <c r="J12" s="577"/>
      <c r="K12" s="577"/>
      <c r="L12" s="577"/>
      <c r="M12" s="9"/>
      <c r="N12" s="721"/>
      <c r="O12" s="617" t="s">
        <v>873</v>
      </c>
      <c r="P12" s="582"/>
      <c r="Q12" s="678"/>
      <c r="R12" s="569"/>
      <c r="S12" s="678"/>
      <c r="T12" s="569"/>
      <c r="U12" s="678"/>
      <c r="V12" s="569"/>
      <c r="W12" s="678"/>
      <c r="X12" s="582">
        <f t="shared" ref="X12:X13" si="7">G12/$G$1</f>
        <v>0.80811713773484284</v>
      </c>
      <c r="Y12" s="678">
        <f t="shared" ref="Y12:Y13" si="8">1/G12</f>
        <v>23.687728064881924</v>
      </c>
      <c r="Z12" s="569">
        <f t="shared" ref="Z12:Z13" si="9">H12/$H$1</f>
        <v>0.82535281728427801</v>
      </c>
      <c r="AA12" s="678">
        <f t="shared" ref="AA12:AA13" si="10">1/H12</f>
        <v>15.111756420628305</v>
      </c>
      <c r="AB12" s="569">
        <f t="shared" ref="AB12:AB13" si="11">I12/$I$1</f>
        <v>0</v>
      </c>
      <c r="AC12" s="678"/>
      <c r="AD12" s="582"/>
      <c r="AE12" s="569"/>
      <c r="AF12" s="569"/>
      <c r="AG12" s="678"/>
    </row>
    <row r="13" spans="1:33" x14ac:dyDescent="0.25">
      <c r="A13" s="719"/>
      <c r="B13" s="573" t="s">
        <v>874</v>
      </c>
      <c r="C13" s="611"/>
      <c r="D13" s="577"/>
      <c r="E13" s="577"/>
      <c r="F13" s="577"/>
      <c r="G13" s="577">
        <v>3.8151785714285652E-2</v>
      </c>
      <c r="H13" s="577">
        <v>3.8776785714285687E-2</v>
      </c>
      <c r="I13" s="577">
        <v>5.7961761904761842E-2</v>
      </c>
      <c r="J13" s="577"/>
      <c r="K13" s="577"/>
      <c r="L13" s="577"/>
      <c r="M13" s="9"/>
      <c r="N13" s="721"/>
      <c r="O13" s="617" t="s">
        <v>874</v>
      </c>
      <c r="P13" s="582"/>
      <c r="Q13" s="678"/>
      <c r="R13" s="569"/>
      <c r="S13" s="678"/>
      <c r="T13" s="569"/>
      <c r="U13" s="678"/>
      <c r="V13" s="569"/>
      <c r="W13" s="678"/>
      <c r="X13" s="582">
        <f t="shared" si="7"/>
        <v>0.73031899393586974</v>
      </c>
      <c r="Y13" s="678">
        <f t="shared" si="8"/>
        <v>26.211092908963302</v>
      </c>
      <c r="Z13" s="569">
        <f t="shared" si="9"/>
        <v>0.48364465166003551</v>
      </c>
      <c r="AA13" s="678">
        <f t="shared" si="10"/>
        <v>25.788625374165342</v>
      </c>
      <c r="AB13" s="569">
        <f t="shared" si="11"/>
        <v>1</v>
      </c>
      <c r="AC13" s="678">
        <f t="shared" ref="AC13" si="12">1/I13</f>
        <v>17.252753662718543</v>
      </c>
      <c r="AD13" s="582"/>
      <c r="AE13" s="569"/>
      <c r="AF13" s="569"/>
      <c r="AG13" s="678"/>
    </row>
    <row r="14" spans="1:33" x14ac:dyDescent="0.25">
      <c r="A14" s="719"/>
      <c r="B14" s="573" t="s">
        <v>840</v>
      </c>
      <c r="C14" s="611"/>
      <c r="D14" s="577"/>
      <c r="E14" s="577"/>
      <c r="F14" s="577"/>
      <c r="G14" s="577"/>
      <c r="H14" s="577"/>
      <c r="I14" s="577"/>
      <c r="J14" s="577"/>
      <c r="K14" s="577"/>
      <c r="L14" s="577"/>
      <c r="M14" s="9"/>
      <c r="N14" s="721"/>
      <c r="O14" s="617" t="s">
        <v>840</v>
      </c>
      <c r="P14" s="582"/>
      <c r="Q14" s="678"/>
      <c r="R14" s="569"/>
      <c r="S14" s="678"/>
      <c r="T14" s="569"/>
      <c r="U14" s="678"/>
      <c r="V14" s="569"/>
      <c r="W14" s="678"/>
      <c r="X14" s="582"/>
      <c r="Y14" s="678"/>
      <c r="Z14" s="569"/>
      <c r="AA14" s="678"/>
      <c r="AB14" s="569"/>
      <c r="AC14" s="678"/>
      <c r="AD14" s="582"/>
      <c r="AE14" s="680"/>
      <c r="AF14" s="582"/>
      <c r="AG14" s="680"/>
    </row>
    <row r="15" spans="1:33" x14ac:dyDescent="0.25">
      <c r="A15" s="719"/>
      <c r="B15" s="585" t="s">
        <v>0</v>
      </c>
      <c r="C15" s="612"/>
      <c r="D15" s="568"/>
      <c r="E15" s="568"/>
      <c r="F15" s="568"/>
      <c r="G15" s="568"/>
      <c r="H15" s="568"/>
      <c r="I15" s="568"/>
      <c r="J15" s="568"/>
      <c r="K15" s="568"/>
      <c r="L15" s="568"/>
      <c r="M15" s="9"/>
      <c r="N15" s="721"/>
      <c r="O15" s="617" t="s">
        <v>0</v>
      </c>
      <c r="P15" s="583"/>
      <c r="Q15" s="679"/>
      <c r="R15" s="570"/>
      <c r="S15" s="679"/>
      <c r="T15" s="570"/>
      <c r="U15" s="679"/>
      <c r="V15" s="570"/>
      <c r="W15" s="679"/>
      <c r="X15" s="583"/>
      <c r="Y15" s="679"/>
      <c r="Z15" s="570"/>
      <c r="AA15" s="570"/>
      <c r="AB15" s="570"/>
      <c r="AC15" s="570"/>
      <c r="AD15" s="583" t="e">
        <f>J15/$J$1</f>
        <v>#DIV/0!</v>
      </c>
      <c r="AE15" s="682" t="e">
        <f>1/J15</f>
        <v>#DIV/0!</v>
      </c>
      <c r="AF15" s="583">
        <f>K15/$K$1</f>
        <v>0</v>
      </c>
      <c r="AG15" s="682" t="e">
        <f>1/K15</f>
        <v>#DIV/0!</v>
      </c>
    </row>
    <row r="16" spans="1:33" x14ac:dyDescent="0.25">
      <c r="A16" s="720" t="s">
        <v>871</v>
      </c>
      <c r="B16" s="574" t="s">
        <v>822</v>
      </c>
      <c r="C16" s="611">
        <v>5.8181020779221264E-2</v>
      </c>
      <c r="D16" s="577">
        <v>7.6807093706293558E-2</v>
      </c>
      <c r="E16" s="577">
        <v>6.6148976923077044E-2</v>
      </c>
      <c r="F16" s="577"/>
      <c r="G16" s="577"/>
      <c r="H16" s="577"/>
      <c r="I16" s="577"/>
      <c r="J16" s="577">
        <v>0</v>
      </c>
      <c r="K16" s="577">
        <v>2.9990859140859215E-2</v>
      </c>
      <c r="L16" s="577">
        <v>4.1477272727272974E-2</v>
      </c>
      <c r="M16" s="9"/>
      <c r="N16" s="722" t="s">
        <v>871</v>
      </c>
      <c r="O16" s="618" t="s">
        <v>822</v>
      </c>
      <c r="P16" s="582">
        <f>C16/$C$1</f>
        <v>0.76012862367019574</v>
      </c>
      <c r="Q16" s="677">
        <f>1/C16</f>
        <v>17.18773556405424</v>
      </c>
      <c r="R16" s="581">
        <f>D16/$D$1</f>
        <v>0.80707617218339234</v>
      </c>
      <c r="S16" s="677">
        <f>1/D16</f>
        <v>13.019630762543228</v>
      </c>
      <c r="T16" s="581">
        <f>E16/$E$1</f>
        <v>0.65397573890819349</v>
      </c>
      <c r="U16" s="677">
        <f>1/E16</f>
        <v>15.117391780115881</v>
      </c>
      <c r="V16" s="569"/>
      <c r="W16" s="678"/>
      <c r="X16" s="569"/>
      <c r="Y16" s="678"/>
      <c r="Z16" s="569"/>
      <c r="AA16" s="569"/>
      <c r="AB16" s="569"/>
      <c r="AC16" s="569"/>
      <c r="AD16" s="569"/>
      <c r="AE16" s="569"/>
      <c r="AF16" s="569">
        <f>K16/K1</f>
        <v>0.827959243053766</v>
      </c>
      <c r="AG16" s="678"/>
    </row>
    <row r="17" spans="1:33" x14ac:dyDescent="0.25">
      <c r="A17" s="719"/>
      <c r="B17" s="573" t="s">
        <v>821</v>
      </c>
      <c r="C17" s="611"/>
      <c r="D17" s="577"/>
      <c r="E17" s="577"/>
      <c r="F17" s="577">
        <v>4.2273232055429683E-2</v>
      </c>
      <c r="G17" s="577"/>
      <c r="H17" s="577"/>
      <c r="I17" s="577"/>
      <c r="J17" s="577"/>
      <c r="K17" s="577"/>
      <c r="L17" s="577"/>
      <c r="M17" s="9"/>
      <c r="N17" s="721"/>
      <c r="O17" s="617" t="s">
        <v>821</v>
      </c>
      <c r="P17" s="582"/>
      <c r="Q17" s="678"/>
      <c r="R17" s="569"/>
      <c r="S17" s="678"/>
      <c r="T17" s="569"/>
      <c r="U17" s="678"/>
      <c r="V17" s="569">
        <f>F17/F1</f>
        <v>0.80448469530882905</v>
      </c>
      <c r="W17" s="678">
        <f>1/F17</f>
        <v>23.655631504323487</v>
      </c>
      <c r="X17" s="569"/>
      <c r="Y17" s="678"/>
      <c r="Z17" s="569"/>
      <c r="AA17" s="569"/>
      <c r="AB17" s="569"/>
      <c r="AC17" s="569"/>
      <c r="AD17" s="569"/>
      <c r="AE17" s="569"/>
      <c r="AF17" s="569"/>
      <c r="AG17" s="678"/>
    </row>
    <row r="18" spans="1:33" x14ac:dyDescent="0.25">
      <c r="A18" s="719"/>
      <c r="B18" s="573" t="s">
        <v>873</v>
      </c>
      <c r="C18" s="611"/>
      <c r="D18" s="577"/>
      <c r="E18" s="577"/>
      <c r="F18" s="577"/>
      <c r="G18" s="577">
        <v>5.2239892473118138E-2</v>
      </c>
      <c r="H18" s="577">
        <v>8.0176190476190248E-2</v>
      </c>
      <c r="I18" s="577">
        <v>0</v>
      </c>
      <c r="J18" s="577"/>
      <c r="K18" s="577"/>
      <c r="L18" s="577"/>
      <c r="M18" s="9"/>
      <c r="N18" s="721"/>
      <c r="O18" s="617" t="s">
        <v>873</v>
      </c>
      <c r="P18" s="582"/>
      <c r="Q18" s="678"/>
      <c r="R18" s="569"/>
      <c r="S18" s="678"/>
      <c r="T18" s="569"/>
      <c r="U18" s="678"/>
      <c r="V18" s="569"/>
      <c r="W18" s="678"/>
      <c r="X18" s="569">
        <f t="shared" ref="X18:X19" si="13">G18/$G$1</f>
        <v>1</v>
      </c>
      <c r="Y18" s="678">
        <f t="shared" ref="Y18:Y19" si="14">1/G18</f>
        <v>19.142459003233686</v>
      </c>
      <c r="Z18" s="569">
        <f t="shared" ref="Z18:Z19" si="15">H18/$H$1</f>
        <v>1</v>
      </c>
      <c r="AA18" s="678">
        <f t="shared" ref="AA18:AA19" si="16">1/H18</f>
        <v>12.472530735879349</v>
      </c>
      <c r="AB18" s="569">
        <f t="shared" ref="AB18:AB19" si="17">I18/$I$1</f>
        <v>0</v>
      </c>
      <c r="AC18" s="678"/>
      <c r="AD18" s="569"/>
      <c r="AE18" s="569"/>
      <c r="AF18" s="569"/>
      <c r="AG18" s="678"/>
    </row>
    <row r="19" spans="1:33" x14ac:dyDescent="0.25">
      <c r="A19" s="719"/>
      <c r="B19" s="573" t="s">
        <v>874</v>
      </c>
      <c r="C19" s="611"/>
      <c r="D19" s="577"/>
      <c r="E19" s="577"/>
      <c r="F19" s="577"/>
      <c r="G19" s="577">
        <v>2.5968749999999961E-2</v>
      </c>
      <c r="H19" s="577">
        <v>2.5281249999999998E-2</v>
      </c>
      <c r="I19" s="577">
        <v>3.0639083333333313E-2</v>
      </c>
      <c r="J19" s="577"/>
      <c r="K19" s="577"/>
      <c r="L19" s="577">
        <v>0.1339285714285714</v>
      </c>
      <c r="M19" s="688">
        <f>1/L19</f>
        <v>7.4666666666666686</v>
      </c>
      <c r="N19" s="721"/>
      <c r="O19" s="617" t="s">
        <v>874</v>
      </c>
      <c r="P19" s="582"/>
      <c r="Q19" s="678"/>
      <c r="R19" s="569"/>
      <c r="S19" s="678"/>
      <c r="T19" s="569"/>
      <c r="U19" s="678"/>
      <c r="V19" s="569"/>
      <c r="W19" s="678"/>
      <c r="X19" s="569">
        <f t="shared" si="13"/>
        <v>0.49710573224022403</v>
      </c>
      <c r="Y19" s="678">
        <f t="shared" si="14"/>
        <v>38.507821901323766</v>
      </c>
      <c r="Z19" s="569">
        <f t="shared" si="15"/>
        <v>0.31532116766644974</v>
      </c>
      <c r="AA19" s="678">
        <f t="shared" si="16"/>
        <v>39.555006180469718</v>
      </c>
      <c r="AB19" s="569">
        <f t="shared" si="17"/>
        <v>0.52860855720150501</v>
      </c>
      <c r="AC19" s="678">
        <f t="shared" ref="AC19" si="18">1/I19</f>
        <v>32.63805216104705</v>
      </c>
      <c r="AD19" s="569"/>
      <c r="AE19" s="569"/>
      <c r="AF19" s="569"/>
      <c r="AG19" s="678"/>
    </row>
    <row r="20" spans="1:33" x14ac:dyDescent="0.25">
      <c r="A20" s="719"/>
      <c r="B20" s="573" t="s">
        <v>840</v>
      </c>
      <c r="C20" s="611"/>
      <c r="D20" s="577"/>
      <c r="E20" s="577"/>
      <c r="F20" s="577"/>
      <c r="G20" s="577"/>
      <c r="H20" s="577"/>
      <c r="I20" s="577"/>
      <c r="J20" s="577"/>
      <c r="K20" s="577"/>
      <c r="L20" s="577"/>
      <c r="M20" s="9"/>
      <c r="N20" s="721"/>
      <c r="O20" s="617" t="s">
        <v>840</v>
      </c>
      <c r="P20" s="582"/>
      <c r="Q20" s="678"/>
      <c r="R20" s="569"/>
      <c r="S20" s="678"/>
      <c r="T20" s="569"/>
      <c r="U20" s="678"/>
      <c r="V20" s="569"/>
      <c r="W20" s="678"/>
      <c r="X20" s="569"/>
      <c r="Y20" s="678"/>
      <c r="Z20" s="569"/>
      <c r="AA20" s="678"/>
      <c r="AB20" s="569"/>
      <c r="AC20" s="678"/>
      <c r="AD20" s="569"/>
      <c r="AE20" s="680"/>
      <c r="AF20" s="582"/>
      <c r="AG20" s="680"/>
    </row>
    <row r="21" spans="1:33" x14ac:dyDescent="0.25">
      <c r="A21" s="719"/>
      <c r="B21" s="585" t="s">
        <v>0</v>
      </c>
      <c r="C21" s="611"/>
      <c r="D21" s="577"/>
      <c r="E21" s="577"/>
      <c r="F21" s="577"/>
      <c r="G21" s="577"/>
      <c r="H21" s="577"/>
      <c r="I21" s="577"/>
      <c r="J21" s="577"/>
      <c r="K21" s="577"/>
      <c r="L21" s="577"/>
      <c r="M21" s="9"/>
      <c r="N21" s="721"/>
      <c r="O21" s="617" t="s">
        <v>0</v>
      </c>
      <c r="P21" s="583"/>
      <c r="Q21" s="679"/>
      <c r="R21" s="570"/>
      <c r="S21" s="679"/>
      <c r="T21" s="570"/>
      <c r="U21" s="679"/>
      <c r="V21" s="570"/>
      <c r="W21" s="679"/>
      <c r="X21" s="570"/>
      <c r="Y21" s="679"/>
      <c r="Z21" s="570"/>
      <c r="AA21" s="570"/>
      <c r="AB21" s="570"/>
      <c r="AC21" s="569"/>
      <c r="AD21" s="569" t="e">
        <f>J21/$J$1</f>
        <v>#DIV/0!</v>
      </c>
      <c r="AE21" s="682" t="e">
        <f>1/J21</f>
        <v>#DIV/0!</v>
      </c>
      <c r="AF21" s="583">
        <f>K21/$K$1</f>
        <v>0</v>
      </c>
      <c r="AG21" s="682" t="e">
        <f>1/K21</f>
        <v>#DIV/0!</v>
      </c>
    </row>
    <row r="22" spans="1:33" x14ac:dyDescent="0.25">
      <c r="A22" s="720" t="s">
        <v>872</v>
      </c>
      <c r="B22" s="588" t="s">
        <v>822</v>
      </c>
      <c r="C22" s="616">
        <v>7.6541020779221203E-2</v>
      </c>
      <c r="D22" s="590">
        <v>9.516709370629349E-2</v>
      </c>
      <c r="E22" s="590">
        <v>0.10114897692307692</v>
      </c>
      <c r="F22" s="590"/>
      <c r="G22" s="590"/>
      <c r="H22" s="590"/>
      <c r="I22" s="590"/>
      <c r="J22" s="590">
        <v>0</v>
      </c>
      <c r="K22" s="590">
        <v>3.3705144855144913E-2</v>
      </c>
      <c r="L22" s="590">
        <v>5.9334415584415767E-2</v>
      </c>
      <c r="M22" s="9"/>
      <c r="N22" s="722" t="s">
        <v>872</v>
      </c>
      <c r="O22" s="618" t="s">
        <v>822</v>
      </c>
      <c r="P22" s="582">
        <f>C22/$C$1</f>
        <v>1</v>
      </c>
      <c r="Q22" s="677">
        <f>1/C22</f>
        <v>13.064889778311823</v>
      </c>
      <c r="R22" s="581">
        <f>D22/$D$1</f>
        <v>1</v>
      </c>
      <c r="S22" s="677">
        <f>1/D22</f>
        <v>10.507833759074531</v>
      </c>
      <c r="T22" s="581">
        <f>E22/$E$1</f>
        <v>1</v>
      </c>
      <c r="U22" s="684">
        <f>1/E22</f>
        <v>9.8864074597659339</v>
      </c>
      <c r="V22" s="672"/>
      <c r="W22" s="681"/>
      <c r="X22" s="582"/>
      <c r="Y22" s="678"/>
      <c r="Z22" s="569"/>
      <c r="AA22" s="569"/>
      <c r="AB22" s="582"/>
      <c r="AC22" s="580"/>
      <c r="AD22" s="580"/>
      <c r="AE22" s="569"/>
      <c r="AF22" s="569">
        <f>K22/K1</f>
        <v>0.93049972627372424</v>
      </c>
      <c r="AG22" s="678"/>
    </row>
    <row r="23" spans="1:33" x14ac:dyDescent="0.25">
      <c r="A23" s="719"/>
      <c r="B23" s="589" t="s">
        <v>821</v>
      </c>
      <c r="C23" s="611"/>
      <c r="D23" s="577"/>
      <c r="E23" s="577"/>
      <c r="F23" s="577">
        <v>4.3797642829840472E-2</v>
      </c>
      <c r="G23" s="577"/>
      <c r="H23" s="577"/>
      <c r="I23" s="577"/>
      <c r="J23" s="577"/>
      <c r="K23" s="577"/>
      <c r="L23" s="577"/>
      <c r="M23" s="9"/>
      <c r="N23" s="721"/>
      <c r="O23" s="617" t="s">
        <v>821</v>
      </c>
      <c r="P23" s="582"/>
      <c r="Q23" s="678"/>
      <c r="R23" s="569"/>
      <c r="S23" s="678"/>
      <c r="T23" s="569"/>
      <c r="U23" s="685"/>
      <c r="V23" s="673">
        <f>F23/F1</f>
        <v>0.83349513708837697</v>
      </c>
      <c r="W23" s="680">
        <f>1/F23</f>
        <v>22.832278985541066</v>
      </c>
      <c r="X23" s="582"/>
      <c r="Y23" s="678"/>
      <c r="Z23" s="569"/>
      <c r="AA23" s="569"/>
      <c r="AB23" s="582"/>
      <c r="AC23" s="582"/>
      <c r="AD23" s="582"/>
      <c r="AE23" s="569"/>
      <c r="AF23" s="569"/>
      <c r="AG23" s="678"/>
    </row>
    <row r="24" spans="1:33" x14ac:dyDescent="0.25">
      <c r="A24" s="719"/>
      <c r="B24" s="589" t="s">
        <v>873</v>
      </c>
      <c r="C24" s="611"/>
      <c r="D24" s="577"/>
      <c r="E24" s="577"/>
      <c r="F24" s="577"/>
      <c r="G24" s="577">
        <v>4.8379892473118219E-2</v>
      </c>
      <c r="H24" s="577">
        <v>7.5159999999999741E-2</v>
      </c>
      <c r="I24" s="577">
        <v>0</v>
      </c>
      <c r="J24" s="577"/>
      <c r="K24" s="577"/>
      <c r="L24" s="577"/>
      <c r="M24" s="9"/>
      <c r="N24" s="721"/>
      <c r="O24" s="617" t="s">
        <v>873</v>
      </c>
      <c r="P24" s="582"/>
      <c r="Q24" s="678"/>
      <c r="R24" s="569"/>
      <c r="S24" s="678"/>
      <c r="T24" s="569"/>
      <c r="U24" s="685"/>
      <c r="V24" s="673"/>
      <c r="W24" s="680"/>
      <c r="X24" s="582">
        <f t="shared" ref="X24:X25" si="19">G24/$G$1</f>
        <v>0.92611010824751949</v>
      </c>
      <c r="Y24" s="678">
        <f t="shared" ref="Y24:Y25" si="20">1/G24</f>
        <v>20.669744161908575</v>
      </c>
      <c r="Z24" s="569">
        <f t="shared" ref="Z24:Z25" si="21">H24/$H$1</f>
        <v>0.93743541010868858</v>
      </c>
      <c r="AA24" s="678">
        <f t="shared" ref="AA24:AA25" si="22">1/H24</f>
        <v>13.30494944119217</v>
      </c>
      <c r="AB24" s="569">
        <f t="shared" ref="AB24:AB25" si="23">I24/$I$1</f>
        <v>0</v>
      </c>
      <c r="AC24" s="680"/>
      <c r="AD24" s="582"/>
      <c r="AE24" s="569"/>
      <c r="AF24" s="569"/>
      <c r="AG24" s="678"/>
    </row>
    <row r="25" spans="1:33" x14ac:dyDescent="0.25">
      <c r="A25" s="719"/>
      <c r="B25" s="589" t="s">
        <v>874</v>
      </c>
      <c r="C25" s="611"/>
      <c r="D25" s="577"/>
      <c r="E25" s="577"/>
      <c r="F25" s="577"/>
      <c r="G25" s="577">
        <v>2.3874999999999962E-2</v>
      </c>
      <c r="H25" s="577">
        <v>2.31875E-2</v>
      </c>
      <c r="I25" s="577">
        <v>2.7005333333333312E-2</v>
      </c>
      <c r="J25" s="577"/>
      <c r="K25" s="577"/>
      <c r="L25" s="577">
        <v>0.16964285714285698</v>
      </c>
      <c r="M25" s="688">
        <f>1/L25</f>
        <v>5.894736842105269</v>
      </c>
      <c r="N25" s="721"/>
      <c r="O25" s="617" t="s">
        <v>874</v>
      </c>
      <c r="P25" s="582"/>
      <c r="Q25" s="678"/>
      <c r="R25" s="569"/>
      <c r="S25" s="678"/>
      <c r="T25" s="569"/>
      <c r="U25" s="685"/>
      <c r="V25" s="673"/>
      <c r="W25" s="680"/>
      <c r="X25" s="582">
        <f t="shared" si="19"/>
        <v>0.45702620870220356</v>
      </c>
      <c r="Y25" s="678">
        <f t="shared" si="20"/>
        <v>41.884816753926771</v>
      </c>
      <c r="Z25" s="569">
        <f t="shared" si="21"/>
        <v>0.2892068064382024</v>
      </c>
      <c r="AA25" s="678">
        <f t="shared" si="22"/>
        <v>43.126684636118597</v>
      </c>
      <c r="AB25" s="569">
        <f t="shared" si="23"/>
        <v>0.46591636357960148</v>
      </c>
      <c r="AC25" s="680">
        <f t="shared" ref="AC25" si="24">1/I25</f>
        <v>37.029722523945914</v>
      </c>
      <c r="AD25" s="582"/>
      <c r="AE25" s="569"/>
      <c r="AF25" s="569"/>
      <c r="AG25" s="678"/>
    </row>
    <row r="26" spans="1:33" x14ac:dyDescent="0.25">
      <c r="A26" s="719"/>
      <c r="B26" s="589" t="s">
        <v>840</v>
      </c>
      <c r="C26" s="611"/>
      <c r="D26" s="577"/>
      <c r="E26" s="577"/>
      <c r="F26" s="577"/>
      <c r="G26" s="577"/>
      <c r="H26" s="577"/>
      <c r="I26" s="577"/>
      <c r="J26" s="577"/>
      <c r="K26" s="577"/>
      <c r="L26" s="577"/>
      <c r="M26" s="9"/>
      <c r="N26" s="721"/>
      <c r="O26" s="617" t="s">
        <v>840</v>
      </c>
      <c r="P26" s="582"/>
      <c r="Q26" s="678"/>
      <c r="R26" s="569"/>
      <c r="S26" s="678"/>
      <c r="T26" s="569"/>
      <c r="U26" s="685"/>
      <c r="V26" s="673"/>
      <c r="W26" s="582"/>
      <c r="X26" s="582"/>
      <c r="Y26" s="678"/>
      <c r="Z26" s="569"/>
      <c r="AA26" s="678"/>
      <c r="AB26" s="569"/>
      <c r="AC26" s="680"/>
      <c r="AD26" s="582"/>
      <c r="AE26" s="680"/>
      <c r="AF26" s="582"/>
      <c r="AG26" s="680"/>
    </row>
    <row r="27" spans="1:33" x14ac:dyDescent="0.25">
      <c r="A27" s="719"/>
      <c r="B27" s="585" t="s">
        <v>0</v>
      </c>
      <c r="C27" s="612"/>
      <c r="D27" s="568"/>
      <c r="E27" s="568"/>
      <c r="F27" s="568"/>
      <c r="G27" s="568"/>
      <c r="H27" s="568"/>
      <c r="I27" s="568"/>
      <c r="J27" s="568"/>
      <c r="K27" s="568"/>
      <c r="L27" s="568"/>
      <c r="M27" s="9"/>
      <c r="N27" s="721"/>
      <c r="O27" s="617" t="s">
        <v>0</v>
      </c>
      <c r="P27" s="583"/>
      <c r="Q27" s="679"/>
      <c r="R27" s="570"/>
      <c r="S27" s="679"/>
      <c r="T27" s="570"/>
      <c r="U27" s="686"/>
      <c r="V27" s="674"/>
      <c r="W27" s="583"/>
      <c r="X27" s="583"/>
      <c r="Y27" s="679"/>
      <c r="Z27" s="570"/>
      <c r="AA27" s="570"/>
      <c r="AB27" s="583"/>
      <c r="AC27" s="583"/>
      <c r="AD27" s="583" t="e">
        <f>J27/$J$1</f>
        <v>#DIV/0!</v>
      </c>
      <c r="AE27" s="682" t="e">
        <f>1/J27</f>
        <v>#DIV/0!</v>
      </c>
      <c r="AF27" s="583">
        <f>K27/$K$1</f>
        <v>0</v>
      </c>
      <c r="AG27" s="682" t="e">
        <f>1/K27</f>
        <v>#DIV/0!</v>
      </c>
    </row>
    <row r="28" spans="1:33" x14ac:dyDescent="0.25">
      <c r="Q28" s="504"/>
      <c r="S28" s="504"/>
      <c r="U28" s="504"/>
      <c r="AD28" s="9"/>
      <c r="AE28" s="9"/>
      <c r="AF28" s="9"/>
      <c r="AG28" s="9"/>
    </row>
    <row r="29" spans="1:33" x14ac:dyDescent="0.25">
      <c r="Q29" s="504"/>
      <c r="S29" s="504"/>
      <c r="U29" s="504"/>
    </row>
    <row r="30" spans="1:33" x14ac:dyDescent="0.25">
      <c r="B30" s="571" t="s">
        <v>858</v>
      </c>
      <c r="H30" s="667"/>
      <c r="I30" s="667"/>
      <c r="Q30" s="504"/>
      <c r="S30" s="504"/>
      <c r="U30" s="504"/>
    </row>
    <row r="31" spans="1:33" x14ac:dyDescent="0.25">
      <c r="B31" s="572">
        <v>42724</v>
      </c>
      <c r="G31" s="667"/>
      <c r="H31" s="667"/>
      <c r="I31" s="667"/>
      <c r="Q31" s="504"/>
      <c r="S31" s="504"/>
    </row>
    <row r="32" spans="1:33" x14ac:dyDescent="0.25">
      <c r="G32" s="667"/>
      <c r="H32" s="667"/>
      <c r="I32" s="667"/>
      <c r="Q32" s="504"/>
    </row>
    <row r="33" spans="17:17" x14ac:dyDescent="0.25">
      <c r="Q33" s="504"/>
    </row>
    <row r="34" spans="17:17" x14ac:dyDescent="0.25">
      <c r="Q34" s="504"/>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6" t="s">
        <v>316</v>
      </c>
      <c r="C2" s="526" t="s">
        <v>182</v>
      </c>
      <c r="D2" s="526" t="s">
        <v>832</v>
      </c>
      <c r="E2" s="526" t="s">
        <v>1</v>
      </c>
      <c r="F2" s="526" t="s">
        <v>2</v>
      </c>
      <c r="G2" s="526" t="s">
        <v>839</v>
      </c>
      <c r="H2" s="526" t="s">
        <v>66</v>
      </c>
      <c r="I2" s="526" t="s">
        <v>713</v>
      </c>
      <c r="J2" s="526" t="s">
        <v>840</v>
      </c>
      <c r="K2" s="526" t="s">
        <v>0</v>
      </c>
      <c r="M2" s="628">
        <v>352</v>
      </c>
      <c r="N2" s="476" t="s">
        <v>973</v>
      </c>
      <c r="O2" s="48" t="s">
        <v>843</v>
      </c>
      <c r="P2" s="48" t="s">
        <v>974</v>
      </c>
      <c r="Q2" s="48" t="s">
        <v>843</v>
      </c>
      <c r="R2" s="48" t="s">
        <v>65</v>
      </c>
      <c r="S2" s="48" t="s">
        <v>845</v>
      </c>
      <c r="T2" s="48" t="s">
        <v>846</v>
      </c>
      <c r="U2" s="48" t="s">
        <v>845</v>
      </c>
      <c r="V2" s="48" t="s">
        <v>700</v>
      </c>
      <c r="W2" s="48" t="s">
        <v>975</v>
      </c>
      <c r="X2" s="48" t="s">
        <v>976</v>
      </c>
    </row>
    <row r="3" spans="2:25" x14ac:dyDescent="0.25">
      <c r="B3" t="s">
        <v>1</v>
      </c>
      <c r="C3" t="str">
        <f>Evaluacion!A3</f>
        <v>D. Gehmacher</v>
      </c>
      <c r="D3" s="669"/>
      <c r="E3" s="290">
        <f>Evaluacion!K3</f>
        <v>16.666666666666668</v>
      </c>
      <c r="F3" s="290">
        <f>Evaluacion!L3</f>
        <v>11.832727272727276</v>
      </c>
      <c r="G3" s="290">
        <f>Evaluacion!M3</f>
        <v>2.0199999999999996</v>
      </c>
      <c r="H3" s="290">
        <f>Evaluacion!N3</f>
        <v>2.1199999999999992</v>
      </c>
      <c r="I3" s="290">
        <f>Evaluacion!O3</f>
        <v>1.0400000000000003</v>
      </c>
      <c r="J3" s="290">
        <f>Evaluacion!P3</f>
        <v>0.14055555555555557</v>
      </c>
      <c r="K3" s="290">
        <f>Evaluacion!Q3</f>
        <v>17.849999999999998</v>
      </c>
      <c r="M3" t="s">
        <v>1</v>
      </c>
      <c r="N3" s="629">
        <v>1</v>
      </c>
      <c r="O3" s="630">
        <f>Evaluacion!X3</f>
        <v>15.549969923212977</v>
      </c>
      <c r="P3" s="630">
        <f>Evaluacion!Y3</f>
        <v>22.913984829693582</v>
      </c>
      <c r="Q3" s="630">
        <f>Evaluacion!Z3</f>
        <v>15.549969923212977</v>
      </c>
      <c r="R3" s="630">
        <v>0</v>
      </c>
      <c r="S3" s="630">
        <v>0</v>
      </c>
      <c r="T3" s="630">
        <v>0</v>
      </c>
      <c r="U3" s="630">
        <v>0</v>
      </c>
      <c r="V3" s="630">
        <v>0</v>
      </c>
      <c r="W3" s="630">
        <f>Evaluacion!T3</f>
        <v>0.54252777777777772</v>
      </c>
      <c r="X3" s="630">
        <f>Evaluacion!U3</f>
        <v>1.008809090909091</v>
      </c>
      <c r="Y3" s="634"/>
    </row>
    <row r="4" spans="2:25" x14ac:dyDescent="0.25">
      <c r="B4" t="s">
        <v>969</v>
      </c>
      <c r="C4" t="str">
        <f>Evaluacion!A6</f>
        <v>E. Toney</v>
      </c>
      <c r="D4" s="669"/>
      <c r="E4" s="290">
        <f>Evaluacion!K6</f>
        <v>0</v>
      </c>
      <c r="F4" s="290">
        <f>Evaluacion!L6</f>
        <v>12.060000000000004</v>
      </c>
      <c r="G4" s="290">
        <f>Evaluacion!M6</f>
        <v>13.020999999999999</v>
      </c>
      <c r="H4" s="290">
        <f>Evaluacion!N6</f>
        <v>9.7100000000000062</v>
      </c>
      <c r="I4" s="290">
        <f>Evaluacion!O6</f>
        <v>9.6</v>
      </c>
      <c r="J4" s="290">
        <f>Evaluacion!P6</f>
        <v>3.6816666666666658</v>
      </c>
      <c r="K4" s="290">
        <f>Evaluacion!Q6</f>
        <v>16.627777777777773</v>
      </c>
      <c r="M4" t="s">
        <v>969</v>
      </c>
      <c r="N4" s="629">
        <v>1</v>
      </c>
      <c r="O4" s="630">
        <f>Evaluacion!AI6</f>
        <v>13.803416720921515</v>
      </c>
      <c r="P4" s="630">
        <f>Evaluacion!AJ6</f>
        <v>6.2115375244146813</v>
      </c>
      <c r="Q4" s="630">
        <v>0</v>
      </c>
      <c r="R4" s="630">
        <f>Evaluacion!AK6</f>
        <v>2.6661072091237958</v>
      </c>
      <c r="S4" s="630">
        <f>Evaluacion!AL6</f>
        <v>7.4403837303281</v>
      </c>
      <c r="T4" s="630">
        <v>0</v>
      </c>
      <c r="U4" s="630">
        <v>0</v>
      </c>
      <c r="V4" s="630">
        <f>Evaluacion!R6</f>
        <v>4.2825000000000006</v>
      </c>
      <c r="W4" s="630">
        <f>Evaluacion!T6</f>
        <v>0.68291666666666639</v>
      </c>
      <c r="X4" s="630">
        <f>Evaluacion!U6</f>
        <v>0.98123333333333329</v>
      </c>
    </row>
    <row r="5" spans="2:25" x14ac:dyDescent="0.25">
      <c r="B5" t="s">
        <v>970</v>
      </c>
      <c r="C5" t="str">
        <f>Evaluacion!A15</f>
        <v>E. Gross</v>
      </c>
      <c r="D5" s="669"/>
      <c r="E5" s="290">
        <f>Evaluacion!K15</f>
        <v>0</v>
      </c>
      <c r="F5" s="290">
        <f>Evaluacion!L15</f>
        <v>10.349999999999996</v>
      </c>
      <c r="G5" s="290">
        <f>Evaluacion!M15</f>
        <v>12.749777777777778</v>
      </c>
      <c r="H5" s="290">
        <f>Evaluacion!N15</f>
        <v>5.1199999999999983</v>
      </c>
      <c r="I5" s="290">
        <f>Evaluacion!O15</f>
        <v>9.24</v>
      </c>
      <c r="J5" s="290">
        <f>Evaluacion!P15</f>
        <v>2.98</v>
      </c>
      <c r="K5" s="290">
        <f>Evaluacion!Q15</f>
        <v>16.959999999999997</v>
      </c>
      <c r="M5" t="s">
        <v>970</v>
      </c>
      <c r="N5" s="629">
        <v>1</v>
      </c>
      <c r="O5" s="630">
        <f>(Evaluacion!AA15+Evaluacion!AC15)/2</f>
        <v>5.0783391348706903</v>
      </c>
      <c r="P5" s="630">
        <f>Evaluacion!AB15</f>
        <v>13.122323345919096</v>
      </c>
      <c r="Q5" s="630">
        <f>O5</f>
        <v>5.0783391348706903</v>
      </c>
      <c r="R5" s="630">
        <f>Evaluacion!AD15</f>
        <v>3.6942600674398567</v>
      </c>
      <c r="S5" s="630">
        <v>0</v>
      </c>
      <c r="T5" s="630">
        <v>0</v>
      </c>
      <c r="U5" s="630">
        <v>0</v>
      </c>
      <c r="V5" s="630">
        <f>Evaluacion!R15</f>
        <v>3.9787499999999998</v>
      </c>
      <c r="W5" s="630">
        <f>Evaluacion!T15</f>
        <v>0.65779999999999994</v>
      </c>
      <c r="X5" s="630">
        <f>Evaluacion!U15</f>
        <v>0.92279999999999984</v>
      </c>
    </row>
    <row r="6" spans="2:25" x14ac:dyDescent="0.25">
      <c r="B6" t="s">
        <v>969</v>
      </c>
      <c r="C6" t="str">
        <f>Evaluacion!A9</f>
        <v>B. Pinczehelyi</v>
      </c>
      <c r="D6" s="669" t="str">
        <f>Evaluacion!D9</f>
        <v>CAB</v>
      </c>
      <c r="E6" s="290">
        <f>Evaluacion!K9</f>
        <v>0</v>
      </c>
      <c r="F6" s="290">
        <f>Evaluacion!L9</f>
        <v>14.200000000000003</v>
      </c>
      <c r="G6" s="290">
        <f>Evaluacion!M9</f>
        <v>9.283333333333335</v>
      </c>
      <c r="H6" s="290">
        <f>Evaluacion!N9</f>
        <v>14.249999999999996</v>
      </c>
      <c r="I6" s="290">
        <f>Evaluacion!O9</f>
        <v>9.4199999999999982</v>
      </c>
      <c r="J6" s="290">
        <f>Evaluacion!P9</f>
        <v>1.1428571428571428</v>
      </c>
      <c r="K6" s="290">
        <f>Evaluacion!Q9</f>
        <v>9.4</v>
      </c>
      <c r="M6" t="s">
        <v>969</v>
      </c>
      <c r="N6" s="629">
        <v>1</v>
      </c>
      <c r="O6" s="630">
        <v>0</v>
      </c>
      <c r="P6" s="630">
        <f>Evaluacion!AJ9</f>
        <v>6.925462675694388</v>
      </c>
      <c r="Q6" s="630">
        <f>Evaluacion!AI9</f>
        <v>15.389917057098641</v>
      </c>
      <c r="R6" s="630">
        <f>Evaluacion!AK9</f>
        <v>1.9725211759443546</v>
      </c>
      <c r="S6" s="630">
        <v>0</v>
      </c>
      <c r="T6" s="630">
        <f>0</f>
        <v>0</v>
      </c>
      <c r="U6" s="630">
        <f>Evaluacion!AL9</f>
        <v>9.865564379971735</v>
      </c>
      <c r="V6" s="630">
        <f>Evaluacion!R9</f>
        <v>4.5049999999999999</v>
      </c>
      <c r="W6" s="630">
        <f>Evaluacion!T9</f>
        <v>0.33914285714285713</v>
      </c>
      <c r="X6" s="630">
        <f>Evaluacion!U9</f>
        <v>0.8500000000000002</v>
      </c>
    </row>
    <row r="7" spans="2:25" x14ac:dyDescent="0.25">
      <c r="B7" t="s">
        <v>596</v>
      </c>
      <c r="C7" t="str">
        <f>Evaluacion!A13</f>
        <v>S. Buschelman</v>
      </c>
      <c r="D7" s="669" t="str">
        <f>Evaluacion!D13</f>
        <v>TEC</v>
      </c>
      <c r="E7" s="290">
        <f>Evaluacion!K13</f>
        <v>0</v>
      </c>
      <c r="F7" s="290">
        <f>Evaluacion!L13</f>
        <v>9.1936666666666653</v>
      </c>
      <c r="G7" s="290">
        <f>Evaluacion!M13</f>
        <v>13.499999999999998</v>
      </c>
      <c r="H7" s="290">
        <f>Evaluacion!N13</f>
        <v>12.725000000000001</v>
      </c>
      <c r="I7" s="290">
        <f>Evaluacion!O13</f>
        <v>9.6733333333333356</v>
      </c>
      <c r="J7" s="290">
        <f>Evaluacion!P13</f>
        <v>5.0296666666666656</v>
      </c>
      <c r="K7" s="290">
        <f>Evaluacion!Q13</f>
        <v>15.2</v>
      </c>
      <c r="M7" t="s">
        <v>596</v>
      </c>
      <c r="N7" s="629">
        <v>0.82499999999999996</v>
      </c>
      <c r="O7" s="630">
        <f>Evaluacion!BE13*N7</f>
        <v>2.8928343969095391</v>
      </c>
      <c r="P7" s="630">
        <f>Evaluacion!BF13*N7</f>
        <v>3.459472062283572</v>
      </c>
      <c r="Q7" s="630">
        <v>0</v>
      </c>
      <c r="R7" s="630">
        <f>Evaluacion!BG13*N7</f>
        <v>11.887982009114445</v>
      </c>
      <c r="S7" s="630">
        <f>Evaluacion!BH13*N7</f>
        <v>10.634475652500278</v>
      </c>
      <c r="T7" s="630">
        <f>Evaluacion!BI13*N7</f>
        <v>2.4911535382481067</v>
      </c>
      <c r="U7" s="630">
        <v>0</v>
      </c>
      <c r="V7" s="630">
        <v>0</v>
      </c>
      <c r="W7" s="630">
        <f>Evaluacion!T13*N7</f>
        <v>0.58367374999999988</v>
      </c>
      <c r="X7" s="630">
        <f>Evaluacion!U13*N7</f>
        <v>0.67959099999999995</v>
      </c>
    </row>
    <row r="8" spans="2:25" x14ac:dyDescent="0.25">
      <c r="B8" t="s">
        <v>971</v>
      </c>
      <c r="C8" t="str">
        <f>Evaluacion!A16</f>
        <v>L. Bauman</v>
      </c>
      <c r="D8" s="669"/>
      <c r="E8" s="290">
        <f>Evaluacion!K16</f>
        <v>0</v>
      </c>
      <c r="F8" s="290">
        <f>Evaluacion!L16</f>
        <v>5.2811111111111115</v>
      </c>
      <c r="G8" s="290">
        <f>Evaluacion!M16</f>
        <v>14.193842857142847</v>
      </c>
      <c r="H8" s="290">
        <f>Evaluacion!N16</f>
        <v>3.4924999999999993</v>
      </c>
      <c r="I8" s="290">
        <f>Evaluacion!O16</f>
        <v>9.1400000000000041</v>
      </c>
      <c r="J8" s="290">
        <f>Evaluacion!P16</f>
        <v>7.4318888888888894</v>
      </c>
      <c r="K8" s="290">
        <f>Evaluacion!Q16</f>
        <v>16.07</v>
      </c>
      <c r="M8" t="s">
        <v>971</v>
      </c>
      <c r="N8" s="629">
        <v>0.82499999999999996</v>
      </c>
      <c r="O8" s="630">
        <f>((Evaluacion!AX16+Evaluacion!AZ16)/2)*N8</f>
        <v>0.93382286872171882</v>
      </c>
      <c r="P8" s="630">
        <f>Evaluacion!AY16*N8</f>
        <v>2.6351262609431219</v>
      </c>
      <c r="Q8" s="630">
        <f>O8</f>
        <v>0.93382286872171882</v>
      </c>
      <c r="R8" s="630">
        <f>Evaluacion!BA16*N8</f>
        <v>13.940819342833986</v>
      </c>
      <c r="S8" s="630">
        <f>((Evaluacion!BB16+Evaluacion!BD16)/2)*N8</f>
        <v>1.8541229575348941</v>
      </c>
      <c r="T8" s="630">
        <f>Evaluacion!BC16*N8</f>
        <v>5.088110591115818</v>
      </c>
      <c r="U8" s="630">
        <f>S8</f>
        <v>1.8541229575348941</v>
      </c>
      <c r="V8" s="630">
        <v>0</v>
      </c>
      <c r="W8" s="630">
        <f>Evaluacion!T16*N8</f>
        <v>0.70429791666666663</v>
      </c>
      <c r="X8" s="630">
        <f>Evaluacion!U16*N8</f>
        <v>0.57200916666666657</v>
      </c>
    </row>
    <row r="9" spans="2:25" x14ac:dyDescent="0.25">
      <c r="B9" t="s">
        <v>596</v>
      </c>
      <c r="C9" t="str">
        <f>Evaluacion!A14</f>
        <v>C. Rojas</v>
      </c>
      <c r="D9" s="669" t="str">
        <f>Evaluacion!D14</f>
        <v>TEC</v>
      </c>
      <c r="E9" s="290">
        <f>Evaluacion!K14</f>
        <v>0</v>
      </c>
      <c r="F9" s="290">
        <f>Evaluacion!L14</f>
        <v>8.6075555555555585</v>
      </c>
      <c r="G9" s="290">
        <f>Evaluacion!M14</f>
        <v>14.09516031746031</v>
      </c>
      <c r="H9" s="290">
        <f>Evaluacion!N14</f>
        <v>9.99</v>
      </c>
      <c r="I9" s="290">
        <f>Evaluacion!O14</f>
        <v>10.09</v>
      </c>
      <c r="J9" s="290">
        <f>Evaluacion!P14</f>
        <v>4.3999999999999995</v>
      </c>
      <c r="K9" s="290">
        <f>Evaluacion!Q14</f>
        <v>16.544444444444441</v>
      </c>
      <c r="M9" t="s">
        <v>596</v>
      </c>
      <c r="N9" s="629">
        <v>0.82499999999999996</v>
      </c>
      <c r="O9" s="630">
        <v>0</v>
      </c>
      <c r="P9" s="630">
        <f>Evaluacion!BF14*N9</f>
        <v>3.2990060634116709</v>
      </c>
      <c r="Q9" s="630">
        <f>Evaluacion!BE14*N9</f>
        <v>2.7586516219907939</v>
      </c>
      <c r="R9" s="630">
        <f>Evaluacion!BG14*N9</f>
        <v>12.340322416892349</v>
      </c>
      <c r="S9" s="630">
        <v>0</v>
      </c>
      <c r="T9" s="630">
        <f>Evaluacion!BI14*N9</f>
        <v>2.579403514604059</v>
      </c>
      <c r="U9" s="630">
        <f>Evaluacion!BH14*N9</f>
        <v>9.4675401223361355</v>
      </c>
      <c r="V9" s="630">
        <v>0</v>
      </c>
      <c r="W9" s="630">
        <f>Evaluacion!T14*N9</f>
        <v>0.59097499999999992</v>
      </c>
      <c r="X9" s="630">
        <f>Evaluacion!U14*N9</f>
        <v>0.69352433333333341</v>
      </c>
    </row>
    <row r="10" spans="2:25" x14ac:dyDescent="0.25">
      <c r="B10" t="s">
        <v>972</v>
      </c>
      <c r="C10" t="str">
        <f>Evaluacion!A10</f>
        <v>E. Romweber</v>
      </c>
      <c r="D10" s="669" t="str">
        <f>Evaluacion!D10</f>
        <v>IMP</v>
      </c>
      <c r="E10" s="290">
        <f>Evaluacion!K10</f>
        <v>0</v>
      </c>
      <c r="F10" s="290">
        <f>Evaluacion!L10</f>
        <v>11.99</v>
      </c>
      <c r="G10" s="290">
        <f>Evaluacion!M10</f>
        <v>12.399111111111115</v>
      </c>
      <c r="H10" s="290">
        <f>Evaluacion!N10</f>
        <v>13.05</v>
      </c>
      <c r="I10" s="290">
        <f>Evaluacion!O10</f>
        <v>10.91</v>
      </c>
      <c r="J10" s="290">
        <f>Evaluacion!P10</f>
        <v>7.7700000000000005</v>
      </c>
      <c r="K10" s="290">
        <f>Evaluacion!Q10</f>
        <v>17.13</v>
      </c>
      <c r="M10" t="s">
        <v>972</v>
      </c>
      <c r="N10" s="629">
        <v>1</v>
      </c>
      <c r="O10" s="630">
        <f>Evaluacion!BT10</f>
        <v>4.2425282558821715</v>
      </c>
      <c r="P10" s="630">
        <f>Evaluacion!BU10</f>
        <v>3.6449890649128518</v>
      </c>
      <c r="Q10" s="630">
        <v>0</v>
      </c>
      <c r="R10" s="630">
        <f>Evaluacion!BV10</f>
        <v>6.9831538528315704</v>
      </c>
      <c r="S10" s="630">
        <f>Evaluacion!BW10</f>
        <v>17.20415558985016</v>
      </c>
      <c r="T10" s="630">
        <f>Evaluacion!BX10</f>
        <v>1.6768760526821926</v>
      </c>
      <c r="U10" s="630">
        <v>0</v>
      </c>
      <c r="V10" s="630">
        <v>0</v>
      </c>
      <c r="W10" s="630">
        <f>Evaluacion!T10*N10</f>
        <v>0.90239999999999987</v>
      </c>
      <c r="X10" s="630">
        <f>Evaluacion!U10*N10</f>
        <v>0.99349999999999983</v>
      </c>
    </row>
    <row r="11" spans="2:25" x14ac:dyDescent="0.25">
      <c r="B11" t="s">
        <v>972</v>
      </c>
      <c r="C11" t="str">
        <f>Evaluacion!A11</f>
        <v>K. Helms</v>
      </c>
      <c r="D11" s="669" t="str">
        <f>Evaluacion!D11</f>
        <v>TEC</v>
      </c>
      <c r="E11" s="290">
        <f>Evaluacion!K11</f>
        <v>0</v>
      </c>
      <c r="F11" s="290">
        <f>Evaluacion!L11</f>
        <v>7.11</v>
      </c>
      <c r="G11" s="290">
        <f>Evaluacion!M11</f>
        <v>10.250000000000004</v>
      </c>
      <c r="H11" s="290">
        <f>Evaluacion!N11</f>
        <v>13.305</v>
      </c>
      <c r="I11" s="290">
        <f>Evaluacion!O11</f>
        <v>10.359999999999998</v>
      </c>
      <c r="J11" s="290">
        <f>Evaluacion!P11</f>
        <v>5.4050000000000002</v>
      </c>
      <c r="K11" s="290">
        <f>Evaluacion!Q11</f>
        <v>17.300000000000004</v>
      </c>
      <c r="M11" t="s">
        <v>972</v>
      </c>
      <c r="N11" s="629">
        <v>1</v>
      </c>
      <c r="O11" s="630">
        <v>0</v>
      </c>
      <c r="P11" s="630">
        <f>Evaluacion!BU11</f>
        <v>2.4289712558798771</v>
      </c>
      <c r="Q11" s="630">
        <f>Evaluacion!BT11</f>
        <v>2.8271632650405123</v>
      </c>
      <c r="R11" s="630">
        <f>Evaluacion!BV11</f>
        <v>5.958134104202232</v>
      </c>
      <c r="S11" s="630">
        <v>0</v>
      </c>
      <c r="T11" s="630">
        <f>Evaluacion!BX11</f>
        <v>1.5977808277109224</v>
      </c>
      <c r="U11" s="630">
        <f>Evaluacion!BW11</f>
        <v>17.175398653749603</v>
      </c>
      <c r="V11" s="630">
        <v>0</v>
      </c>
      <c r="W11" s="630">
        <f>Evaluacion!T11*N11</f>
        <v>0.78925000000000023</v>
      </c>
      <c r="X11" s="630">
        <f>Evaluacion!U11*N11</f>
        <v>0.80340000000000023</v>
      </c>
    </row>
    <row r="12" spans="2:25" x14ac:dyDescent="0.25">
      <c r="B12" t="s">
        <v>67</v>
      </c>
      <c r="C12" t="str">
        <f>Evaluacion!A19</f>
        <v>J. Limon</v>
      </c>
      <c r="D12" s="669" t="str">
        <f>Evaluacion!D19</f>
        <v>RAP</v>
      </c>
      <c r="E12" s="290">
        <f>Evaluacion!K19</f>
        <v>0</v>
      </c>
      <c r="F12" s="290">
        <f>Evaluacion!L19</f>
        <v>6.8176190476190497</v>
      </c>
      <c r="G12" s="290">
        <f>Evaluacion!M19</f>
        <v>8.3125</v>
      </c>
      <c r="H12" s="290">
        <f>Evaluacion!N19</f>
        <v>8.7199999999999971</v>
      </c>
      <c r="I12" s="290">
        <f>Evaluacion!O19</f>
        <v>9.6900000000000013</v>
      </c>
      <c r="J12" s="290">
        <f>Evaluacion!P19</f>
        <v>8.5625000000000018</v>
      </c>
      <c r="K12" s="290">
        <f>Evaluacion!Q19</f>
        <v>18.639999999999993</v>
      </c>
      <c r="M12" t="s">
        <v>67</v>
      </c>
      <c r="N12" s="629">
        <v>0.94499999999999995</v>
      </c>
      <c r="O12" s="630">
        <v>0</v>
      </c>
      <c r="P12" s="630">
        <v>0</v>
      </c>
      <c r="Q12" s="630">
        <v>0</v>
      </c>
      <c r="R12" s="630">
        <f>N12*Evaluacion!CK19</f>
        <v>2.6318282112982283</v>
      </c>
      <c r="S12" s="630">
        <f>N12*Evaluacion!CH19</f>
        <v>6.7670419650551832</v>
      </c>
      <c r="T12" s="630">
        <f>N12*Evaluacion!CI19</f>
        <v>15.128482422569098</v>
      </c>
      <c r="U12" s="630">
        <f>S12</f>
        <v>6.7670419650551832</v>
      </c>
      <c r="V12" s="630">
        <v>0</v>
      </c>
      <c r="W12" s="630">
        <f>Evaluacion!T19*N12</f>
        <v>0.93302212499999981</v>
      </c>
      <c r="X12" s="630">
        <f>Evaluacion!U19*N12</f>
        <v>0.7861499999999999</v>
      </c>
    </row>
    <row r="13" spans="2:25" x14ac:dyDescent="0.25">
      <c r="B13" t="s">
        <v>738</v>
      </c>
      <c r="C13" t="str">
        <f>Evaluacion!A20</f>
        <v>L. Calosso</v>
      </c>
      <c r="D13" s="669" t="str">
        <f>Evaluacion!D20</f>
        <v>TEC</v>
      </c>
      <c r="E13" s="290">
        <f>Evaluacion!K20</f>
        <v>0</v>
      </c>
      <c r="F13" s="290">
        <f>Evaluacion!L20</f>
        <v>2</v>
      </c>
      <c r="G13" s="290">
        <f>Evaluacion!M20</f>
        <v>14.0938</v>
      </c>
      <c r="H13" s="290">
        <f>Evaluacion!N20</f>
        <v>3</v>
      </c>
      <c r="I13" s="290">
        <f>Evaluacion!O20</f>
        <v>15.02</v>
      </c>
      <c r="J13" s="290">
        <f>Evaluacion!P20</f>
        <v>10</v>
      </c>
      <c r="K13" s="290">
        <f>Evaluacion!Q20</f>
        <v>9.3000000000000007</v>
      </c>
      <c r="M13" t="s">
        <v>738</v>
      </c>
      <c r="N13" s="629">
        <f>1-0.055</f>
        <v>0.94499999999999995</v>
      </c>
      <c r="O13" s="630">
        <v>0</v>
      </c>
      <c r="P13" s="630">
        <v>0</v>
      </c>
      <c r="Q13" s="630">
        <v>0</v>
      </c>
      <c r="R13" s="630">
        <f>N13*Evaluacion!CD20</f>
        <v>6.4966438879722483</v>
      </c>
      <c r="S13" s="630">
        <f>N13*Evaluacion!CE20</f>
        <v>7.836673503510645</v>
      </c>
      <c r="T13" s="630">
        <f>N13*Evaluacion!CF20</f>
        <v>16.237633692267863</v>
      </c>
      <c r="U13" s="630">
        <f>S13</f>
        <v>7.836673503510645</v>
      </c>
      <c r="V13" s="630">
        <v>0</v>
      </c>
      <c r="W13" s="630">
        <f>Evaluacion!T20*N13</f>
        <v>0.736155</v>
      </c>
      <c r="X13" s="630">
        <f>Evaluacion!U20*N13</f>
        <v>0.33925499999999997</v>
      </c>
    </row>
    <row r="14" spans="2:25" x14ac:dyDescent="0.25">
      <c r="M14" s="288"/>
      <c r="N14" s="476"/>
      <c r="O14" s="631">
        <f>SUM(O3:O13)</f>
        <v>42.500911300518617</v>
      </c>
      <c r="P14" s="631">
        <f t="shared" ref="P14:X14" si="0">SUM(P3:P13)</f>
        <v>64.64087308315284</v>
      </c>
      <c r="Q14" s="631">
        <f t="shared" si="0"/>
        <v>42.537863870935332</v>
      </c>
      <c r="R14" s="631">
        <f t="shared" si="0"/>
        <v>68.571772277653068</v>
      </c>
      <c r="S14" s="631">
        <f t="shared" si="0"/>
        <v>51.736853398779267</v>
      </c>
      <c r="T14" s="631">
        <f t="shared" si="0"/>
        <v>44.79944063919806</v>
      </c>
      <c r="U14" s="631">
        <f t="shared" si="0"/>
        <v>52.966341582158201</v>
      </c>
      <c r="V14" s="687">
        <f t="shared" si="0"/>
        <v>12.766249999999999</v>
      </c>
      <c r="W14" s="687">
        <f t="shared" si="0"/>
        <v>7.4621610932539681</v>
      </c>
      <c r="X14" s="687">
        <f t="shared" si="0"/>
        <v>8.6302719242424235</v>
      </c>
    </row>
    <row r="15" spans="2:25" ht="15.75" x14ac:dyDescent="0.25">
      <c r="M15" s="288"/>
      <c r="N15" s="288" t="s">
        <v>977</v>
      </c>
      <c r="O15" s="633">
        <f>O14*0.34</f>
        <v>14.450309842176331</v>
      </c>
      <c r="P15" s="633">
        <f>P14*0.245</f>
        <v>15.837013905372446</v>
      </c>
      <c r="Q15" s="633">
        <f>Q14*0.34</f>
        <v>14.462873716118015</v>
      </c>
      <c r="R15" s="633">
        <f>R14*0.125</f>
        <v>8.5714715347066335</v>
      </c>
      <c r="S15" s="633">
        <f>S14*0.25</f>
        <v>12.934213349694817</v>
      </c>
      <c r="T15" s="633">
        <f>T14*0.19</f>
        <v>8.5118937214476311</v>
      </c>
      <c r="U15" s="633">
        <f>U14*0.25</f>
        <v>13.24158539553955</v>
      </c>
    </row>
    <row r="16" spans="2:25" ht="15.75" x14ac:dyDescent="0.25">
      <c r="M16" s="288"/>
      <c r="N16" s="288" t="s">
        <v>978</v>
      </c>
      <c r="O16" s="643">
        <f>O15*1.2/1.05</f>
        <v>16.514639819630091</v>
      </c>
      <c r="P16" s="643">
        <f t="shared" ref="P16:Q16" si="1">P15*1.2/1.05</f>
        <v>18.099444463282794</v>
      </c>
      <c r="Q16" s="643">
        <f t="shared" si="1"/>
        <v>16.5289985327063</v>
      </c>
      <c r="R16" s="643">
        <f>R15</f>
        <v>8.5714715347066335</v>
      </c>
      <c r="S16" s="643">
        <f>S15*0.925/1.05</f>
        <v>11.394426046159721</v>
      </c>
      <c r="T16" s="643">
        <f t="shared" ref="T16:U16" si="2">T15*0.925/1.05</f>
        <v>7.4985730403229134</v>
      </c>
      <c r="U16" s="643">
        <f t="shared" si="2"/>
        <v>11.665206181784843</v>
      </c>
    </row>
    <row r="17" spans="13:21" ht="15.75" x14ac:dyDescent="0.25">
      <c r="M17" s="288"/>
      <c r="N17" s="288" t="s">
        <v>979</v>
      </c>
      <c r="O17" s="643">
        <f>O15*0.925/1.05</f>
        <v>12.730034860964862</v>
      </c>
      <c r="P17" s="643">
        <f t="shared" ref="P17:Q17" si="3">P15*0.925/1.05</f>
        <v>13.951655107113822</v>
      </c>
      <c r="Q17" s="643">
        <f t="shared" si="3"/>
        <v>12.741103035627775</v>
      </c>
      <c r="R17" s="643">
        <f>R16</f>
        <v>8.5714715347066335</v>
      </c>
      <c r="S17" s="643">
        <f>S15*1.135/1.05</f>
        <v>13.981268716098683</v>
      </c>
      <c r="T17" s="643">
        <f t="shared" ref="T17:U17" si="4">T15*1.135/1.05</f>
        <v>9.2009517846124389</v>
      </c>
      <c r="U17" s="643">
        <f t="shared" si="4"/>
        <v>14.313523260892753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6" t="s">
        <v>316</v>
      </c>
      <c r="B1" s="526" t="s">
        <v>182</v>
      </c>
      <c r="C1" s="526" t="s">
        <v>832</v>
      </c>
      <c r="D1" s="526" t="s">
        <v>1</v>
      </c>
      <c r="E1" s="526" t="s">
        <v>2</v>
      </c>
      <c r="F1" s="526" t="s">
        <v>839</v>
      </c>
      <c r="G1" s="526" t="s">
        <v>66</v>
      </c>
      <c r="H1" s="526" t="s">
        <v>713</v>
      </c>
      <c r="I1" s="526" t="s">
        <v>840</v>
      </c>
      <c r="J1" s="526" t="s">
        <v>0</v>
      </c>
      <c r="L1" s="628">
        <v>541</v>
      </c>
      <c r="M1" s="476" t="s">
        <v>973</v>
      </c>
      <c r="N1" s="48" t="s">
        <v>843</v>
      </c>
      <c r="O1" s="48" t="s">
        <v>974</v>
      </c>
      <c r="P1" s="48" t="s">
        <v>843</v>
      </c>
      <c r="Q1" s="48" t="s">
        <v>65</v>
      </c>
      <c r="R1" s="48" t="s">
        <v>845</v>
      </c>
      <c r="S1" s="48" t="s">
        <v>846</v>
      </c>
      <c r="T1" s="48" t="s">
        <v>845</v>
      </c>
      <c r="U1" s="48" t="s">
        <v>700</v>
      </c>
      <c r="V1" s="48" t="s">
        <v>975</v>
      </c>
      <c r="W1" s="48" t="s">
        <v>976</v>
      </c>
    </row>
    <row r="2" spans="1:27" x14ac:dyDescent="0.25">
      <c r="A2" t="s">
        <v>1</v>
      </c>
      <c r="B2" t="str">
        <f>Evaluacion!A3</f>
        <v>D. Gehmacher</v>
      </c>
      <c r="C2">
        <f>Evaluacion!D3</f>
        <v>0</v>
      </c>
      <c r="D2" s="290">
        <f>Evaluacion!K3</f>
        <v>16.666666666666668</v>
      </c>
      <c r="E2" s="290">
        <f>Evaluacion!L3</f>
        <v>11.832727272727276</v>
      </c>
      <c r="F2" s="290">
        <f>Evaluacion!M3</f>
        <v>2.0199999999999996</v>
      </c>
      <c r="G2" s="290">
        <f>Evaluacion!N3</f>
        <v>2.1199999999999992</v>
      </c>
      <c r="H2" s="290">
        <f>Evaluacion!O3</f>
        <v>1.0400000000000003</v>
      </c>
      <c r="I2" s="290">
        <f>Evaluacion!P3</f>
        <v>0.14055555555555557</v>
      </c>
      <c r="J2" s="290">
        <f>Evaluacion!Q3</f>
        <v>17.849999999999998</v>
      </c>
      <c r="L2" t="str">
        <f>A2</f>
        <v>POR</v>
      </c>
      <c r="M2" s="629">
        <v>1</v>
      </c>
      <c r="N2" s="630">
        <f>Evaluacion!X3</f>
        <v>15.549969923212977</v>
      </c>
      <c r="O2" s="630">
        <f>Evaluacion!Y3</f>
        <v>22.913984829693582</v>
      </c>
      <c r="P2" s="630">
        <f>Evaluacion!Z3</f>
        <v>15.549969923212977</v>
      </c>
      <c r="Q2" s="630">
        <v>0</v>
      </c>
      <c r="R2" s="630">
        <v>0</v>
      </c>
      <c r="S2" s="630">
        <v>0</v>
      </c>
      <c r="T2" s="630">
        <v>0</v>
      </c>
      <c r="U2" s="630">
        <v>0</v>
      </c>
      <c r="V2" s="630">
        <f>Evaluacion!T3</f>
        <v>0.54252777777777772</v>
      </c>
      <c r="W2" s="630">
        <f>Evaluacion!U3</f>
        <v>1.008809090909091</v>
      </c>
      <c r="AA2" s="635"/>
    </row>
    <row r="3" spans="1:27" x14ac:dyDescent="0.25">
      <c r="A3" t="s">
        <v>969</v>
      </c>
      <c r="B3" t="str">
        <f>Evaluacion!A9</f>
        <v>B. Pinczehelyi</v>
      </c>
      <c r="C3" t="str">
        <f>Evaluacion!D9</f>
        <v>CAB</v>
      </c>
      <c r="D3" s="290">
        <f>Evaluacion!K9</f>
        <v>0</v>
      </c>
      <c r="E3" s="290">
        <f>Evaluacion!L9</f>
        <v>14.200000000000003</v>
      </c>
      <c r="F3" s="290">
        <f>Evaluacion!M9</f>
        <v>9.283333333333335</v>
      </c>
      <c r="G3" s="290">
        <f>Evaluacion!N9</f>
        <v>14.249999999999996</v>
      </c>
      <c r="H3" s="290">
        <f>Evaluacion!O9</f>
        <v>9.4199999999999982</v>
      </c>
      <c r="I3" s="290">
        <f>Evaluacion!P9</f>
        <v>1.1428571428571428</v>
      </c>
      <c r="J3" s="290">
        <f>Evaluacion!Q9</f>
        <v>9.4</v>
      </c>
      <c r="L3" t="str">
        <f t="shared" ref="L3:L12" si="0">A3</f>
        <v>LATN</v>
      </c>
      <c r="M3" s="629">
        <v>1</v>
      </c>
      <c r="N3" s="630">
        <f>Evaluacion!AI9</f>
        <v>15.389917057098641</v>
      </c>
      <c r="O3" s="630">
        <f>Evaluacion!AJ9</f>
        <v>6.925462675694388</v>
      </c>
      <c r="P3" s="630">
        <v>0</v>
      </c>
      <c r="Q3" s="630">
        <f>Evaluacion!AK9</f>
        <v>1.9725211759443546</v>
      </c>
      <c r="R3" s="630">
        <f>Evaluacion!AL9</f>
        <v>9.865564379971735</v>
      </c>
      <c r="S3" s="630">
        <v>0</v>
      </c>
      <c r="T3" s="630">
        <v>0</v>
      </c>
      <c r="U3" s="630">
        <f>Evaluacion!R9</f>
        <v>4.5049999999999999</v>
      </c>
      <c r="V3" s="630">
        <f>Evaluacion!T9</f>
        <v>0.33914285714285713</v>
      </c>
      <c r="W3" s="630">
        <f>Evaluacion!U9</f>
        <v>0.8500000000000002</v>
      </c>
      <c r="AA3" s="636"/>
    </row>
    <row r="4" spans="1:27" x14ac:dyDescent="0.25">
      <c r="A4" t="s">
        <v>981</v>
      </c>
      <c r="B4" t="str">
        <f>Evaluacion!A7</f>
        <v>B. Bartolache</v>
      </c>
      <c r="C4">
        <f>Evaluacion!D7</f>
        <v>0</v>
      </c>
      <c r="D4" s="290">
        <f>Evaluacion!K7</f>
        <v>0</v>
      </c>
      <c r="E4" s="290">
        <f>Evaluacion!L7</f>
        <v>11.649999999999997</v>
      </c>
      <c r="F4" s="290">
        <f>Evaluacion!M7</f>
        <v>6.6275000000000022</v>
      </c>
      <c r="G4" s="290">
        <f>Evaluacion!N7</f>
        <v>7.3600000000000012</v>
      </c>
      <c r="H4" s="290">
        <f>Evaluacion!O7</f>
        <v>9.0199999999999978</v>
      </c>
      <c r="I4" s="290">
        <f>Evaluacion!P7</f>
        <v>4.6199999999999966</v>
      </c>
      <c r="J4" s="290">
        <f>Evaluacion!Q7</f>
        <v>15.6</v>
      </c>
      <c r="L4" t="str">
        <f t="shared" si="0"/>
        <v>DCHL</v>
      </c>
      <c r="M4" s="629">
        <v>0.9</v>
      </c>
      <c r="N4" s="630">
        <f>M4*Evaluacion!AM7</f>
        <v>9.7956252261822563</v>
      </c>
      <c r="O4" s="630">
        <f>M4*Evaluacion!AN7</f>
        <v>9.1980141381127805</v>
      </c>
      <c r="P4" s="630">
        <v>0</v>
      </c>
      <c r="Q4" s="630">
        <f>M4*Evaluacion!AO7</f>
        <v>2.7632730806000496</v>
      </c>
      <c r="R4" s="630">
        <f>M4*Evaluacion!AP7</f>
        <v>1.7810410731306234</v>
      </c>
      <c r="S4" s="630">
        <v>0</v>
      </c>
      <c r="T4" s="630">
        <v>0</v>
      </c>
      <c r="U4" s="630">
        <f>Evaluacion!R7</f>
        <v>4.0862499999999988</v>
      </c>
      <c r="V4" s="630">
        <f>Evaluacion!T7*M4</f>
        <v>0.62909999999999988</v>
      </c>
      <c r="W4" s="630">
        <f>Evaluacion!U7*M4</f>
        <v>0.84060000000000001</v>
      </c>
      <c r="AA4" s="636"/>
    </row>
    <row r="5" spans="1:27" x14ac:dyDescent="0.25">
      <c r="A5" t="s">
        <v>980</v>
      </c>
      <c r="B5" t="str">
        <f>Evaluacion!A6</f>
        <v>E. Toney</v>
      </c>
      <c r="C5">
        <f>Evaluacion!D6</f>
        <v>0</v>
      </c>
      <c r="D5" s="290">
        <f>Evaluacion!K6</f>
        <v>0</v>
      </c>
      <c r="E5" s="290">
        <f>Evaluacion!L6</f>
        <v>12.060000000000004</v>
      </c>
      <c r="F5" s="290">
        <f>Evaluacion!M6</f>
        <v>13.020999999999999</v>
      </c>
      <c r="G5" s="290">
        <f>Evaluacion!N6</f>
        <v>9.7100000000000062</v>
      </c>
      <c r="H5" s="290">
        <f>Evaluacion!O6</f>
        <v>9.6</v>
      </c>
      <c r="I5" s="290">
        <f>Evaluacion!P6</f>
        <v>3.6816666666666658</v>
      </c>
      <c r="J5" s="290">
        <f>Evaluacion!Q6</f>
        <v>16.627777777777773</v>
      </c>
      <c r="L5" t="str">
        <f t="shared" si="0"/>
        <v>DCN</v>
      </c>
      <c r="M5" s="629">
        <v>0.9</v>
      </c>
      <c r="N5" s="630">
        <f>M5*(Evaluacion!AA6+Evaluacion!AC6)/2</f>
        <v>5.2257935259749599</v>
      </c>
      <c r="O5" s="630">
        <f>M5*Evaluacion!AB6</f>
        <v>13.503342444379744</v>
      </c>
      <c r="P5" s="630">
        <f>N5</f>
        <v>5.2257935259749599</v>
      </c>
      <c r="Q5" s="630">
        <f>M5*Evaluacion!AD6</f>
        <v>3.4196417017623779</v>
      </c>
      <c r="R5" s="630">
        <v>0</v>
      </c>
      <c r="S5" s="630">
        <f>0</f>
        <v>0</v>
      </c>
      <c r="T5" s="630">
        <v>0</v>
      </c>
      <c r="U5" s="630">
        <f>Evaluacion!R6</f>
        <v>4.2825000000000006</v>
      </c>
      <c r="V5" s="630">
        <f>Evaluacion!T6*M5</f>
        <v>0.61462499999999975</v>
      </c>
      <c r="W5" s="630">
        <f>Evaluacion!U6*M5</f>
        <v>0.88310999999999995</v>
      </c>
      <c r="AA5" s="636"/>
    </row>
    <row r="6" spans="1:27" x14ac:dyDescent="0.25">
      <c r="A6" t="s">
        <v>981</v>
      </c>
      <c r="B6" t="str">
        <f>Evaluacion!A5</f>
        <v>D. Toh</v>
      </c>
      <c r="C6" t="str">
        <f>Evaluacion!D5</f>
        <v>CAB</v>
      </c>
      <c r="D6" s="290">
        <f>Evaluacion!K5</f>
        <v>0</v>
      </c>
      <c r="E6" s="290">
        <f>Evaluacion!L5</f>
        <v>11</v>
      </c>
      <c r="F6" s="290">
        <f>Evaluacion!M5</f>
        <v>6.1594444444444418</v>
      </c>
      <c r="G6" s="290">
        <f>Evaluacion!N5</f>
        <v>5.98</v>
      </c>
      <c r="H6" s="290">
        <f>Evaluacion!O5</f>
        <v>7.7227777777777789</v>
      </c>
      <c r="I6" s="290">
        <f>Evaluacion!P5</f>
        <v>4.383333333333332</v>
      </c>
      <c r="J6" s="290">
        <f>Evaluacion!Q5</f>
        <v>15.349999999999998</v>
      </c>
      <c r="L6" t="str">
        <f t="shared" si="0"/>
        <v>DCHL</v>
      </c>
      <c r="M6" s="629">
        <v>0.9</v>
      </c>
      <c r="N6" s="630">
        <v>0</v>
      </c>
      <c r="O6" s="630">
        <f>M6*Evaluacion!AN5</f>
        <v>8.7084520493775894</v>
      </c>
      <c r="P6" s="630">
        <f>M6*Evaluacion!AM5</f>
        <v>9.2742554311168117</v>
      </c>
      <c r="Q6" s="630">
        <f>M6*Evaluacion!AO5</f>
        <v>2.7079172771836966</v>
      </c>
      <c r="R6" s="630">
        <v>0</v>
      </c>
      <c r="S6" s="630">
        <v>0</v>
      </c>
      <c r="T6" s="630">
        <f>M6*Evaluacion!AP5</f>
        <v>1.6452571726281715</v>
      </c>
      <c r="U6" s="630">
        <f>Evaluacion!R5</f>
        <v>3.6806944444444447</v>
      </c>
      <c r="V6" s="630">
        <f>Evaluacion!T5*M6</f>
        <v>0.61169999999999991</v>
      </c>
      <c r="W6" s="630">
        <f>Evaluacion!U5*M6</f>
        <v>0.81044999999999989</v>
      </c>
      <c r="AA6" s="636"/>
    </row>
    <row r="7" spans="1:27" x14ac:dyDescent="0.25">
      <c r="A7" t="s">
        <v>969</v>
      </c>
      <c r="B7" t="str">
        <f>Evaluacion!A10</f>
        <v>E. Romweber</v>
      </c>
      <c r="C7" t="str">
        <f>Evaluacion!D10</f>
        <v>IMP</v>
      </c>
      <c r="D7" s="290">
        <f>Evaluacion!K10</f>
        <v>0</v>
      </c>
      <c r="E7" s="290">
        <f>Evaluacion!L10</f>
        <v>11.99</v>
      </c>
      <c r="F7" s="290">
        <f>Evaluacion!M10</f>
        <v>12.399111111111115</v>
      </c>
      <c r="G7" s="290">
        <f>Evaluacion!N10</f>
        <v>13.05</v>
      </c>
      <c r="H7" s="290">
        <f>Evaluacion!O10</f>
        <v>10.91</v>
      </c>
      <c r="I7" s="290">
        <f>Evaluacion!P10</f>
        <v>7.7700000000000005</v>
      </c>
      <c r="J7" s="290">
        <f>Evaluacion!Q10</f>
        <v>17.13</v>
      </c>
      <c r="L7" t="str">
        <f t="shared" si="0"/>
        <v>LATN</v>
      </c>
      <c r="M7" s="629">
        <v>1</v>
      </c>
      <c r="N7" s="630">
        <v>0</v>
      </c>
      <c r="O7" s="630">
        <f>Evaluacion!AJ10</f>
        <v>6.1845306265324611</v>
      </c>
      <c r="P7" s="630">
        <f>Evaluacion!AI10</f>
        <v>13.743401392294359</v>
      </c>
      <c r="Q7" s="630">
        <f>Evaluacion!AK10</f>
        <v>2.5630476778524667</v>
      </c>
      <c r="R7" s="630">
        <v>0</v>
      </c>
      <c r="S7" s="630">
        <v>0</v>
      </c>
      <c r="T7" s="630">
        <f>Evaluacion!AL10</f>
        <v>9.4071061072490014</v>
      </c>
      <c r="U7" s="630">
        <f>Evaluacion!R10</f>
        <v>4.6012500000000003</v>
      </c>
      <c r="V7" s="630">
        <f>Evaluacion!T10</f>
        <v>0.90239999999999987</v>
      </c>
      <c r="W7" s="630">
        <f>Evaluacion!U10</f>
        <v>0.99349999999999983</v>
      </c>
      <c r="AA7" s="636"/>
    </row>
    <row r="8" spans="1:27" x14ac:dyDescent="0.25">
      <c r="A8" t="s">
        <v>596</v>
      </c>
      <c r="B8" t="str">
        <f>Evaluacion!A14</f>
        <v>C. Rojas</v>
      </c>
      <c r="C8" t="str">
        <f>Evaluacion!D14</f>
        <v>TEC</v>
      </c>
      <c r="D8" s="290">
        <f>Evaluacion!K14</f>
        <v>0</v>
      </c>
      <c r="E8" s="290">
        <f>Evaluacion!L14</f>
        <v>8.6075555555555585</v>
      </c>
      <c r="F8" s="290">
        <f>Evaluacion!M14</f>
        <v>14.09516031746031</v>
      </c>
      <c r="G8" s="290">
        <f>Evaluacion!N14</f>
        <v>9.99</v>
      </c>
      <c r="H8" s="290">
        <f>Evaluacion!O14</f>
        <v>10.09</v>
      </c>
      <c r="I8" s="290">
        <f>Evaluacion!P14</f>
        <v>4.3999999999999995</v>
      </c>
      <c r="J8" s="290">
        <f>Evaluacion!Q14</f>
        <v>16.544444444444441</v>
      </c>
      <c r="L8" t="str">
        <f t="shared" si="0"/>
        <v>IHL</v>
      </c>
      <c r="M8" s="629">
        <f>1-0.065</f>
        <v>0.93500000000000005</v>
      </c>
      <c r="N8" s="630">
        <f>M8*Evaluacion!BE14</f>
        <v>3.1264718382562338</v>
      </c>
      <c r="O8" s="630">
        <f>M8*Evaluacion!BF14</f>
        <v>3.7388735385332277</v>
      </c>
      <c r="P8" s="630">
        <v>0</v>
      </c>
      <c r="Q8" s="630">
        <f>Evaluacion!BG14*M8</f>
        <v>13.985698739144663</v>
      </c>
      <c r="R8" s="630">
        <f>Evaluacion!BH14*M8</f>
        <v>10.729878805314288</v>
      </c>
      <c r="S8" s="630">
        <f>Evaluacion!BI14*M8</f>
        <v>2.9233239832179341</v>
      </c>
      <c r="T8" s="630">
        <v>0</v>
      </c>
      <c r="U8" s="630">
        <v>0</v>
      </c>
      <c r="V8" s="630">
        <f>Evaluacion!T14*M8</f>
        <v>0.66977166666666665</v>
      </c>
      <c r="W8" s="630">
        <f>Evaluacion!U14*M8</f>
        <v>0.78599424444444466</v>
      </c>
      <c r="AA8" s="636"/>
    </row>
    <row r="9" spans="1:27" x14ac:dyDescent="0.25">
      <c r="A9" t="s">
        <v>596</v>
      </c>
      <c r="B9" t="str">
        <f>Evaluacion!A13</f>
        <v>S. Buschelman</v>
      </c>
      <c r="C9" t="str">
        <f>Evaluacion!D13</f>
        <v>TEC</v>
      </c>
      <c r="D9" s="290">
        <f>Evaluacion!K13</f>
        <v>0</v>
      </c>
      <c r="E9" s="290">
        <f>Evaluacion!L13</f>
        <v>9.1936666666666653</v>
      </c>
      <c r="F9" s="290">
        <f>Evaluacion!M13</f>
        <v>13.499999999999998</v>
      </c>
      <c r="G9" s="290">
        <f>Evaluacion!N13</f>
        <v>12.725000000000001</v>
      </c>
      <c r="H9" s="290">
        <f>Evaluacion!O13</f>
        <v>9.6733333333333356</v>
      </c>
      <c r="I9" s="290">
        <f>Evaluacion!P13</f>
        <v>5.0296666666666656</v>
      </c>
      <c r="J9" s="290">
        <f>Evaluacion!Q13</f>
        <v>15.2</v>
      </c>
      <c r="L9" t="str">
        <f t="shared" si="0"/>
        <v>IHL</v>
      </c>
      <c r="M9" s="629">
        <f>1-0.065</f>
        <v>0.93500000000000005</v>
      </c>
      <c r="N9" s="630">
        <v>0</v>
      </c>
      <c r="O9" s="630">
        <f>M9*Evaluacion!BF13</f>
        <v>3.920735003921382</v>
      </c>
      <c r="P9" s="630">
        <f>M9*Evaluacion!BE13</f>
        <v>3.2785456498308112</v>
      </c>
      <c r="Q9" s="630">
        <f>Evaluacion!BG13*M9</f>
        <v>13.473046276996374</v>
      </c>
      <c r="R9" s="630">
        <v>0</v>
      </c>
      <c r="S9" s="630">
        <f>Evaluacion!BI13*M9</f>
        <v>2.8233073433478548</v>
      </c>
      <c r="T9" s="630">
        <f>Evaluacion!BH13*M9</f>
        <v>12.052405739500315</v>
      </c>
      <c r="U9" s="630">
        <v>0</v>
      </c>
      <c r="V9" s="630">
        <f>Evaluacion!T13*M9</f>
        <v>0.66149691666666666</v>
      </c>
      <c r="W9" s="630">
        <f>Evaluacion!U13*M9</f>
        <v>0.77020313333333335</v>
      </c>
      <c r="AA9" s="636"/>
    </row>
    <row r="10" spans="1:27" x14ac:dyDescent="0.25">
      <c r="A10" t="s">
        <v>972</v>
      </c>
      <c r="B10" t="str">
        <f>Evaluacion!A11</f>
        <v>K. Helms</v>
      </c>
      <c r="C10" t="str">
        <f>Evaluacion!D11</f>
        <v>TEC</v>
      </c>
      <c r="D10" s="290">
        <f>Evaluacion!K11</f>
        <v>0</v>
      </c>
      <c r="E10" s="290">
        <f>Evaluacion!L11</f>
        <v>7.11</v>
      </c>
      <c r="F10" s="290">
        <f>Evaluacion!M11</f>
        <v>10.250000000000004</v>
      </c>
      <c r="G10" s="290">
        <f>Evaluacion!N11</f>
        <v>13.305</v>
      </c>
      <c r="H10" s="290">
        <f>Evaluacion!O11</f>
        <v>10.359999999999998</v>
      </c>
      <c r="I10" s="290">
        <f>Evaluacion!P11</f>
        <v>5.4050000000000002</v>
      </c>
      <c r="J10" s="290">
        <f>Evaluacion!Q11</f>
        <v>17.300000000000004</v>
      </c>
      <c r="L10" t="str">
        <f t="shared" si="0"/>
        <v>EXTN</v>
      </c>
      <c r="M10" s="629">
        <v>1</v>
      </c>
      <c r="N10" s="630">
        <f>Evaluacion!BT11</f>
        <v>2.8271632650405123</v>
      </c>
      <c r="O10" s="630">
        <f>Evaluacion!BU11</f>
        <v>2.4289712558798771</v>
      </c>
      <c r="P10" s="630">
        <v>0</v>
      </c>
      <c r="Q10" s="630">
        <f>Evaluacion!BV11</f>
        <v>5.958134104202232</v>
      </c>
      <c r="R10" s="630">
        <f>Evaluacion!BW11</f>
        <v>17.175398653749603</v>
      </c>
      <c r="S10" s="630">
        <f>Evaluacion!BX11</f>
        <v>1.5977808277109224</v>
      </c>
      <c r="T10" s="630">
        <v>0</v>
      </c>
      <c r="U10" s="630">
        <v>0</v>
      </c>
      <c r="V10" s="630">
        <f>Evaluacion!T11</f>
        <v>0.78925000000000023</v>
      </c>
      <c r="W10" s="630">
        <f>Evaluacion!U11</f>
        <v>0.80340000000000023</v>
      </c>
      <c r="AA10" s="636"/>
    </row>
    <row r="11" spans="1:27" x14ac:dyDescent="0.25">
      <c r="A11" t="s">
        <v>972</v>
      </c>
      <c r="B11" t="str">
        <f>Evaluacion!A12</f>
        <v>S. Zobbe</v>
      </c>
      <c r="C11" t="str">
        <f>Evaluacion!D12</f>
        <v>CAB</v>
      </c>
      <c r="D11" s="290">
        <f>Evaluacion!K12</f>
        <v>0</v>
      </c>
      <c r="E11" s="290">
        <f>Evaluacion!L12</f>
        <v>8.1199999999999992</v>
      </c>
      <c r="F11" s="290">
        <f>Evaluacion!M12</f>
        <v>11.958412698412697</v>
      </c>
      <c r="G11" s="290">
        <f>Evaluacion!N12</f>
        <v>12.13</v>
      </c>
      <c r="H11" s="290">
        <f>Evaluacion!O12</f>
        <v>10.24</v>
      </c>
      <c r="I11" s="290">
        <f>Evaluacion!P12</f>
        <v>7.4766666666666666</v>
      </c>
      <c r="J11" s="290">
        <f>Evaluacion!Q12</f>
        <v>15.270000000000001</v>
      </c>
      <c r="L11" t="str">
        <f t="shared" si="0"/>
        <v>EXTN</v>
      </c>
      <c r="M11" s="629">
        <v>1</v>
      </c>
      <c r="N11" s="630">
        <v>0</v>
      </c>
      <c r="O11" s="630">
        <f>Evaluacion!BU12</f>
        <v>2.6513034961379072</v>
      </c>
      <c r="P11" s="630">
        <f>Evaluacion!BT12</f>
        <v>3.0859434135375641</v>
      </c>
      <c r="Q11" s="630">
        <f>Evaluacion!BV12</f>
        <v>6.6905068381988757</v>
      </c>
      <c r="R11" s="630">
        <v>0</v>
      </c>
      <c r="S11" s="630">
        <f>Evaluacion!BX12</f>
        <v>1.5713057501339622</v>
      </c>
      <c r="T11" s="630">
        <f>Evaluacion!BW12</f>
        <v>16.0214457119705</v>
      </c>
      <c r="U11" s="630">
        <v>0</v>
      </c>
      <c r="V11" s="630">
        <f>Evaluacion!T12</f>
        <v>0.8319333333333333</v>
      </c>
      <c r="W11" s="630">
        <f>Evaluacion!U12</f>
        <v>0.78290000000000004</v>
      </c>
      <c r="AA11" s="636"/>
    </row>
    <row r="12" spans="1:27" x14ac:dyDescent="0.25">
      <c r="A12" t="s">
        <v>738</v>
      </c>
      <c r="B12" t="str">
        <f>Evaluacion!A20</f>
        <v>L. Calosso</v>
      </c>
      <c r="C12" t="str">
        <f>Evaluacion!D20</f>
        <v>TEC</v>
      </c>
      <c r="D12" s="290">
        <f>Evaluacion!K20</f>
        <v>0</v>
      </c>
      <c r="E12" s="290">
        <f>Evaluacion!L20</f>
        <v>2</v>
      </c>
      <c r="F12" s="290">
        <f>Evaluacion!M20</f>
        <v>14.0938</v>
      </c>
      <c r="G12" s="290">
        <f>Evaluacion!N20</f>
        <v>3</v>
      </c>
      <c r="H12" s="290">
        <f>Evaluacion!O20</f>
        <v>15.02</v>
      </c>
      <c r="I12" s="290">
        <f>Evaluacion!P20</f>
        <v>10</v>
      </c>
      <c r="J12" s="290">
        <f>Evaluacion!Q20</f>
        <v>9.3000000000000007</v>
      </c>
      <c r="L12" t="str">
        <f t="shared" si="0"/>
        <v>DD</v>
      </c>
      <c r="M12" s="629">
        <v>1</v>
      </c>
      <c r="N12" s="630">
        <v>0</v>
      </c>
      <c r="O12" s="630">
        <v>0</v>
      </c>
      <c r="P12" s="630">
        <v>0</v>
      </c>
      <c r="Q12" s="630">
        <f>M12*Evaluacion!CD20</f>
        <v>6.8747554370076704</v>
      </c>
      <c r="R12" s="630">
        <f>M12*Evaluacion!CE20</f>
        <v>8.2927761941911591</v>
      </c>
      <c r="S12" s="630">
        <f>M12*Evaluacion!CF20</f>
        <v>17.18268115583901</v>
      </c>
      <c r="T12" s="630">
        <f>R12</f>
        <v>8.2927761941911591</v>
      </c>
      <c r="U12" s="630">
        <v>0</v>
      </c>
      <c r="V12" s="630">
        <f>Evaluacion!T20*M12</f>
        <v>0.77900000000000003</v>
      </c>
      <c r="W12" s="630">
        <f>Evaluacion!U20*M12</f>
        <v>0.35899999999999999</v>
      </c>
      <c r="AA12" s="636"/>
    </row>
    <row r="13" spans="1:27" x14ac:dyDescent="0.25">
      <c r="L13" s="288"/>
      <c r="M13" s="476"/>
      <c r="N13" s="631">
        <f>SUM(N2:N12)</f>
        <v>51.914940835765584</v>
      </c>
      <c r="O13" s="631">
        <f t="shared" ref="O13:W13" si="1">SUM(O2:O12)</f>
        <v>80.173670058262928</v>
      </c>
      <c r="P13" s="631">
        <f t="shared" si="1"/>
        <v>50.157909335967481</v>
      </c>
      <c r="Q13" s="631">
        <f t="shared" si="1"/>
        <v>60.408542308892763</v>
      </c>
      <c r="R13" s="631">
        <f t="shared" si="1"/>
        <v>47.844659106357412</v>
      </c>
      <c r="S13" s="631">
        <f t="shared" si="1"/>
        <v>26.098399060249683</v>
      </c>
      <c r="T13" s="631">
        <f t="shared" si="1"/>
        <v>47.418990925539148</v>
      </c>
      <c r="U13" s="632">
        <f t="shared" si="1"/>
        <v>21.155694444444443</v>
      </c>
      <c r="V13" s="632">
        <f t="shared" si="1"/>
        <v>7.3709475515873013</v>
      </c>
      <c r="W13" s="632">
        <f t="shared" si="1"/>
        <v>8.8879664686868693</v>
      </c>
    </row>
    <row r="14" spans="1:27" ht="15.75" x14ac:dyDescent="0.25">
      <c r="L14" s="288"/>
      <c r="M14" s="288" t="s">
        <v>977</v>
      </c>
      <c r="N14" s="633">
        <f>N13*0.34</f>
        <v>17.6510798841603</v>
      </c>
      <c r="O14" s="633">
        <f>O13*0.245</f>
        <v>19.642549164274417</v>
      </c>
      <c r="P14" s="633">
        <f>P13*0.34</f>
        <v>17.053689174228946</v>
      </c>
      <c r="Q14" s="633">
        <f>Q13*0.125</f>
        <v>7.5510677886115953</v>
      </c>
      <c r="R14" s="633">
        <f>R13*0.25</f>
        <v>11.961164776589353</v>
      </c>
      <c r="S14" s="633">
        <f>S13*0.19</f>
        <v>4.9586958214474395</v>
      </c>
      <c r="T14" s="633">
        <f>T13*0.25</f>
        <v>11.854747731384787</v>
      </c>
    </row>
    <row r="15" spans="1:27" ht="15.75" x14ac:dyDescent="0.25">
      <c r="L15" s="288"/>
      <c r="M15" s="288" t="s">
        <v>978</v>
      </c>
      <c r="N15" s="643">
        <f>N14*1.2/1.05</f>
        <v>20.172662724754627</v>
      </c>
      <c r="O15" s="643">
        <f t="shared" ref="O15:P15" si="2">O14*1.2/1.05</f>
        <v>22.448627616313615</v>
      </c>
      <c r="P15" s="643">
        <f t="shared" si="2"/>
        <v>19.489930484833081</v>
      </c>
      <c r="Q15" s="643">
        <f>Q14</f>
        <v>7.5510677886115953</v>
      </c>
      <c r="R15" s="643">
        <f>R14*0.925/1.05</f>
        <v>10.537216588900144</v>
      </c>
      <c r="S15" s="643">
        <f t="shared" ref="S15:T15" si="3">S14*0.925/1.05</f>
        <v>4.3683748903227446</v>
      </c>
      <c r="T15" s="643">
        <f t="shared" si="3"/>
        <v>10.443468239553265</v>
      </c>
    </row>
    <row r="16" spans="1:27" ht="15.75" x14ac:dyDescent="0.25">
      <c r="L16" s="288"/>
      <c r="M16" s="288" t="s">
        <v>979</v>
      </c>
      <c r="N16" s="643">
        <f>N14*0.925/1.05</f>
        <v>15.549760850331692</v>
      </c>
      <c r="O16" s="643">
        <f t="shared" ref="O16:P16" si="4">O14*0.925/1.05</f>
        <v>17.30415045424175</v>
      </c>
      <c r="P16" s="643">
        <f t="shared" si="4"/>
        <v>15.023488082058835</v>
      </c>
      <c r="Q16" s="643">
        <f>Q15</f>
        <v>7.5510677886115953</v>
      </c>
      <c r="R16" s="643">
        <f>R14*1.135/1.05</f>
        <v>12.929449544218015</v>
      </c>
      <c r="S16" s="643">
        <f t="shared" ref="S16:T16" si="5">S14*1.135/1.05</f>
        <v>5.3601140546122314</v>
      </c>
      <c r="T16" s="643">
        <f t="shared" si="5"/>
        <v>12.814417785830223</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8" sqref="B8"/>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44" bestFit="1" customWidth="1"/>
    <col min="13" max="13" width="6.5703125" style="650" customWidth="1"/>
    <col min="14" max="14" width="8.28515625" style="64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1002</v>
      </c>
      <c r="AD1" t="s">
        <v>1003</v>
      </c>
      <c r="AG1" t="s">
        <v>1004</v>
      </c>
    </row>
    <row r="2" spans="1:34" x14ac:dyDescent="0.25">
      <c r="B2" s="317">
        <v>43060</v>
      </c>
      <c r="Y2" s="652">
        <f>SUM(Y4:Y12)</f>
        <v>0.2207357705287353</v>
      </c>
      <c r="Z2" s="652">
        <f>SUM(Z4:Z12)</f>
        <v>0.3223967151088466</v>
      </c>
      <c r="AA2" s="652"/>
      <c r="AD2" s="526" t="s">
        <v>316</v>
      </c>
      <c r="AE2" s="526" t="s">
        <v>182</v>
      </c>
      <c r="AG2" s="526" t="s">
        <v>316</v>
      </c>
      <c r="AH2" s="526" t="s">
        <v>182</v>
      </c>
    </row>
    <row r="3" spans="1:34" x14ac:dyDescent="0.25">
      <c r="A3" s="326" t="s">
        <v>1056</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1007</v>
      </c>
      <c r="O3" s="649" t="s">
        <v>1</v>
      </c>
      <c r="P3" s="647" t="s">
        <v>970</v>
      </c>
      <c r="Q3" s="646" t="s">
        <v>1000</v>
      </c>
      <c r="R3" s="646" t="s">
        <v>1006</v>
      </c>
      <c r="S3" s="646" t="s">
        <v>1001</v>
      </c>
      <c r="T3" s="646" t="s">
        <v>971</v>
      </c>
      <c r="U3" s="646" t="s">
        <v>596</v>
      </c>
      <c r="V3" s="646" t="s">
        <v>1005</v>
      </c>
      <c r="W3" s="647" t="s">
        <v>738</v>
      </c>
      <c r="X3" s="647" t="s">
        <v>67</v>
      </c>
      <c r="Y3" s="646" t="s">
        <v>1003</v>
      </c>
      <c r="Z3" s="649" t="s">
        <v>1004</v>
      </c>
      <c r="AA3" s="649" t="s">
        <v>1009</v>
      </c>
      <c r="AD3" t="s">
        <v>1</v>
      </c>
      <c r="AE3" t="s">
        <v>930</v>
      </c>
      <c r="AG3" t="s">
        <v>1</v>
      </c>
      <c r="AH3" t="s">
        <v>930</v>
      </c>
    </row>
    <row r="4" spans="1:34" x14ac:dyDescent="0.25">
      <c r="A4" s="312" t="str">
        <f>PLANTILLA!A17</f>
        <v>#12</v>
      </c>
      <c r="B4" s="170" t="str">
        <f>PLANTILLA!D17</f>
        <v>E. Gross</v>
      </c>
      <c r="C4" s="5">
        <f>PLANTILLA!E17</f>
        <v>30</v>
      </c>
      <c r="D4" s="5">
        <f ca="1">PLANTILLA!F17</f>
        <v>54</v>
      </c>
      <c r="E4" s="163">
        <f>PLANTILLA!V17</f>
        <v>0</v>
      </c>
      <c r="F4" s="163">
        <f>PLANTILLA!W17</f>
        <v>10.349999999999996</v>
      </c>
      <c r="G4" s="163">
        <f>PLANTILLA!X17</f>
        <v>12.749777777777778</v>
      </c>
      <c r="H4" s="163">
        <f>PLANTILLA!Y17</f>
        <v>5.1199999999999983</v>
      </c>
      <c r="I4" s="163">
        <f>PLANTILLA!Z17</f>
        <v>9.24</v>
      </c>
      <c r="J4" s="163">
        <f>PLANTILLA!AA17</f>
        <v>2.98</v>
      </c>
      <c r="K4" s="163">
        <f>PLANTILLA!AB17</f>
        <v>16.959999999999997</v>
      </c>
      <c r="L4" s="363">
        <f>1/13</f>
        <v>7.6923076923076927E-2</v>
      </c>
      <c r="M4" s="363"/>
      <c r="N4" s="363">
        <f>L4/6</f>
        <v>1.2820512820512822E-2</v>
      </c>
      <c r="O4" s="159">
        <f>L4*(0.245*0.425+0.34*0.276)/(0.245+0.34)</f>
        <v>2.6030900723208419E-2</v>
      </c>
      <c r="P4" s="159">
        <f>L4*(0.245*1+0.34*0.516+0.34*0.258)/(0.245+0.34)</f>
        <v>6.6819197896120994E-2</v>
      </c>
      <c r="Q4" s="159">
        <f>L4*(0.245*0.725+0.34*0.378+0.34*0.189)/(0.245+0.34)</f>
        <v>4.8705456936226174E-2</v>
      </c>
      <c r="R4" s="159">
        <f>L4*(0.245*0.708+0.34*0.754)/(0.245+0.34)</f>
        <v>5.6518080210387907E-2</v>
      </c>
      <c r="S4" s="159">
        <f>L4*(0.245*0.414+0.34*0.919)/(0.245+0.34)</f>
        <v>5.4423405654174889E-2</v>
      </c>
      <c r="T4" s="159">
        <f>L4*(0.245*0.4+0.34*0.189+0.34*0.095)</f>
        <v>1.4966153846153848E-2</v>
      </c>
      <c r="U4" s="159">
        <f>L4*(0.245*0.348+0.34*0.291)</f>
        <v>1.4169230769230767E-2</v>
      </c>
      <c r="V4" s="159">
        <f>L4*(0.245*0.201+0.34*0.349)</f>
        <v>1.2915769230769231E-2</v>
      </c>
      <c r="W4" s="159">
        <v>0</v>
      </c>
      <c r="X4" s="159">
        <v>0</v>
      </c>
      <c r="Y4" s="438">
        <f>P4</f>
        <v>6.6819197896120994E-2</v>
      </c>
      <c r="Z4" s="438">
        <f>P4</f>
        <v>6.6819197896120994E-2</v>
      </c>
      <c r="AA4" s="438">
        <f>MAX(Z4,Y4)</f>
        <v>6.6819197896120994E-2</v>
      </c>
      <c r="AD4" t="s">
        <v>969</v>
      </c>
      <c r="AE4" s="668" t="s">
        <v>1022</v>
      </c>
      <c r="AG4" t="s">
        <v>969</v>
      </c>
      <c r="AH4" s="668" t="str">
        <f>AE4</f>
        <v>B. Pinczehelyi</v>
      </c>
    </row>
    <row r="5" spans="1:34" x14ac:dyDescent="0.25">
      <c r="A5" s="312" t="str">
        <f>PLANTILLA!A10</f>
        <v>#3</v>
      </c>
      <c r="B5" s="170" t="str">
        <f>PLANTILLA!D10</f>
        <v>B. Bartolache</v>
      </c>
      <c r="C5" s="5">
        <f>PLANTILLA!E10</f>
        <v>30</v>
      </c>
      <c r="D5" s="5">
        <f ca="1">PLANTILLA!F10</f>
        <v>90</v>
      </c>
      <c r="E5" s="163">
        <f>PLANTILLA!V10</f>
        <v>0</v>
      </c>
      <c r="F5" s="163">
        <f>PLANTILLA!W10</f>
        <v>11.649999999999997</v>
      </c>
      <c r="G5" s="163">
        <f>PLANTILLA!X10</f>
        <v>6.6275000000000022</v>
      </c>
      <c r="H5" s="163">
        <f>PLANTILLA!Y10</f>
        <v>7.3600000000000012</v>
      </c>
      <c r="I5" s="163">
        <f>PLANTILLA!Z10</f>
        <v>9.0199999999999978</v>
      </c>
      <c r="J5" s="163">
        <f>PLANTILLA!AA10</f>
        <v>4.6199999999999966</v>
      </c>
      <c r="K5" s="163">
        <f>PLANTILLA!AB10</f>
        <v>15.6</v>
      </c>
      <c r="L5" s="363">
        <f>1/15</f>
        <v>6.6666666666666666E-2</v>
      </c>
      <c r="M5" s="363"/>
      <c r="N5" s="363">
        <f>L5/6</f>
        <v>1.1111111111111112E-2</v>
      </c>
      <c r="O5" s="159">
        <f>L5*(0.245*0.425+0.34*0.276)/(0.245+0.34)</f>
        <v>2.256011396011396E-2</v>
      </c>
      <c r="P5" s="159">
        <f>L5*(0.245*1+0.34*0.516+0.34*0.258)/(0.245+0.34)</f>
        <v>5.7909971509971521E-2</v>
      </c>
      <c r="Q5" s="159">
        <f>L5*(0.245*0.725+0.34*0.378+0.34*0.189)/(0.245+0.34)</f>
        <v>4.2211396011396014E-2</v>
      </c>
      <c r="R5" s="159">
        <f>L5*(0.245*0.708+0.34*0.754)/(0.245+0.34)</f>
        <v>4.8982336182336182E-2</v>
      </c>
      <c r="S5" s="159">
        <f>L5*(0.245*0.414+0.34*0.919)/(0.245+0.34)</f>
        <v>4.7166951566951568E-2</v>
      </c>
      <c r="T5" s="159">
        <f>L5*(0.245*0.4+0.34*0.189+0.34*0.095)</f>
        <v>1.2970666666666667E-2</v>
      </c>
      <c r="U5" s="159">
        <f>L5*(0.245*0.348+0.34*0.291)</f>
        <v>1.2279999999999998E-2</v>
      </c>
      <c r="V5" s="159">
        <f>L5*(0.245*0.201+0.34*0.349)</f>
        <v>1.1193666666666666E-2</v>
      </c>
      <c r="W5" s="159">
        <v>0</v>
      </c>
      <c r="X5" s="159">
        <v>0</v>
      </c>
      <c r="Y5" s="438"/>
      <c r="Z5" s="438">
        <f>R5</f>
        <v>4.8982336182336182E-2</v>
      </c>
      <c r="AA5" s="438">
        <f>MAX(Z5,Y5)</f>
        <v>4.8982336182336182E-2</v>
      </c>
      <c r="AD5" t="s">
        <v>970</v>
      </c>
      <c r="AE5" t="s">
        <v>312</v>
      </c>
      <c r="AG5" t="s">
        <v>981</v>
      </c>
      <c r="AH5" t="s">
        <v>313</v>
      </c>
    </row>
    <row r="6" spans="1:34" x14ac:dyDescent="0.25">
      <c r="A6" s="312" t="str">
        <f>PLANTILLA!A8</f>
        <v>#8</v>
      </c>
      <c r="B6" s="170" t="str">
        <f>PLANTILLA!D8</f>
        <v>D. Toh</v>
      </c>
      <c r="C6" s="5">
        <f>PLANTILLA!E8</f>
        <v>31</v>
      </c>
      <c r="D6" s="5">
        <f ca="1">PLANTILLA!F8</f>
        <v>39</v>
      </c>
      <c r="E6" s="163">
        <f>PLANTILLA!V8</f>
        <v>0</v>
      </c>
      <c r="F6" s="163">
        <f>PLANTILLA!W8</f>
        <v>11</v>
      </c>
      <c r="G6" s="163">
        <f>PLANTILLA!X8</f>
        <v>6.1594444444444418</v>
      </c>
      <c r="H6" s="163">
        <f>PLANTILLA!Y8</f>
        <v>5.98</v>
      </c>
      <c r="I6" s="163">
        <f>PLANTILLA!Z8</f>
        <v>7.7227777777777789</v>
      </c>
      <c r="J6" s="163">
        <f>PLANTILLA!AA8</f>
        <v>4.383333333333332</v>
      </c>
      <c r="K6" s="163">
        <f>PLANTILLA!AB8</f>
        <v>15.349999999999998</v>
      </c>
      <c r="L6" s="363">
        <f>1/15</f>
        <v>6.6666666666666666E-2</v>
      </c>
      <c r="M6" s="363"/>
      <c r="N6" s="363">
        <f>L6/6</f>
        <v>1.1111111111111112E-2</v>
      </c>
      <c r="O6" s="159">
        <f>L6*(0.245*0.425+0.34*0.276)/(0.245+0.34)</f>
        <v>2.256011396011396E-2</v>
      </c>
      <c r="P6" s="159">
        <f>L6*(0.245*1+0.34*0.516+0.34*0.258)/(0.245+0.34)</f>
        <v>5.7909971509971521E-2</v>
      </c>
      <c r="Q6" s="159">
        <f>L6*(0.245*0.725+0.34*0.378+0.34*0.189)/(0.245+0.34)</f>
        <v>4.2211396011396014E-2</v>
      </c>
      <c r="R6" s="159">
        <f>L6*(0.245*0.708+0.34*0.754)/(0.245+0.34)</f>
        <v>4.8982336182336182E-2</v>
      </c>
      <c r="S6" s="159">
        <f>L6*(0.245*0.414+0.34*0.919)/(0.245+0.34)</f>
        <v>4.7166951566951568E-2</v>
      </c>
      <c r="T6" s="159">
        <f>L6*(0.245*0.4+0.34*0.189+0.34*0.095)</f>
        <v>1.2970666666666667E-2</v>
      </c>
      <c r="U6" s="159">
        <f>L6*(0.245*0.348+0.34*0.291)</f>
        <v>1.2279999999999998E-2</v>
      </c>
      <c r="V6" s="159">
        <f>L6*(0.245*0.201+0.34*0.349)</f>
        <v>1.1193666666666666E-2</v>
      </c>
      <c r="W6" s="159">
        <v>0</v>
      </c>
      <c r="X6" s="159">
        <v>0</v>
      </c>
      <c r="Y6" s="438"/>
      <c r="Z6" s="438">
        <f>R6</f>
        <v>4.8982336182336182E-2</v>
      </c>
      <c r="AA6" s="438">
        <f>MAX(Z6,Y6)</f>
        <v>4.8982336182336182E-2</v>
      </c>
      <c r="AD6" t="s">
        <v>969</v>
      </c>
      <c r="AE6" t="s">
        <v>309</v>
      </c>
      <c r="AG6" t="s">
        <v>980</v>
      </c>
      <c r="AH6" t="s">
        <v>309</v>
      </c>
    </row>
    <row r="7" spans="1:34" x14ac:dyDescent="0.25">
      <c r="A7" s="312" t="str">
        <f>PLANTILLA!A9</f>
        <v>#2</v>
      </c>
      <c r="B7" s="170" t="str">
        <f>PLANTILLA!D9</f>
        <v>E. Toney</v>
      </c>
      <c r="C7" s="5">
        <f>PLANTILLA!E9</f>
        <v>30</v>
      </c>
      <c r="D7" s="5">
        <f ca="1">PLANTILLA!F9</f>
        <v>105</v>
      </c>
      <c r="E7" s="163">
        <f>PLANTILLA!V9</f>
        <v>0</v>
      </c>
      <c r="F7" s="163">
        <f>PLANTILLA!W9</f>
        <v>12.060000000000004</v>
      </c>
      <c r="G7" s="163">
        <f>PLANTILLA!X9</f>
        <v>13.020999999999999</v>
      </c>
      <c r="H7" s="163">
        <f>PLANTILLA!Y9</f>
        <v>9.7100000000000062</v>
      </c>
      <c r="I7" s="163">
        <f>PLANTILLA!Z9</f>
        <v>9.6</v>
      </c>
      <c r="J7" s="163">
        <f>PLANTILLA!AA9</f>
        <v>3.6816666666666658</v>
      </c>
      <c r="K7" s="163">
        <f>PLANTILLA!AB9</f>
        <v>16.627777777777773</v>
      </c>
      <c r="L7" s="363">
        <f>1/18</f>
        <v>5.5555555555555552E-2</v>
      </c>
      <c r="M7" s="363"/>
      <c r="N7" s="363">
        <f>L7/6</f>
        <v>9.2592592592592587E-3</v>
      </c>
      <c r="O7" s="159">
        <f>L7*(0.245*0.425+0.34*0.276)/(0.245+0.34)</f>
        <v>1.8800094966761632E-2</v>
      </c>
      <c r="P7" s="159">
        <f>L7*(0.245*1+0.34*0.516+0.34*0.258)/(0.245+0.34)</f>
        <v>4.8258309591642928E-2</v>
      </c>
      <c r="Q7" s="159">
        <f>L7*(0.245*0.725+0.34*0.378+0.34*0.189)/(0.245+0.34)</f>
        <v>3.5176163342830011E-2</v>
      </c>
      <c r="R7" s="159">
        <f>L7*(0.245*0.708+0.34*0.754)/(0.245+0.34)</f>
        <v>4.0818613485280153E-2</v>
      </c>
      <c r="S7" s="159">
        <f>L7*(0.245*0.414+0.34*0.919)/(0.245+0.34)</f>
        <v>3.930579297245964E-2</v>
      </c>
      <c r="T7" s="159">
        <f>L7*(0.245*0.4+0.34*0.189+0.34*0.095)</f>
        <v>1.0808888888888889E-2</v>
      </c>
      <c r="U7" s="159">
        <f>L7*(0.245*0.348+0.34*0.291)</f>
        <v>1.0233333333333332E-2</v>
      </c>
      <c r="V7" s="159">
        <f>L7*(0.245*0.201+0.34*0.349)</f>
        <v>9.3280555555555547E-3</v>
      </c>
      <c r="W7" s="159">
        <v>0</v>
      </c>
      <c r="X7" s="159">
        <v>0</v>
      </c>
      <c r="Y7" s="438">
        <f>S7</f>
        <v>3.930579297245964E-2</v>
      </c>
      <c r="Z7" s="438">
        <f>R7</f>
        <v>4.0818613485280153E-2</v>
      </c>
      <c r="AA7" s="438">
        <f>MAX(Z7,Y7)</f>
        <v>4.0818613485280153E-2</v>
      </c>
      <c r="AD7" t="s">
        <v>596</v>
      </c>
      <c r="AE7" t="s">
        <v>754</v>
      </c>
      <c r="AG7" t="s">
        <v>981</v>
      </c>
      <c r="AH7" t="s">
        <v>315</v>
      </c>
    </row>
    <row r="8" spans="1:34" x14ac:dyDescent="0.25">
      <c r="A8" s="312" t="str">
        <f>PLANTILLA!A12</f>
        <v>#7</v>
      </c>
      <c r="B8" s="170" t="str">
        <f>PLANTILLA!D12</f>
        <v>E. Romweber</v>
      </c>
      <c r="C8" s="5">
        <f>PLANTILLA!E12</f>
        <v>30</v>
      </c>
      <c r="D8" s="5">
        <f ca="1">PLANTILLA!F12</f>
        <v>67</v>
      </c>
      <c r="E8" s="163">
        <f>PLANTILLA!V12</f>
        <v>0</v>
      </c>
      <c r="F8" s="163">
        <f>PLANTILLA!W12</f>
        <v>11.99</v>
      </c>
      <c r="G8" s="163">
        <f>PLANTILLA!X12</f>
        <v>12.399111111111115</v>
      </c>
      <c r="H8" s="163">
        <f>PLANTILLA!Y12</f>
        <v>13.05</v>
      </c>
      <c r="I8" s="163">
        <f>PLANTILLA!Z12</f>
        <v>10.91</v>
      </c>
      <c r="J8" s="163">
        <f>PLANTILLA!AA12</f>
        <v>7.7700000000000005</v>
      </c>
      <c r="K8" s="163">
        <f>PLANTILLA!AB12</f>
        <v>17.13</v>
      </c>
      <c r="L8" s="363">
        <f>1/18</f>
        <v>5.5555555555555552E-2</v>
      </c>
      <c r="M8" s="363"/>
      <c r="N8" s="363">
        <f>L8/6</f>
        <v>9.2592592592592587E-3</v>
      </c>
      <c r="O8" s="159">
        <f>L8*(0.245*0.425+0.34*0.276)/(0.245+0.34)</f>
        <v>1.8800094966761632E-2</v>
      </c>
      <c r="P8" s="159">
        <f>L8*(0.245*1+0.34*0.516+0.34*0.258)/(0.245+0.34)</f>
        <v>4.8258309591642928E-2</v>
      </c>
      <c r="Q8" s="159">
        <f>L8*(0.245*0.725+0.34*0.378+0.34*0.189)/(0.245+0.34)</f>
        <v>3.5176163342830011E-2</v>
      </c>
      <c r="R8" s="159">
        <f>L8*(0.245*0.708+0.34*0.754)/(0.245+0.34)</f>
        <v>4.0818613485280153E-2</v>
      </c>
      <c r="S8" s="159">
        <f>L8*(0.245*0.414+0.34*0.919)/(0.245+0.34)</f>
        <v>3.930579297245964E-2</v>
      </c>
      <c r="T8" s="159">
        <f>L8*(0.245*0.4+0.34*0.189+0.34*0.095)</f>
        <v>1.0808888888888889E-2</v>
      </c>
      <c r="U8" s="159">
        <f>L8*(0.245*0.348+0.34*0.291)</f>
        <v>1.0233333333333332E-2</v>
      </c>
      <c r="V8" s="159">
        <f>L8*(0.245*0.201+0.34*0.349)</f>
        <v>9.3280555555555547E-3</v>
      </c>
      <c r="W8" s="159">
        <v>0</v>
      </c>
      <c r="X8" s="159">
        <v>0</v>
      </c>
      <c r="Y8" s="438">
        <f>V8</f>
        <v>9.3280555555555547E-3</v>
      </c>
      <c r="Z8" s="438">
        <f>S8</f>
        <v>3.930579297245964E-2</v>
      </c>
      <c r="AA8" s="438">
        <f>MAX(Z8,Y8)</f>
        <v>3.930579297245964E-2</v>
      </c>
      <c r="AD8" t="s">
        <v>971</v>
      </c>
      <c r="AE8" t="s">
        <v>440</v>
      </c>
      <c r="AG8" t="s">
        <v>969</v>
      </c>
      <c r="AH8" t="s">
        <v>982</v>
      </c>
    </row>
    <row r="9" spans="1:34" x14ac:dyDescent="0.25">
      <c r="A9" s="312" t="str">
        <f>PLANTILLA!A7</f>
        <v>#17</v>
      </c>
      <c r="B9" s="170" t="str">
        <f>PLANTILLA!D7</f>
        <v>B. Pinczehelyi</v>
      </c>
      <c r="C9" s="5">
        <f>PLANTILLA!E7</f>
        <v>29</v>
      </c>
      <c r="D9" s="5">
        <f ca="1">PLANTILLA!F7</f>
        <v>106</v>
      </c>
      <c r="E9" s="163">
        <f>PLANTILLA!V7</f>
        <v>0</v>
      </c>
      <c r="F9" s="163">
        <f>PLANTILLA!W7</f>
        <v>14.200000000000003</v>
      </c>
      <c r="G9" s="163">
        <f>PLANTILLA!X7</f>
        <v>9.283333333333335</v>
      </c>
      <c r="H9" s="163">
        <f>PLANTILLA!Y7</f>
        <v>14.249999999999996</v>
      </c>
      <c r="I9" s="163">
        <f>PLANTILLA!Z7</f>
        <v>9.4199999999999982</v>
      </c>
      <c r="J9" s="163">
        <f>PLANTILLA!AA7</f>
        <v>1.1428571428571428</v>
      </c>
      <c r="K9" s="163">
        <f>PLANTILLA!AB7</f>
        <v>9.4</v>
      </c>
      <c r="L9" s="363">
        <f>1/25</f>
        <v>0.04</v>
      </c>
      <c r="M9" s="363"/>
      <c r="N9" s="363">
        <f>L9/6</f>
        <v>6.6666666666666671E-3</v>
      </c>
      <c r="O9" s="159">
        <f>L9*(0.245*0.425+0.34*0.276)/(0.245+0.34)</f>
        <v>1.3536068376068376E-2</v>
      </c>
      <c r="P9" s="159">
        <f>L9*(0.245*1+0.34*0.516+0.34*0.258)/(0.245+0.34)</f>
        <v>3.4745982905982908E-2</v>
      </c>
      <c r="Q9" s="159">
        <f>L9*(0.245*0.725+0.34*0.378+0.34*0.189)/(0.245+0.34)</f>
        <v>2.5326837606837609E-2</v>
      </c>
      <c r="R9" s="159">
        <f>L9*(0.245*0.708+0.34*0.754)/(0.245+0.34)</f>
        <v>2.9389401709401713E-2</v>
      </c>
      <c r="S9" s="159">
        <f>L9*(0.245*0.414+0.34*0.919)/(0.245+0.34)</f>
        <v>2.8300170940170941E-2</v>
      </c>
      <c r="T9" s="159">
        <f>L9*(0.245*0.4+0.34*0.189+0.34*0.095)</f>
        <v>7.7824000000000009E-3</v>
      </c>
      <c r="U9" s="159">
        <f>L9*(0.245*0.348+0.34*0.291)</f>
        <v>7.3679999999999995E-3</v>
      </c>
      <c r="V9" s="159">
        <f>L9*(0.245*0.201+0.34*0.349)</f>
        <v>6.7162000000000003E-3</v>
      </c>
      <c r="W9" s="159">
        <v>0</v>
      </c>
      <c r="X9" s="159">
        <v>0</v>
      </c>
      <c r="Y9" s="438">
        <f>S9</f>
        <v>2.8300170940170941E-2</v>
      </c>
      <c r="Z9" s="438">
        <f>S9</f>
        <v>2.8300170940170941E-2</v>
      </c>
      <c r="AA9" s="438">
        <f>MAX(Z9,Y9)</f>
        <v>2.8300170940170941E-2</v>
      </c>
      <c r="AD9" t="s">
        <v>596</v>
      </c>
      <c r="AE9" t="s">
        <v>325</v>
      </c>
      <c r="AG9" t="s">
        <v>596</v>
      </c>
      <c r="AH9" t="s">
        <v>325</v>
      </c>
    </row>
    <row r="10" spans="1:34" x14ac:dyDescent="0.25">
      <c r="A10" s="312" t="str">
        <f>PLANTILLA!A5</f>
        <v>#1</v>
      </c>
      <c r="B10" s="170" t="str">
        <f>PLANTILLA!D5</f>
        <v>D. Gehmacher</v>
      </c>
      <c r="C10" s="5">
        <f>PLANTILLA!E5</f>
        <v>29</v>
      </c>
      <c r="D10" s="5">
        <f ca="1">PLANTILLA!F5</f>
        <v>94</v>
      </c>
      <c r="E10" s="163">
        <f>PLANTILLA!V5</f>
        <v>16.666666666666668</v>
      </c>
      <c r="F10" s="163">
        <f>PLANTILLA!W5</f>
        <v>11.832727272727276</v>
      </c>
      <c r="G10" s="163">
        <f>PLANTILLA!X5</f>
        <v>2.0199999999999996</v>
      </c>
      <c r="H10" s="163">
        <f>PLANTILLA!Y5</f>
        <v>2.1199999999999992</v>
      </c>
      <c r="I10" s="163">
        <f>PLANTILLA!Z5</f>
        <v>1.0400000000000003</v>
      </c>
      <c r="J10" s="163">
        <f>PLANTILLA!AA5</f>
        <v>0.14055555555555557</v>
      </c>
      <c r="K10" s="163">
        <f>PLANTILLA!AB5</f>
        <v>17.849999999999998</v>
      </c>
      <c r="L10" s="363">
        <f>1/12</f>
        <v>8.3333333333333329E-2</v>
      </c>
      <c r="M10" s="363"/>
      <c r="N10" s="363">
        <f>L10/6</f>
        <v>1.3888888888888888E-2</v>
      </c>
      <c r="O10" s="159">
        <f>L10*(0.245*0.425+0.34*0.276)/(0.245+0.34)</f>
        <v>2.8200142450142449E-2</v>
      </c>
      <c r="P10" s="159">
        <f>L10*(0.245*1+0.34*0.516+0.34*0.258)/(0.245+0.34)</f>
        <v>7.2387464387464406E-2</v>
      </c>
      <c r="Q10" s="159">
        <f>L10*(0.245*0.725+0.34*0.378+0.34*0.189)/(0.245+0.34)</f>
        <v>5.2764245014245009E-2</v>
      </c>
      <c r="R10" s="159">
        <f>L10*(0.245*0.708+0.34*0.754)/(0.245+0.34)</f>
        <v>6.1227920227920223E-2</v>
      </c>
      <c r="S10" s="159">
        <f>L10*(0.245*0.414+0.34*0.919)/(0.245+0.34)</f>
        <v>5.8958689458689456E-2</v>
      </c>
      <c r="T10" s="159">
        <f>L10*(0.245*0.4+0.34*0.189+0.34*0.095)/(0.34+0.245)</f>
        <v>2.7715099715099716E-2</v>
      </c>
      <c r="U10" s="159">
        <f>L10*(0.245*0.348+0.34*0.291)/(0.34+0.245)</f>
        <v>2.6239316239316236E-2</v>
      </c>
      <c r="V10" s="159">
        <f>L10*(0.245*0.201+0.34*0.349)/(0.34+0.245)</f>
        <v>2.3918091168091168E-2</v>
      </c>
      <c r="W10" s="159">
        <v>0</v>
      </c>
      <c r="X10" s="159">
        <v>0</v>
      </c>
      <c r="Y10" s="438">
        <f>O10</f>
        <v>2.8200142450142449E-2</v>
      </c>
      <c r="Z10" s="438">
        <f>O10</f>
        <v>2.8200142450142449E-2</v>
      </c>
      <c r="AA10" s="438">
        <f>MAX(Z10,Y10)</f>
        <v>2.8200142450142449E-2</v>
      </c>
      <c r="AD10" t="s">
        <v>972</v>
      </c>
      <c r="AE10" t="s">
        <v>982</v>
      </c>
      <c r="AG10" t="s">
        <v>596</v>
      </c>
      <c r="AH10" t="s">
        <v>754</v>
      </c>
    </row>
    <row r="11" spans="1:34" x14ac:dyDescent="0.25">
      <c r="A11" s="312" t="str">
        <f>PLANTILLA!A18</f>
        <v>#5</v>
      </c>
      <c r="B11" s="170" t="str">
        <f>PLANTILLA!D18</f>
        <v>L. Bauman</v>
      </c>
      <c r="C11" s="5">
        <f>PLANTILLA!E18</f>
        <v>30</v>
      </c>
      <c r="D11" s="5">
        <f ca="1">PLANTILLA!F18</f>
        <v>29</v>
      </c>
      <c r="E11" s="163">
        <f>PLANTILLA!V18</f>
        <v>0</v>
      </c>
      <c r="F11" s="163">
        <f>PLANTILLA!W18</f>
        <v>5.2811111111111115</v>
      </c>
      <c r="G11" s="163">
        <f>PLANTILLA!X18</f>
        <v>14.193842857142847</v>
      </c>
      <c r="H11" s="163">
        <f>PLANTILLA!Y18</f>
        <v>3.4924999999999993</v>
      </c>
      <c r="I11" s="163">
        <f>PLANTILLA!Z18</f>
        <v>9.1400000000000041</v>
      </c>
      <c r="J11" s="163">
        <f>PLANTILLA!AA18</f>
        <v>7.4318888888888894</v>
      </c>
      <c r="K11" s="163">
        <f>PLANTILLA!AB18</f>
        <v>16.07</v>
      </c>
      <c r="L11" s="363">
        <f>1/7</f>
        <v>0.14285714285714285</v>
      </c>
      <c r="M11" s="363"/>
      <c r="N11" s="363">
        <f>L11/6</f>
        <v>2.3809523809523808E-2</v>
      </c>
      <c r="O11" s="159">
        <f>L11*(0.245*0.425+0.34*0.276)/(0.245+0.34)</f>
        <v>4.8343101343101345E-2</v>
      </c>
      <c r="P11" s="159">
        <f>L11*(0.245*1+0.34*0.516+0.34*0.258)/(0.245+0.34)</f>
        <v>0.12409279609279611</v>
      </c>
      <c r="Q11" s="159">
        <f>L11*(0.245*0.725+0.34*0.378+0.34*0.189)/(0.245+0.34)</f>
        <v>9.0452991452991446E-2</v>
      </c>
      <c r="R11" s="159">
        <f>L11*(0.245*0.708+0.34*0.754)/(0.245+0.34)</f>
        <v>0.10496214896214895</v>
      </c>
      <c r="S11" s="159">
        <f>L11*(0.245*0.414+0.34*0.919)/(0.245+0.34)</f>
        <v>0.10107203907203907</v>
      </c>
      <c r="T11" s="159">
        <f>L11*(0.245*0.4+0.34*0.189+0.34*0.095)</f>
        <v>2.7794285714285716E-2</v>
      </c>
      <c r="U11" s="159">
        <f>L11*(0.245*0.348+0.34*0.291)</f>
        <v>2.631428571428571E-2</v>
      </c>
      <c r="V11" s="159">
        <f>L11*(0.245*0.201+0.34*0.349)</f>
        <v>2.3986428571428568E-2</v>
      </c>
      <c r="W11" s="159">
        <v>0</v>
      </c>
      <c r="X11" s="159">
        <v>0</v>
      </c>
      <c r="Y11" s="438">
        <f>T11</f>
        <v>2.7794285714285716E-2</v>
      </c>
      <c r="Z11" s="438">
        <f>W11</f>
        <v>0</v>
      </c>
      <c r="AA11" s="438">
        <f>MAX(Z11,Y11)</f>
        <v>2.7794285714285716E-2</v>
      </c>
      <c r="AD11" t="s">
        <v>972</v>
      </c>
      <c r="AE11" t="s">
        <v>338</v>
      </c>
      <c r="AG11" t="s">
        <v>972</v>
      </c>
      <c r="AH11" t="s">
        <v>338</v>
      </c>
    </row>
    <row r="12" spans="1:34" x14ac:dyDescent="0.25">
      <c r="A12" s="312" t="str">
        <f>PLANTILLA!A13</f>
        <v>#11</v>
      </c>
      <c r="B12" s="170" t="str">
        <f>PLANTILLA!D13</f>
        <v>K. Helms</v>
      </c>
      <c r="C12" s="5">
        <f>PLANTILLA!E13</f>
        <v>30</v>
      </c>
      <c r="D12" s="5">
        <f ca="1">PLANTILLA!F13</f>
        <v>14</v>
      </c>
      <c r="E12" s="163">
        <f>PLANTILLA!V13</f>
        <v>0</v>
      </c>
      <c r="F12" s="163">
        <f>PLANTILLA!W13</f>
        <v>7.11</v>
      </c>
      <c r="G12" s="163">
        <f>PLANTILLA!X13</f>
        <v>10.250000000000004</v>
      </c>
      <c r="H12" s="163">
        <f>PLANTILLA!Y13</f>
        <v>13.305</v>
      </c>
      <c r="I12" s="163">
        <f>PLANTILLA!Z13</f>
        <v>10.359999999999998</v>
      </c>
      <c r="J12" s="163">
        <f>PLANTILLA!AA13</f>
        <v>5.4050000000000002</v>
      </c>
      <c r="K12" s="163">
        <f>PLANTILLA!AB13</f>
        <v>17.300000000000004</v>
      </c>
      <c r="L12" s="363">
        <f>1/8</f>
        <v>0.125</v>
      </c>
      <c r="M12" s="363"/>
      <c r="N12" s="363">
        <f>L12/6</f>
        <v>2.0833333333333332E-2</v>
      </c>
      <c r="O12" s="159">
        <f>L12*(0.245*0.425+0.34*0.276)/(0.245+0.34)</f>
        <v>4.230021367521368E-2</v>
      </c>
      <c r="P12" s="159">
        <f>L12*(0.245*1+0.34*0.516+0.34*0.258)/(0.245+0.34)</f>
        <v>0.1085811965811966</v>
      </c>
      <c r="Q12" s="159">
        <f>L12*(0.245*0.725+0.34*0.378+0.34*0.189)/(0.245+0.34)</f>
        <v>7.9146367521367528E-2</v>
      </c>
      <c r="R12" s="159">
        <f>L12*(0.245*0.708+0.34*0.754)/(0.245+0.34)</f>
        <v>9.1841880341880344E-2</v>
      </c>
      <c r="S12" s="159">
        <f>L12*(0.245*0.414+0.34*0.919)/(0.245+0.34)</f>
        <v>8.8438034188034184E-2</v>
      </c>
      <c r="T12" s="159">
        <f>L12*(0.245*0.4+0.34*0.189+0.34*0.095)</f>
        <v>2.4320000000000001E-2</v>
      </c>
      <c r="U12" s="159">
        <f>L12*(0.245*0.348+0.34*0.291)</f>
        <v>2.3024999999999997E-2</v>
      </c>
      <c r="V12" s="159">
        <f>L12*(0.245*0.201+0.34*0.349)</f>
        <v>2.0988125E-2</v>
      </c>
      <c r="W12" s="159">
        <v>0</v>
      </c>
      <c r="X12" s="159">
        <v>0</v>
      </c>
      <c r="Y12" s="438">
        <f>V12</f>
        <v>2.0988125E-2</v>
      </c>
      <c r="Z12" s="438">
        <f>V12</f>
        <v>2.0988125E-2</v>
      </c>
      <c r="AA12" s="438">
        <f>MAX(Z12,Y12)</f>
        <v>2.0988125E-2</v>
      </c>
      <c r="AD12" t="s">
        <v>67</v>
      </c>
      <c r="AE12" t="s">
        <v>327</v>
      </c>
      <c r="AG12" t="s">
        <v>972</v>
      </c>
      <c r="AH12" t="s">
        <v>600</v>
      </c>
    </row>
    <row r="13" spans="1:34" x14ac:dyDescent="0.25">
      <c r="A13" s="312" t="str">
        <f>PLANTILLA!A14</f>
        <v>#10</v>
      </c>
      <c r="B13" s="237" t="str">
        <f>PLANTILLA!D14</f>
        <v>S. Zobbe</v>
      </c>
      <c r="C13" s="5">
        <f>PLANTILLA!E14</f>
        <v>27</v>
      </c>
      <c r="D13" s="5">
        <f ca="1">PLANTILLA!F14</f>
        <v>29</v>
      </c>
      <c r="E13" s="163">
        <f>PLANTILLA!V14</f>
        <v>0</v>
      </c>
      <c r="F13" s="163">
        <f>PLANTILLA!W14</f>
        <v>8.1199999999999992</v>
      </c>
      <c r="G13" s="163">
        <f>PLANTILLA!X14</f>
        <v>11.958412698412697</v>
      </c>
      <c r="H13" s="163">
        <f>PLANTILLA!Y14</f>
        <v>12.13</v>
      </c>
      <c r="I13" s="163">
        <f>PLANTILLA!Z14</f>
        <v>10.24</v>
      </c>
      <c r="J13" s="163">
        <f>PLANTILLA!AA14</f>
        <v>7.4766666666666666</v>
      </c>
      <c r="K13" s="163">
        <f>PLANTILLA!AB14</f>
        <v>15.270000000000001</v>
      </c>
      <c r="L13" s="363">
        <f>1/9</f>
        <v>0.1111111111111111</v>
      </c>
      <c r="M13" s="363"/>
      <c r="N13" s="363">
        <f>L13/6</f>
        <v>1.8518518518518517E-2</v>
      </c>
      <c r="O13" s="159">
        <f>L13*(0.245*0.425+0.34*0.276)/(0.245+0.34)</f>
        <v>3.7600189933523265E-2</v>
      </c>
      <c r="P13" s="159">
        <f>L13*(0.245*1+0.34*0.516+0.34*0.258)/(0.245+0.34)</f>
        <v>9.6516619183285857E-2</v>
      </c>
      <c r="Q13" s="159">
        <f>L13*(0.245*0.725+0.34*0.378+0.34*0.189)/(0.245+0.34)</f>
        <v>7.0352326685660022E-2</v>
      </c>
      <c r="R13" s="159">
        <f>L13*(0.245*0.708+0.34*0.754)/(0.245+0.34)</f>
        <v>8.1637226970560306E-2</v>
      </c>
      <c r="S13" s="159">
        <f>L13*(0.245*0.414+0.34*0.919)/(0.245+0.34)</f>
        <v>7.8611585944919279E-2</v>
      </c>
      <c r="T13" s="159">
        <f>L13*(0.245*0.4+0.34*0.189+0.34*0.095)</f>
        <v>2.1617777777777777E-2</v>
      </c>
      <c r="U13" s="159">
        <f>L13*(0.245*0.348+0.34*0.291)</f>
        <v>2.0466666666666664E-2</v>
      </c>
      <c r="V13" s="159">
        <f>L13*(0.245*0.201+0.34*0.349)</f>
        <v>1.8656111111111109E-2</v>
      </c>
      <c r="W13" s="159">
        <v>0</v>
      </c>
      <c r="X13" s="159">
        <v>0</v>
      </c>
      <c r="Y13" s="438">
        <f>V13</f>
        <v>1.8656111111111109E-2</v>
      </c>
      <c r="Z13" s="438">
        <f>V13</f>
        <v>1.8656111111111109E-2</v>
      </c>
      <c r="AA13" s="438">
        <f>MAX(Z13,Y13)</f>
        <v>1.8656111111111109E-2</v>
      </c>
      <c r="AD13" t="s">
        <v>67</v>
      </c>
      <c r="AE13" t="s">
        <v>600</v>
      </c>
      <c r="AG13" t="s">
        <v>67</v>
      </c>
      <c r="AH13" t="s">
        <v>327</v>
      </c>
    </row>
    <row r="14" spans="1:34" x14ac:dyDescent="0.25">
      <c r="A14" s="312" t="str">
        <f>PLANTILLA!A15</f>
        <v>#6</v>
      </c>
      <c r="B14" s="237" t="str">
        <f>PLANTILLA!D15</f>
        <v>S. Buschelman</v>
      </c>
      <c r="C14" s="5">
        <f>PLANTILLA!E15</f>
        <v>29</v>
      </c>
      <c r="D14" s="5">
        <f ca="1">PLANTILLA!F15</f>
        <v>26</v>
      </c>
      <c r="E14" s="163">
        <f>PLANTILLA!V15</f>
        <v>0</v>
      </c>
      <c r="F14" s="163">
        <f>PLANTILLA!W15</f>
        <v>9.1936666666666653</v>
      </c>
      <c r="G14" s="163">
        <f>PLANTILLA!X15</f>
        <v>13.499999999999998</v>
      </c>
      <c r="H14" s="163">
        <f>PLANTILLA!Y15</f>
        <v>12.725000000000001</v>
      </c>
      <c r="I14" s="163">
        <f>PLANTILLA!Z15</f>
        <v>9.6733333333333356</v>
      </c>
      <c r="J14" s="163">
        <f>PLANTILLA!AA15</f>
        <v>5.0296666666666656</v>
      </c>
      <c r="K14" s="163">
        <f>PLANTILLA!AB15</f>
        <v>15.2</v>
      </c>
      <c r="L14" s="363">
        <f>1/10</f>
        <v>0.1</v>
      </c>
      <c r="M14" s="363"/>
      <c r="N14" s="363">
        <f>L14/6</f>
        <v>1.6666666666666666E-2</v>
      </c>
      <c r="O14" s="159">
        <f>L14*(0.245*0.425+0.34*0.276)/(0.245+0.34)</f>
        <v>3.3840170940170944E-2</v>
      </c>
      <c r="P14" s="159">
        <f>L14*(0.245*1+0.34*0.516+0.34*0.258)/(0.245+0.34)</f>
        <v>8.6864957264957285E-2</v>
      </c>
      <c r="Q14" s="159">
        <f>L14*(0.245*0.725+0.34*0.378+0.34*0.189)/(0.245+0.34)</f>
        <v>6.3317094017094011E-2</v>
      </c>
      <c r="R14" s="159">
        <f>L14*(0.245*0.708+0.34*0.754)/(0.245+0.34)</f>
        <v>7.3473504273504284E-2</v>
      </c>
      <c r="S14" s="159">
        <f>L14*(0.245*0.414+0.34*0.919)/(0.245+0.34)</f>
        <v>7.0750427350427358E-2</v>
      </c>
      <c r="T14" s="159">
        <f>L14*(0.245*0.4+0.34*0.189+0.34*0.095)</f>
        <v>1.9456000000000001E-2</v>
      </c>
      <c r="U14" s="159">
        <f>L14*(0.245*0.348+0.34*0.291)</f>
        <v>1.8419999999999999E-2</v>
      </c>
      <c r="V14" s="159">
        <f>L14*(0.245*0.201+0.34*0.349)</f>
        <v>1.67905E-2</v>
      </c>
      <c r="W14" s="159">
        <v>0</v>
      </c>
      <c r="X14" s="159">
        <v>0</v>
      </c>
      <c r="Y14" s="438">
        <f>U14</f>
        <v>1.8419999999999999E-2</v>
      </c>
      <c r="Z14" s="438">
        <f>U14</f>
        <v>1.8419999999999999E-2</v>
      </c>
      <c r="AA14" s="438">
        <f>MAX(Z14,Y14)</f>
        <v>1.8419999999999999E-2</v>
      </c>
    </row>
    <row r="15" spans="1:34" x14ac:dyDescent="0.25">
      <c r="A15" s="312" t="str">
        <f>PLANTILLA!A16</f>
        <v>#4</v>
      </c>
      <c r="B15" s="237" t="str">
        <f>PLANTILLA!D16</f>
        <v>C. Rojas</v>
      </c>
      <c r="C15" s="5">
        <f>PLANTILLA!E16</f>
        <v>31</v>
      </c>
      <c r="D15" s="5">
        <f ca="1">PLANTILLA!F16</f>
        <v>60</v>
      </c>
      <c r="E15" s="163">
        <f>PLANTILLA!V16</f>
        <v>0</v>
      </c>
      <c r="F15" s="163">
        <f>PLANTILLA!W16</f>
        <v>8.6075555555555585</v>
      </c>
      <c r="G15" s="163">
        <f>PLANTILLA!X16</f>
        <v>14.09516031746031</v>
      </c>
      <c r="H15" s="163">
        <f>PLANTILLA!Y16</f>
        <v>9.99</v>
      </c>
      <c r="I15" s="163">
        <f>PLANTILLA!Z16</f>
        <v>10.09</v>
      </c>
      <c r="J15" s="163">
        <f>PLANTILLA!AA16</f>
        <v>4.3999999999999995</v>
      </c>
      <c r="K15" s="163">
        <f>PLANTILLA!AB16</f>
        <v>16.544444444444441</v>
      </c>
      <c r="L15" s="363">
        <f>1/11</f>
        <v>9.0909090909090912E-2</v>
      </c>
      <c r="M15" s="363"/>
      <c r="N15" s="363">
        <f>L15/6</f>
        <v>1.5151515151515152E-2</v>
      </c>
      <c r="O15" s="159">
        <f>L15*(0.245*0.425+0.34*0.276)/(0.245+0.34)</f>
        <v>3.0763791763791768E-2</v>
      </c>
      <c r="P15" s="159">
        <f>L15*(0.245*1+0.34*0.516+0.34*0.258)/(0.245+0.34)</f>
        <v>7.8968142968142974E-2</v>
      </c>
      <c r="Q15" s="159">
        <f>L15*(0.245*0.725+0.34*0.378+0.34*0.189)/(0.245+0.34)</f>
        <v>5.7560994560994561E-2</v>
      </c>
      <c r="R15" s="159">
        <f>L15*(0.245*0.708+0.34*0.754)/(0.245+0.34)</f>
        <v>6.6794094794094788E-2</v>
      </c>
      <c r="S15" s="159">
        <f>L15*(0.245*0.414+0.34*0.919)/(0.245+0.34)</f>
        <v>6.4318570318570328E-2</v>
      </c>
      <c r="T15" s="159">
        <f>L15*(0.245*0.4+0.34*0.189+0.34*0.095)</f>
        <v>1.7687272727272729E-2</v>
      </c>
      <c r="U15" s="159">
        <f>L15*(0.245*0.348+0.34*0.291)</f>
        <v>1.6745454545454543E-2</v>
      </c>
      <c r="V15" s="159">
        <f>L15*(0.245*0.201+0.34*0.349)</f>
        <v>1.5264090909090909E-2</v>
      </c>
      <c r="W15" s="159">
        <v>0</v>
      </c>
      <c r="X15" s="159">
        <v>0</v>
      </c>
      <c r="Y15" s="438">
        <f>U15</f>
        <v>1.6745454545454543E-2</v>
      </c>
      <c r="Z15" s="438">
        <f>U15</f>
        <v>1.6745454545454543E-2</v>
      </c>
      <c r="AA15" s="438">
        <f>MAX(Z15,Y15)</f>
        <v>1.6745454545454543E-2</v>
      </c>
    </row>
    <row r="16" spans="1:34" x14ac:dyDescent="0.25">
      <c r="A16" s="312" t="str">
        <f>PLANTILLA!A22</f>
        <v>#9</v>
      </c>
      <c r="B16" s="312" t="str">
        <f>PLANTILLA!D22</f>
        <v>J. Limon</v>
      </c>
      <c r="C16" s="5">
        <f>PLANTILLA!E22</f>
        <v>29</v>
      </c>
      <c r="D16" s="5">
        <f ca="1">PLANTILLA!F22</f>
        <v>66</v>
      </c>
      <c r="E16" s="163">
        <f>PLANTILLA!V22</f>
        <v>0</v>
      </c>
      <c r="F16" s="163">
        <f>PLANTILLA!W22</f>
        <v>6.8176190476190497</v>
      </c>
      <c r="G16" s="163">
        <f>PLANTILLA!X22</f>
        <v>8.3125</v>
      </c>
      <c r="H16" s="163">
        <f>PLANTILLA!Y22</f>
        <v>8.7199999999999971</v>
      </c>
      <c r="I16" s="163">
        <f>PLANTILLA!Z22</f>
        <v>9.6900000000000013</v>
      </c>
      <c r="J16" s="163">
        <f>PLANTILLA!AA22</f>
        <v>8.5625000000000018</v>
      </c>
      <c r="K16" s="163">
        <f>PLANTILLA!AB22</f>
        <v>18.639999999999993</v>
      </c>
      <c r="L16" s="363">
        <f>1/8</f>
        <v>0.125</v>
      </c>
      <c r="M16" s="363"/>
      <c r="N16" s="363">
        <f>L16/6</f>
        <v>2.0833333333333332E-2</v>
      </c>
      <c r="O16" s="159">
        <f>L16*(0.245*0.425+0.34*0.276)/(0.245+0.34)</f>
        <v>4.230021367521368E-2</v>
      </c>
      <c r="P16" s="159">
        <f>L16*(0.245*1+0.34*0.516+0.34*0.258)/(0.245+0.34)</f>
        <v>0.1085811965811966</v>
      </c>
      <c r="Q16" s="159">
        <f>L16*(0.245*0.725+0.34*0.378+0.34*0.189)/(0.245+0.34)</f>
        <v>7.9146367521367528E-2</v>
      </c>
      <c r="R16" s="159">
        <f>L16*(0.245*0.708+0.34*0.754)/(0.245+0.34)</f>
        <v>9.1841880341880344E-2</v>
      </c>
      <c r="S16" s="159">
        <f>L16*(0.245*0.414+0.34*0.919)/(0.245+0.34)</f>
        <v>8.8438034188034184E-2</v>
      </c>
      <c r="T16" s="159">
        <f>L16*(0.245*0.4+0.34*0.189+0.34*0.095)</f>
        <v>2.4320000000000001E-2</v>
      </c>
      <c r="U16" s="159">
        <f>L16*(0.245*0.348+0.34*0.291)</f>
        <v>2.3024999999999997E-2</v>
      </c>
      <c r="V16" s="159">
        <f>L16*(0.245*0.201+0.34*0.349)</f>
        <v>2.0988125E-2</v>
      </c>
      <c r="W16" s="159">
        <v>0</v>
      </c>
      <c r="X16" s="159">
        <v>0</v>
      </c>
      <c r="Y16" s="438">
        <v>0</v>
      </c>
      <c r="Z16" s="438">
        <v>0</v>
      </c>
      <c r="AA16" s="438">
        <f>MAX(Z16,Y16)</f>
        <v>0</v>
      </c>
    </row>
    <row r="17" spans="1:27" x14ac:dyDescent="0.25">
      <c r="A17" s="312" t="str">
        <f>PLANTILLA!A24</f>
        <v>#15</v>
      </c>
      <c r="B17" s="312" t="str">
        <f>PLANTILLA!D24</f>
        <v>P .Trivadi</v>
      </c>
      <c r="C17" s="5">
        <f>PLANTILLA!E24</f>
        <v>26</v>
      </c>
      <c r="D17" s="5">
        <f ca="1">PLANTILLA!F24</f>
        <v>97</v>
      </c>
      <c r="E17" s="163">
        <f>PLANTILLA!V24</f>
        <v>0</v>
      </c>
      <c r="F17" s="163">
        <f>PLANTILLA!W24</f>
        <v>4</v>
      </c>
      <c r="G17" s="163">
        <f>PLANTILLA!X24</f>
        <v>5.5138722222222212</v>
      </c>
      <c r="H17" s="163">
        <f>PLANTILLA!Y24</f>
        <v>5.47</v>
      </c>
      <c r="I17" s="163">
        <f>PLANTILLA!Z24</f>
        <v>10.799999999999999</v>
      </c>
      <c r="J17" s="163">
        <f>PLANTILLA!AA24</f>
        <v>8.384500000000001</v>
      </c>
      <c r="K17" s="163">
        <f>PLANTILLA!AB24</f>
        <v>13.566666666666668</v>
      </c>
      <c r="L17" s="363">
        <f>1/6</f>
        <v>0.16666666666666666</v>
      </c>
      <c r="M17" s="363"/>
      <c r="N17" s="363">
        <f>L17/6</f>
        <v>2.7777777777777776E-2</v>
      </c>
      <c r="O17" s="159">
        <f>L17*(0.245*0.425+0.34*0.276)/(0.245+0.34)</f>
        <v>5.6400284900284897E-2</v>
      </c>
      <c r="P17" s="159">
        <f>L17*(0.245*1+0.34*0.516+0.34*0.258)/(0.245+0.34)</f>
        <v>0.14477492877492881</v>
      </c>
      <c r="Q17" s="159">
        <f>L17*(0.245*0.725+0.34*0.378+0.34*0.189)/(0.245+0.34)</f>
        <v>0.10552849002849002</v>
      </c>
      <c r="R17" s="159">
        <f>L17*(0.245*0.708+0.34*0.754)/(0.245+0.34)</f>
        <v>0.12245584045584045</v>
      </c>
      <c r="S17" s="159">
        <f>L17*(0.245*0.414+0.34*0.919)/(0.245+0.34)</f>
        <v>0.11791737891737891</v>
      </c>
      <c r="T17" s="159">
        <f>L17*(0.245*0.4+0.34*0.189+0.34*0.095)</f>
        <v>3.2426666666666666E-2</v>
      </c>
      <c r="U17" s="159">
        <f>L17*(0.245*0.348+0.34*0.291)</f>
        <v>3.0699999999999995E-2</v>
      </c>
      <c r="V17" s="159">
        <f>L17*(0.245*0.201+0.34*0.349)</f>
        <v>2.7984166666666664E-2</v>
      </c>
      <c r="W17" s="159">
        <v>0</v>
      </c>
      <c r="X17" s="159">
        <v>0</v>
      </c>
      <c r="Y17" s="438">
        <v>0</v>
      </c>
      <c r="Z17" s="438">
        <v>0</v>
      </c>
      <c r="AA17" s="438">
        <f>MAX(Z17,Y17)</f>
        <v>0</v>
      </c>
    </row>
    <row r="18" spans="1:27" x14ac:dyDescent="0.25">
      <c r="A18" s="312" t="str">
        <f>PLANTILLA!A23</f>
        <v>#18</v>
      </c>
      <c r="B18" s="312" t="str">
        <f>PLANTILLA!D23</f>
        <v>L. Calosso</v>
      </c>
      <c r="C18" s="5">
        <f>PLANTILLA!E23</f>
        <v>30</v>
      </c>
      <c r="D18" s="5">
        <f ca="1">PLANTILLA!F23</f>
        <v>23</v>
      </c>
      <c r="E18" s="163">
        <f>PLANTILLA!V23</f>
        <v>0</v>
      </c>
      <c r="F18" s="163">
        <f>PLANTILLA!W23</f>
        <v>2</v>
      </c>
      <c r="G18" s="163">
        <f>PLANTILLA!X23</f>
        <v>14.0938</v>
      </c>
      <c r="H18" s="163">
        <f>PLANTILLA!Y23</f>
        <v>3</v>
      </c>
      <c r="I18" s="163">
        <f>PLANTILLA!Z23</f>
        <v>15.02</v>
      </c>
      <c r="J18" s="163">
        <f>PLANTILLA!AA23</f>
        <v>10</v>
      </c>
      <c r="K18" s="163">
        <f>PLANTILLA!AB23</f>
        <v>9.3000000000000007</v>
      </c>
      <c r="L18" s="363">
        <f>1/5</f>
        <v>0.2</v>
      </c>
      <c r="M18" s="363"/>
      <c r="N18" s="363">
        <f>L18/6</f>
        <v>3.3333333333333333E-2</v>
      </c>
      <c r="O18" s="159">
        <f>L18*(0.245*0.425+0.34*0.276)/(0.245+0.34)</f>
        <v>6.7680341880341888E-2</v>
      </c>
      <c r="P18" s="159">
        <f>L18*(0.245*1+0.34*0.516+0.34*0.258)/(0.245+0.34)</f>
        <v>0.17372991452991457</v>
      </c>
      <c r="Q18" s="159">
        <f>L18*(0.245*0.725+0.34*0.378+0.34*0.189)/(0.245+0.34)</f>
        <v>0.12663418803418802</v>
      </c>
      <c r="R18" s="159">
        <f>L18*(0.245*0.708+0.34*0.754)/(0.245+0.34)</f>
        <v>0.14694700854700857</v>
      </c>
      <c r="S18" s="159">
        <f>L18*(0.245*0.414+0.34*0.919)/(0.245+0.34)</f>
        <v>0.14150085470085472</v>
      </c>
      <c r="T18" s="159">
        <f>L18*(0.245*0.4+0.34*0.189+0.34*0.095)</f>
        <v>3.8912000000000002E-2</v>
      </c>
      <c r="U18" s="159">
        <f>L18*(0.245*0.348+0.34*0.291)</f>
        <v>3.6839999999999998E-2</v>
      </c>
      <c r="V18" s="159">
        <f>L18*(0.245*0.201+0.34*0.349)</f>
        <v>3.3581E-2</v>
      </c>
      <c r="W18" s="159">
        <v>0</v>
      </c>
      <c r="X18" s="159">
        <v>0</v>
      </c>
      <c r="Y18" s="438">
        <v>0</v>
      </c>
      <c r="Z18" s="438">
        <v>0</v>
      </c>
      <c r="AA18" s="438">
        <f>MAX(Z18,Y18)</f>
        <v>0</v>
      </c>
    </row>
    <row r="19" spans="1:27" x14ac:dyDescent="0.25">
      <c r="A19" s="312" t="str">
        <f>PLANTILLA!A11</f>
        <v>#13</v>
      </c>
      <c r="B19" s="312" t="str">
        <f>PLANTILLA!D11</f>
        <v>F. Lasprilla</v>
      </c>
      <c r="C19" s="5">
        <f>PLANTILLA!E11</f>
        <v>27</v>
      </c>
      <c r="D19" s="5">
        <f ca="1">PLANTILLA!F11</f>
        <v>1</v>
      </c>
      <c r="E19" s="163">
        <f>PLANTILLA!V11</f>
        <v>0</v>
      </c>
      <c r="F19" s="163">
        <f>PLANTILLA!W11</f>
        <v>9.5796666666666663</v>
      </c>
      <c r="G19" s="163">
        <f>PLANTILLA!X11</f>
        <v>7.7107222222222234</v>
      </c>
      <c r="H19" s="163">
        <f>PLANTILLA!Y11</f>
        <v>6.129999999999999</v>
      </c>
      <c r="I19" s="163">
        <f>PLANTILLA!Z11</f>
        <v>8.8633333333333315</v>
      </c>
      <c r="J19" s="163">
        <f>PLANTILLA!AA11</f>
        <v>3.2566666666666673</v>
      </c>
      <c r="K19" s="163">
        <f>PLANTILLA!AB11</f>
        <v>13.238888888888889</v>
      </c>
      <c r="L19" s="363"/>
      <c r="M19" s="363"/>
      <c r="N19" s="363">
        <f>L19/6</f>
        <v>0</v>
      </c>
      <c r="O19" s="159">
        <f>L19*(0.245*0.425+0.34*0.276)/(0.245+0.34)</f>
        <v>0</v>
      </c>
      <c r="P19" s="159">
        <f>L19*(0.245*1+0.34*0.516+0.34*0.258)/(0.245+0.34)</f>
        <v>0</v>
      </c>
      <c r="Q19" s="159">
        <f>L19*(0.245*0.725+0.34*0.378+0.34*0.189)/(0.245+0.34)</f>
        <v>0</v>
      </c>
      <c r="R19" s="159">
        <f>L19*(0.245*0.708+0.34*0.754)/(0.245+0.34)</f>
        <v>0</v>
      </c>
      <c r="S19" s="159">
        <f>L19*(0.245*0.414+0.34*0.919)/(0.245+0.34)</f>
        <v>0</v>
      </c>
      <c r="T19" s="159">
        <f>L19*(0.245*0.4+0.34*0.189+0.34*0.095)</f>
        <v>0</v>
      </c>
      <c r="U19" s="159">
        <f>L19*(0.245*0.348+0.34*0.291)</f>
        <v>0</v>
      </c>
      <c r="V19" s="159">
        <f>L19*(0.245*0.201+0.34*0.349)</f>
        <v>0</v>
      </c>
      <c r="W19" s="159">
        <v>0</v>
      </c>
      <c r="X19" s="159">
        <v>0</v>
      </c>
      <c r="Y19" s="438"/>
      <c r="Z19" s="438"/>
      <c r="AA19" s="438">
        <f>MAX(Z19,Y19)</f>
        <v>0</v>
      </c>
    </row>
    <row r="20" spans="1:27" x14ac:dyDescent="0.25">
      <c r="A20" s="312" t="str">
        <f>PLANTILLA!A19</f>
        <v>#14</v>
      </c>
      <c r="B20" s="312" t="str">
        <f>PLANTILLA!D19</f>
        <v>W. Gelifini</v>
      </c>
      <c r="C20" s="5">
        <f>PLANTILLA!E19</f>
        <v>28</v>
      </c>
      <c r="D20" s="5">
        <f ca="1">PLANTILLA!F19</f>
        <v>91</v>
      </c>
      <c r="E20" s="163">
        <f>PLANTILLA!V19</f>
        <v>0</v>
      </c>
      <c r="F20" s="163">
        <f>PLANTILLA!W19</f>
        <v>5.6315555555555523</v>
      </c>
      <c r="G20" s="163">
        <f>PLANTILLA!X19</f>
        <v>9.8263388888888876</v>
      </c>
      <c r="H20" s="163">
        <f>PLANTILLA!Y19</f>
        <v>7.0526666666666671</v>
      </c>
      <c r="I20" s="163">
        <f>PLANTILLA!Z19</f>
        <v>9.2666666666666639</v>
      </c>
      <c r="J20" s="163">
        <f>PLANTILLA!AA19</f>
        <v>3.5417777777777766</v>
      </c>
      <c r="K20" s="163">
        <f>PLANTILLA!AB19</f>
        <v>12.450000000000001</v>
      </c>
      <c r="L20" s="363"/>
      <c r="M20" s="363"/>
      <c r="N20" s="363">
        <f>L20/6</f>
        <v>0</v>
      </c>
      <c r="O20" s="159">
        <f>L20*(0.245*0.425+0.34*0.276)/(0.245+0.34)</f>
        <v>0</v>
      </c>
      <c r="P20" s="159">
        <f>L20*(0.245*1+0.34*0.516+0.34*0.258)/(0.245+0.34)</f>
        <v>0</v>
      </c>
      <c r="Q20" s="159">
        <f>L20*(0.245*0.725+0.34*0.378+0.34*0.189)/(0.245+0.34)</f>
        <v>0</v>
      </c>
      <c r="R20" s="159">
        <f>L20*(0.245*0.708+0.34*0.754)/(0.245+0.34)</f>
        <v>0</v>
      </c>
      <c r="S20" s="159">
        <f>L20*(0.245*0.414+0.34*0.919)/(0.245+0.34)</f>
        <v>0</v>
      </c>
      <c r="T20" s="159">
        <f>L20*(0.245*0.4+0.34*0.189+0.34*0.095)</f>
        <v>0</v>
      </c>
      <c r="U20" s="159">
        <f>L20*(0.245*0.348+0.34*0.291)</f>
        <v>0</v>
      </c>
      <c r="V20" s="159">
        <f>L20*(0.245*0.201+0.34*0.349)</f>
        <v>0</v>
      </c>
      <c r="W20" s="159">
        <v>0</v>
      </c>
      <c r="X20" s="159">
        <v>0</v>
      </c>
      <c r="Y20" s="438"/>
      <c r="Z20" s="438"/>
      <c r="AA20" s="438">
        <f>MAX(Z20,Y20)</f>
        <v>0</v>
      </c>
    </row>
    <row r="21" spans="1:27" x14ac:dyDescent="0.25">
      <c r="A21" s="312" t="str">
        <f>PLANTILLA!A6</f>
        <v>#16</v>
      </c>
      <c r="B21" s="312" t="str">
        <f>PLANTILLA!D6</f>
        <v>T. Hammond</v>
      </c>
      <c r="C21" s="5">
        <f>PLANTILLA!E6</f>
        <v>33</v>
      </c>
      <c r="D21" s="5">
        <f ca="1">PLANTILLA!F6</f>
        <v>103</v>
      </c>
      <c r="E21" s="163">
        <f>PLANTILLA!V6</f>
        <v>10.3</v>
      </c>
      <c r="F21" s="163">
        <f>PLANTILLA!W6</f>
        <v>10.794999999999998</v>
      </c>
      <c r="G21" s="163">
        <f>PLANTILLA!X6</f>
        <v>4.6100000000000012</v>
      </c>
      <c r="H21" s="163">
        <f>PLANTILLA!Y6</f>
        <v>4.99</v>
      </c>
      <c r="I21" s="163">
        <f>PLANTILLA!Z6</f>
        <v>6.5444444444444434</v>
      </c>
      <c r="J21" s="163">
        <f>PLANTILLA!AA6</f>
        <v>3.99</v>
      </c>
      <c r="K21" s="163">
        <f>PLANTILLA!AB6</f>
        <v>15.778888888888888</v>
      </c>
      <c r="L21" s="363"/>
      <c r="M21" s="363"/>
      <c r="N21" s="363">
        <f>L21/6</f>
        <v>0</v>
      </c>
      <c r="O21" s="159">
        <f>L21*(0.245*0.425+0.34*0.276)/(0.245+0.34)</f>
        <v>0</v>
      </c>
      <c r="P21" s="159">
        <f>L21*(0.245*1+0.34*0.516+0.34*0.258)/(0.245+0.34)</f>
        <v>0</v>
      </c>
      <c r="Q21" s="159">
        <f>L21*(0.245*0.725+0.34*0.378+0.34*0.189)/(0.245+0.34)</f>
        <v>0</v>
      </c>
      <c r="R21" s="159">
        <f>L21*(0.245*0.708+0.34*0.754)/(0.245+0.34)</f>
        <v>0</v>
      </c>
      <c r="S21" s="159">
        <f>L21*(0.245*0.414+0.34*0.919)/(0.245+0.34)</f>
        <v>0</v>
      </c>
      <c r="T21" s="159">
        <f>L21*(0.245*0.4+0.34*0.189+0.34*0.095)</f>
        <v>0</v>
      </c>
      <c r="U21" s="159">
        <f>L21*(0.245*0.348+0.34*0.291)</f>
        <v>0</v>
      </c>
      <c r="V21" s="159">
        <f>L21*(0.245*0.201+0.34*0.349)</f>
        <v>0</v>
      </c>
      <c r="W21" s="159">
        <v>0</v>
      </c>
      <c r="X21" s="159">
        <v>0</v>
      </c>
      <c r="Y21" s="438"/>
      <c r="Z21" s="438"/>
      <c r="AA21" s="438">
        <f>MAX(Z21,Y21)</f>
        <v>0</v>
      </c>
    </row>
    <row r="22" spans="1:27" x14ac:dyDescent="0.25">
      <c r="A22" s="312" t="str">
        <f>PLANTILLA!A20</f>
        <v>#89</v>
      </c>
      <c r="B22" s="312" t="str">
        <f>PLANTILLA!D20</f>
        <v>M. Amico</v>
      </c>
      <c r="C22" s="5">
        <f>PLANTILLA!E20</f>
        <v>28</v>
      </c>
      <c r="D22" s="5">
        <f ca="1">PLANTILLA!F20</f>
        <v>98</v>
      </c>
      <c r="E22" s="163">
        <f>PLANTILLA!V20</f>
        <v>0</v>
      </c>
      <c r="F22" s="163">
        <f>PLANTILLA!W20</f>
        <v>2.47611111111111</v>
      </c>
      <c r="G22" s="163">
        <f>PLANTILLA!X20</f>
        <v>7.2899999999999983</v>
      </c>
      <c r="H22" s="163">
        <f>PLANTILLA!Y20</f>
        <v>4.1588235294117641</v>
      </c>
      <c r="I22" s="163">
        <f>PLANTILLA!Z20</f>
        <v>7.2649999999999988</v>
      </c>
      <c r="J22" s="163">
        <f>PLANTILLA!AA20</f>
        <v>4.3299999999999983</v>
      </c>
      <c r="K22" s="163">
        <f>PLANTILLA!AB20</f>
        <v>9.5</v>
      </c>
      <c r="L22" s="363"/>
      <c r="M22" s="363"/>
      <c r="N22" s="363">
        <f>L22/6</f>
        <v>0</v>
      </c>
      <c r="O22" s="159">
        <f>L22*(0.245*0.425+0.34*0.276)/(0.245+0.34)</f>
        <v>0</v>
      </c>
      <c r="P22" s="159">
        <f>L22*(0.245*1+0.34*0.516+0.34*0.258)/(0.245+0.34)</f>
        <v>0</v>
      </c>
      <c r="Q22" s="159">
        <f>L22*(0.245*0.725+0.34*0.378+0.34*0.189)/(0.245+0.34)</f>
        <v>0</v>
      </c>
      <c r="R22" s="159">
        <f>L22*(0.245*0.708+0.34*0.754)/(0.245+0.34)</f>
        <v>0</v>
      </c>
      <c r="S22" s="159">
        <f>L22*(0.245*0.414+0.34*0.919)/(0.245+0.34)</f>
        <v>0</v>
      </c>
      <c r="T22" s="159">
        <f>L22*(0.245*0.4+0.34*0.189+0.34*0.095)</f>
        <v>0</v>
      </c>
      <c r="U22" s="159">
        <f>L22*(0.245*0.348+0.34*0.291)</f>
        <v>0</v>
      </c>
      <c r="V22" s="159">
        <f>L22*(0.245*0.201+0.34*0.349)</f>
        <v>0</v>
      </c>
      <c r="W22" s="159">
        <v>0</v>
      </c>
      <c r="X22" s="159">
        <v>0</v>
      </c>
      <c r="Y22" s="438"/>
      <c r="Z22" s="438"/>
      <c r="AA22" s="438">
        <f>MAX(Z22,Y22)</f>
        <v>0</v>
      </c>
    </row>
    <row r="26" spans="1:27" x14ac:dyDescent="0.25">
      <c r="B26" s="317"/>
    </row>
  </sheetData>
  <sortState ref="A4:AA22">
    <sortCondition descending="1" ref="AA4:AA22"/>
    <sortCondition descending="1" ref="Y4:Y22"/>
  </sortState>
  <conditionalFormatting sqref="E4:K22">
    <cfRule type="colorScale" priority="2953">
      <colorScale>
        <cfvo type="min"/>
        <cfvo type="max"/>
        <color rgb="FFFCFCFF"/>
        <color rgb="FFF8696B"/>
      </colorScale>
    </cfRule>
  </conditionalFormatting>
  <conditionalFormatting sqref="L4:X22">
    <cfRule type="colorScale" priority="2955">
      <colorScale>
        <cfvo type="min"/>
        <cfvo type="max"/>
        <color rgb="FFFFEF9C"/>
        <color rgb="FF63BE7B"/>
      </colorScale>
    </cfRule>
  </conditionalFormatting>
  <conditionalFormatting sqref="Y4:AA22">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AA5" sqref="AA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44" bestFit="1" customWidth="1"/>
    <col min="14" max="14" width="8.28515625" style="644"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1002</v>
      </c>
      <c r="AD1" t="s">
        <v>1003</v>
      </c>
      <c r="AG1" t="s">
        <v>1004</v>
      </c>
    </row>
    <row r="2" spans="1:34" x14ac:dyDescent="0.25">
      <c r="B2" s="317">
        <v>42584</v>
      </c>
      <c r="Y2" s="652">
        <f>SUM(Y4:Y22)</f>
        <v>0.41031029503169086</v>
      </c>
      <c r="Z2" s="652">
        <f>SUM(Z4:Z22)</f>
        <v>0.32037744206594321</v>
      </c>
      <c r="AA2" s="652"/>
      <c r="AD2" s="526" t="s">
        <v>316</v>
      </c>
      <c r="AE2" s="526" t="s">
        <v>182</v>
      </c>
      <c r="AG2" s="526" t="s">
        <v>316</v>
      </c>
      <c r="AH2" s="526" t="s">
        <v>182</v>
      </c>
    </row>
    <row r="3" spans="1:34" x14ac:dyDescent="0.25">
      <c r="A3" s="326" t="s">
        <v>1056</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999</v>
      </c>
      <c r="O3" s="647" t="s">
        <v>1</v>
      </c>
      <c r="P3" s="647" t="s">
        <v>970</v>
      </c>
      <c r="Q3" s="646" t="s">
        <v>1000</v>
      </c>
      <c r="R3" s="646" t="s">
        <v>1006</v>
      </c>
      <c r="S3" s="646" t="s">
        <v>1001</v>
      </c>
      <c r="T3" s="646" t="s">
        <v>971</v>
      </c>
      <c r="U3" s="646" t="s">
        <v>596</v>
      </c>
      <c r="V3" s="646" t="s">
        <v>1005</v>
      </c>
      <c r="W3" s="647" t="s">
        <v>738</v>
      </c>
      <c r="X3" s="651" t="s">
        <v>67</v>
      </c>
      <c r="Y3" s="649" t="s">
        <v>1003</v>
      </c>
      <c r="Z3" s="649" t="s">
        <v>1004</v>
      </c>
      <c r="AA3" s="649" t="s">
        <v>1009</v>
      </c>
      <c r="AD3" t="s">
        <v>1</v>
      </c>
      <c r="AE3" t="s">
        <v>930</v>
      </c>
      <c r="AG3" t="s">
        <v>1</v>
      </c>
      <c r="AH3" t="s">
        <v>930</v>
      </c>
    </row>
    <row r="4" spans="1:34" x14ac:dyDescent="0.25">
      <c r="A4" s="312" t="str">
        <f>PLANTILLA!A24</f>
        <v>#15</v>
      </c>
      <c r="B4" s="237" t="str">
        <f>PLANTILLA!D24</f>
        <v>P .Trivadi</v>
      </c>
      <c r="C4" s="312">
        <f>PLANTILLA!E24</f>
        <v>26</v>
      </c>
      <c r="D4" s="312">
        <f ca="1">PLANTILLA!F24</f>
        <v>97</v>
      </c>
      <c r="E4" s="163">
        <f>PLANTILLA!V24</f>
        <v>0</v>
      </c>
      <c r="F4" s="163">
        <f>PLANTILLA!W24</f>
        <v>4</v>
      </c>
      <c r="G4" s="163">
        <f>PLANTILLA!X24</f>
        <v>5.5138722222222212</v>
      </c>
      <c r="H4" s="163">
        <f>PLANTILLA!Y24</f>
        <v>5.47</v>
      </c>
      <c r="I4" s="163">
        <f>PLANTILLA!Z24</f>
        <v>10.799999999999999</v>
      </c>
      <c r="J4" s="163">
        <f>PLANTILLA!AA24</f>
        <v>8.384500000000001</v>
      </c>
      <c r="K4" s="163">
        <f>PLANTILLA!AB24</f>
        <v>13.566666666666668</v>
      </c>
      <c r="L4" s="648">
        <f>1/6</f>
        <v>0.16666666666666666</v>
      </c>
      <c r="M4" s="363">
        <f>L4*0.5</f>
        <v>8.3333333333333329E-2</v>
      </c>
      <c r="N4" s="363">
        <f>L4*0.125</f>
        <v>2.0833333333333332E-2</v>
      </c>
      <c r="O4" s="159">
        <v>0</v>
      </c>
      <c r="P4" s="159">
        <f>L4*0.236</f>
        <v>3.9333333333333331E-2</v>
      </c>
      <c r="Q4" s="159">
        <f>L4*0.363</f>
        <v>6.0499999999999998E-2</v>
      </c>
      <c r="R4" s="159">
        <f>L4*0.165</f>
        <v>2.75E-2</v>
      </c>
      <c r="S4" s="159">
        <f>L4*0.167</f>
        <v>2.7833333333333335E-2</v>
      </c>
      <c r="T4" s="159">
        <f>L4*1</f>
        <v>0.16666666666666666</v>
      </c>
      <c r="U4" s="159">
        <f>L4*0.881</f>
        <v>0.14683333333333332</v>
      </c>
      <c r="V4" s="159">
        <f>L4*0.455</f>
        <v>7.5833333333333336E-2</v>
      </c>
      <c r="W4" s="159">
        <f>L4*0.406</f>
        <v>6.7666666666666667E-2</v>
      </c>
      <c r="X4" s="159">
        <f>L4*0.25</f>
        <v>4.1666666666666664E-2</v>
      </c>
      <c r="Y4" s="438">
        <f>W4</f>
        <v>6.7666666666666667E-2</v>
      </c>
      <c r="Z4" s="438"/>
      <c r="AA4" s="438">
        <f>MAX(Z4,Y4)</f>
        <v>6.7666666666666667E-2</v>
      </c>
      <c r="AD4" t="s">
        <v>969</v>
      </c>
      <c r="AE4" s="668" t="s">
        <v>1022</v>
      </c>
      <c r="AG4" t="s">
        <v>969</v>
      </c>
      <c r="AH4" s="668" t="str">
        <f>AE4</f>
        <v>B. Pinczehelyi</v>
      </c>
    </row>
    <row r="5" spans="1:34" x14ac:dyDescent="0.25">
      <c r="A5" s="312" t="str">
        <f>PLANTILLA!A15</f>
        <v>#6</v>
      </c>
      <c r="B5" s="170" t="str">
        <f>PLANTILLA!D15</f>
        <v>S. Buschelman</v>
      </c>
      <c r="C5" s="312">
        <f>PLANTILLA!E15</f>
        <v>29</v>
      </c>
      <c r="D5" s="312">
        <f ca="1">PLANTILLA!F15</f>
        <v>26</v>
      </c>
      <c r="E5" s="163">
        <f>PLANTILLA!V15</f>
        <v>0</v>
      </c>
      <c r="F5" s="163">
        <f>PLANTILLA!W15</f>
        <v>9.1936666666666653</v>
      </c>
      <c r="G5" s="163">
        <f>PLANTILLA!X15</f>
        <v>13.499999999999998</v>
      </c>
      <c r="H5" s="163">
        <f>PLANTILLA!Y15</f>
        <v>12.725000000000001</v>
      </c>
      <c r="I5" s="163">
        <f>PLANTILLA!Z15</f>
        <v>9.6733333333333356</v>
      </c>
      <c r="J5" s="163">
        <f>PLANTILLA!AA15</f>
        <v>5.0296666666666656</v>
      </c>
      <c r="K5" s="163">
        <f>PLANTILLA!AB15</f>
        <v>15.2</v>
      </c>
      <c r="L5" s="648">
        <f>1/16</f>
        <v>6.25E-2</v>
      </c>
      <c r="M5" s="363">
        <f>L5*0.5</f>
        <v>3.125E-2</v>
      </c>
      <c r="N5" s="363">
        <f>L5*0.125</f>
        <v>7.8125E-3</v>
      </c>
      <c r="O5" s="159">
        <v>0</v>
      </c>
      <c r="P5" s="159">
        <f>L5*0.236</f>
        <v>1.4749999999999999E-2</v>
      </c>
      <c r="Q5" s="159">
        <f>L5*0.363</f>
        <v>2.2687499999999999E-2</v>
      </c>
      <c r="R5" s="159">
        <f>L5*0.165</f>
        <v>1.03125E-2</v>
      </c>
      <c r="S5" s="159">
        <f>L5*0.167</f>
        <v>1.0437500000000001E-2</v>
      </c>
      <c r="T5" s="159">
        <f>L5*1</f>
        <v>6.25E-2</v>
      </c>
      <c r="U5" s="159">
        <f>L5*0.881</f>
        <v>5.50625E-2</v>
      </c>
      <c r="V5" s="159">
        <f>L5*0.455</f>
        <v>2.8437500000000001E-2</v>
      </c>
      <c r="W5" s="159">
        <f>L5*0.406</f>
        <v>2.5375000000000002E-2</v>
      </c>
      <c r="X5" s="159">
        <f>L5*0.25</f>
        <v>1.5625E-2</v>
      </c>
      <c r="Y5" s="438">
        <f>U5</f>
        <v>5.50625E-2</v>
      </c>
      <c r="Z5" s="438">
        <f>U5</f>
        <v>5.50625E-2</v>
      </c>
      <c r="AA5" s="438">
        <f>MAX(Z5,Y5)</f>
        <v>5.50625E-2</v>
      </c>
      <c r="AD5" t="s">
        <v>970</v>
      </c>
      <c r="AE5" t="s">
        <v>312</v>
      </c>
      <c r="AG5" t="s">
        <v>981</v>
      </c>
      <c r="AH5" t="s">
        <v>313</v>
      </c>
    </row>
    <row r="6" spans="1:34" x14ac:dyDescent="0.25">
      <c r="A6" s="312" t="str">
        <f>PLANTILLA!A18</f>
        <v>#5</v>
      </c>
      <c r="B6" s="170" t="str">
        <f>PLANTILLA!D18</f>
        <v>L. Bauman</v>
      </c>
      <c r="C6" s="312">
        <f>PLANTILLA!E18</f>
        <v>30</v>
      </c>
      <c r="D6" s="312">
        <f ca="1">PLANTILLA!F18</f>
        <v>29</v>
      </c>
      <c r="E6" s="163">
        <f>PLANTILLA!V18</f>
        <v>0</v>
      </c>
      <c r="F6" s="163">
        <f>PLANTILLA!W18</f>
        <v>5.2811111111111115</v>
      </c>
      <c r="G6" s="163">
        <f>PLANTILLA!X18</f>
        <v>14.193842857142847</v>
      </c>
      <c r="H6" s="163">
        <f>PLANTILLA!Y18</f>
        <v>3.4924999999999993</v>
      </c>
      <c r="I6" s="163">
        <f>PLANTILLA!Z18</f>
        <v>9.1400000000000041</v>
      </c>
      <c r="J6" s="163">
        <f>PLANTILLA!AA18</f>
        <v>7.4318888888888894</v>
      </c>
      <c r="K6" s="163">
        <f>PLANTILLA!AB18</f>
        <v>16.07</v>
      </c>
      <c r="L6" s="648">
        <f>1/21</f>
        <v>4.7619047619047616E-2</v>
      </c>
      <c r="M6" s="363">
        <f>L6*0.5</f>
        <v>2.3809523809523808E-2</v>
      </c>
      <c r="N6" s="363">
        <f>L6*0.125</f>
        <v>5.9523809523809521E-3</v>
      </c>
      <c r="O6" s="159">
        <v>0</v>
      </c>
      <c r="P6" s="159">
        <f>L6*0.236</f>
        <v>1.1238095238095236E-2</v>
      </c>
      <c r="Q6" s="159">
        <f>L6*0.363</f>
        <v>1.7285714285714283E-2</v>
      </c>
      <c r="R6" s="159">
        <f>L6*0.165</f>
        <v>7.8571428571428577E-3</v>
      </c>
      <c r="S6" s="159">
        <f>L6*0.167</f>
        <v>7.9523809523809521E-3</v>
      </c>
      <c r="T6" s="159">
        <f>L6*1</f>
        <v>4.7619047619047616E-2</v>
      </c>
      <c r="U6" s="159">
        <f>L6*0.881</f>
        <v>4.1952380952380949E-2</v>
      </c>
      <c r="V6" s="159">
        <f>L6*0.455</f>
        <v>2.1666666666666667E-2</v>
      </c>
      <c r="W6" s="159">
        <f>L6*0.406</f>
        <v>1.9333333333333334E-2</v>
      </c>
      <c r="X6" s="159">
        <f>L6*0.25</f>
        <v>1.1904761904761904E-2</v>
      </c>
      <c r="Y6" s="438">
        <f>T6</f>
        <v>4.7619047619047616E-2</v>
      </c>
      <c r="Z6" s="438">
        <f>W6</f>
        <v>1.9333333333333334E-2</v>
      </c>
      <c r="AA6" s="438">
        <f>MAX(Z6,Y6)</f>
        <v>4.7619047619047616E-2</v>
      </c>
      <c r="AD6" t="s">
        <v>969</v>
      </c>
      <c r="AE6" t="s">
        <v>309</v>
      </c>
      <c r="AG6" t="s">
        <v>980</v>
      </c>
      <c r="AH6" t="s">
        <v>309</v>
      </c>
    </row>
    <row r="7" spans="1:34" x14ac:dyDescent="0.25">
      <c r="A7" s="312" t="str">
        <f>PLANTILLA!A22</f>
        <v>#9</v>
      </c>
      <c r="B7" s="170" t="str">
        <f>PLANTILLA!D22</f>
        <v>J. Limon</v>
      </c>
      <c r="C7" s="312">
        <f>PLANTILLA!E22</f>
        <v>29</v>
      </c>
      <c r="D7" s="312">
        <f ca="1">PLANTILLA!F22</f>
        <v>66</v>
      </c>
      <c r="E7" s="163">
        <f>PLANTILLA!V22</f>
        <v>0</v>
      </c>
      <c r="F7" s="163">
        <f>PLANTILLA!W22</f>
        <v>6.8176190476190497</v>
      </c>
      <c r="G7" s="163">
        <f>PLANTILLA!X22</f>
        <v>8.3125</v>
      </c>
      <c r="H7" s="163">
        <f>PLANTILLA!Y22</f>
        <v>8.7199999999999971</v>
      </c>
      <c r="I7" s="163">
        <f>PLANTILLA!Z22</f>
        <v>9.6900000000000013</v>
      </c>
      <c r="J7" s="163">
        <f>PLANTILLA!AA22</f>
        <v>8.5625000000000018</v>
      </c>
      <c r="K7" s="163">
        <f>PLANTILLA!AB22</f>
        <v>18.639999999999993</v>
      </c>
      <c r="L7" s="363">
        <f>1/9</f>
        <v>0.1111111111111111</v>
      </c>
      <c r="M7" s="363">
        <f>L7*0.5</f>
        <v>5.5555555555555552E-2</v>
      </c>
      <c r="N7" s="363">
        <f>L7*0.125</f>
        <v>1.3888888888888888E-2</v>
      </c>
      <c r="O7" s="159">
        <v>0</v>
      </c>
      <c r="P7" s="159">
        <f>L7*0.236</f>
        <v>2.622222222222222E-2</v>
      </c>
      <c r="Q7" s="159">
        <f>L7*0.363</f>
        <v>4.0333333333333332E-2</v>
      </c>
      <c r="R7" s="159">
        <f>L7*0.165</f>
        <v>1.8333333333333333E-2</v>
      </c>
      <c r="S7" s="159">
        <f>L7*0.167</f>
        <v>1.8555555555555554E-2</v>
      </c>
      <c r="T7" s="159">
        <f>L7*1</f>
        <v>0.1111111111111111</v>
      </c>
      <c r="U7" s="159">
        <f>L7*0.881</f>
        <v>9.7888888888888886E-2</v>
      </c>
      <c r="V7" s="159">
        <f>L7*0.455</f>
        <v>5.0555555555555555E-2</v>
      </c>
      <c r="W7" s="159">
        <f>L7*0.406</f>
        <v>4.5111111111111109E-2</v>
      </c>
      <c r="X7" s="159">
        <f>L7*0.25</f>
        <v>2.7777777777777776E-2</v>
      </c>
      <c r="Y7" s="438">
        <f>W7</f>
        <v>4.5111111111111109E-2</v>
      </c>
      <c r="Z7" s="438"/>
      <c r="AA7" s="438">
        <f>MAX(Z7,Y7)</f>
        <v>4.5111111111111109E-2</v>
      </c>
      <c r="AD7" t="s">
        <v>596</v>
      </c>
      <c r="AE7" t="s">
        <v>754</v>
      </c>
      <c r="AG7" t="s">
        <v>981</v>
      </c>
      <c r="AH7" t="s">
        <v>315</v>
      </c>
    </row>
    <row r="8" spans="1:34" x14ac:dyDescent="0.25">
      <c r="A8" s="312" t="str">
        <f>PLANTILLA!A13</f>
        <v>#11</v>
      </c>
      <c r="B8" s="170" t="str">
        <f>PLANTILLA!D13</f>
        <v>K. Helms</v>
      </c>
      <c r="C8" s="312">
        <f>PLANTILLA!E13</f>
        <v>30</v>
      </c>
      <c r="D8" s="312">
        <f ca="1">PLANTILLA!F13</f>
        <v>14</v>
      </c>
      <c r="E8" s="163">
        <f>PLANTILLA!V13</f>
        <v>0</v>
      </c>
      <c r="F8" s="163">
        <f>PLANTILLA!W13</f>
        <v>7.11</v>
      </c>
      <c r="G8" s="163">
        <f>PLANTILLA!X13</f>
        <v>10.250000000000004</v>
      </c>
      <c r="H8" s="163">
        <f>PLANTILLA!Y13</f>
        <v>13.305</v>
      </c>
      <c r="I8" s="163">
        <f>PLANTILLA!Z13</f>
        <v>10.359999999999998</v>
      </c>
      <c r="J8" s="163">
        <f>PLANTILLA!AA13</f>
        <v>5.4050000000000002</v>
      </c>
      <c r="K8" s="163">
        <f>PLANTILLA!AB13</f>
        <v>17.300000000000004</v>
      </c>
      <c r="L8" s="648">
        <f>1/12</f>
        <v>8.3333333333333329E-2</v>
      </c>
      <c r="M8" s="363">
        <f>L8*0.5</f>
        <v>4.1666666666666664E-2</v>
      </c>
      <c r="N8" s="363">
        <f>L8*0.125</f>
        <v>1.0416666666666666E-2</v>
      </c>
      <c r="O8" s="159">
        <v>0</v>
      </c>
      <c r="P8" s="159">
        <f>L8*0.236</f>
        <v>1.9666666666666666E-2</v>
      </c>
      <c r="Q8" s="159">
        <f>L8*0.363</f>
        <v>3.0249999999999999E-2</v>
      </c>
      <c r="R8" s="159">
        <f>L8*0.165</f>
        <v>1.375E-2</v>
      </c>
      <c r="S8" s="159">
        <f>L8*0.167</f>
        <v>1.3916666666666667E-2</v>
      </c>
      <c r="T8" s="159">
        <f>L8*1</f>
        <v>8.3333333333333329E-2</v>
      </c>
      <c r="U8" s="159">
        <f>L8*0.881</f>
        <v>7.3416666666666658E-2</v>
      </c>
      <c r="V8" s="159">
        <f>L8*0.455</f>
        <v>3.7916666666666668E-2</v>
      </c>
      <c r="W8" s="159">
        <f>L8*0.406</f>
        <v>3.3833333333333333E-2</v>
      </c>
      <c r="X8" s="159">
        <f>L8*0.25</f>
        <v>2.0833333333333332E-2</v>
      </c>
      <c r="Y8" s="438">
        <f>V8</f>
        <v>3.7916666666666668E-2</v>
      </c>
      <c r="Z8" s="438">
        <f>V8</f>
        <v>3.7916666666666668E-2</v>
      </c>
      <c r="AA8" s="438">
        <f>MAX(Z8,Y8)</f>
        <v>3.7916666666666668E-2</v>
      </c>
      <c r="AD8" t="s">
        <v>971</v>
      </c>
      <c r="AE8" t="s">
        <v>440</v>
      </c>
      <c r="AG8" t="s">
        <v>969</v>
      </c>
      <c r="AH8" t="s">
        <v>982</v>
      </c>
    </row>
    <row r="9" spans="1:34" x14ac:dyDescent="0.25">
      <c r="A9" s="312" t="str">
        <f>PLANTILLA!A16</f>
        <v>#4</v>
      </c>
      <c r="B9" s="170" t="str">
        <f>PLANTILLA!D16</f>
        <v>C. Rojas</v>
      </c>
      <c r="C9" s="312">
        <f>PLANTILLA!E16</f>
        <v>31</v>
      </c>
      <c r="D9" s="312">
        <f ca="1">PLANTILLA!F16</f>
        <v>60</v>
      </c>
      <c r="E9" s="163">
        <f>PLANTILLA!V16</f>
        <v>0</v>
      </c>
      <c r="F9" s="163">
        <f>PLANTILLA!W16</f>
        <v>8.6075555555555585</v>
      </c>
      <c r="G9" s="163">
        <f>PLANTILLA!X16</f>
        <v>14.09516031746031</v>
      </c>
      <c r="H9" s="163">
        <f>PLANTILLA!Y16</f>
        <v>9.99</v>
      </c>
      <c r="I9" s="163">
        <f>PLANTILLA!Z16</f>
        <v>10.09</v>
      </c>
      <c r="J9" s="163">
        <f>PLANTILLA!AA16</f>
        <v>4.3999999999999995</v>
      </c>
      <c r="K9" s="163">
        <f>PLANTILLA!AB16</f>
        <v>16.544444444444441</v>
      </c>
      <c r="L9" s="648">
        <f>1/26</f>
        <v>3.8461538461538464E-2</v>
      </c>
      <c r="M9" s="363">
        <f>L9*0.5</f>
        <v>1.9230769230769232E-2</v>
      </c>
      <c r="N9" s="363">
        <f>L9*0.125</f>
        <v>4.807692307692308E-3</v>
      </c>
      <c r="O9" s="159">
        <v>0</v>
      </c>
      <c r="P9" s="159">
        <f>L9*0.236</f>
        <v>9.0769230769230762E-3</v>
      </c>
      <c r="Q9" s="159">
        <f>L9*0.363</f>
        <v>1.3961538461538463E-2</v>
      </c>
      <c r="R9" s="159">
        <f>L9*0.165</f>
        <v>6.3461538461538469E-3</v>
      </c>
      <c r="S9" s="159">
        <f>L9*0.167</f>
        <v>6.4230769230769237E-3</v>
      </c>
      <c r="T9" s="159">
        <f>L9*1</f>
        <v>3.8461538461538464E-2</v>
      </c>
      <c r="U9" s="159">
        <f>L9*0.881</f>
        <v>3.3884615384615388E-2</v>
      </c>
      <c r="V9" s="159">
        <f>L9*0.455</f>
        <v>1.7500000000000002E-2</v>
      </c>
      <c r="W9" s="159">
        <f>L9*0.406</f>
        <v>1.5615384615384618E-2</v>
      </c>
      <c r="X9" s="159">
        <f>L9*0.25</f>
        <v>9.6153846153846159E-3</v>
      </c>
      <c r="Y9" s="438">
        <f>U9</f>
        <v>3.3884615384615388E-2</v>
      </c>
      <c r="Z9" s="438">
        <f>U9</f>
        <v>3.3884615384615388E-2</v>
      </c>
      <c r="AA9" s="438">
        <f>MAX(Z9,Y9)</f>
        <v>3.3884615384615388E-2</v>
      </c>
      <c r="AD9" t="s">
        <v>596</v>
      </c>
      <c r="AE9" t="s">
        <v>325</v>
      </c>
      <c r="AG9" t="s">
        <v>596</v>
      </c>
      <c r="AH9" t="s">
        <v>325</v>
      </c>
    </row>
    <row r="10" spans="1:34" x14ac:dyDescent="0.25">
      <c r="A10" s="312" t="str">
        <f>PLANTILLA!A14</f>
        <v>#10</v>
      </c>
      <c r="B10" s="170" t="str">
        <f>PLANTILLA!D14</f>
        <v>S. Zobbe</v>
      </c>
      <c r="C10" s="312">
        <f>PLANTILLA!E14</f>
        <v>27</v>
      </c>
      <c r="D10" s="312">
        <f ca="1">PLANTILLA!F14</f>
        <v>29</v>
      </c>
      <c r="E10" s="163">
        <f>PLANTILLA!V14</f>
        <v>0</v>
      </c>
      <c r="F10" s="163">
        <f>PLANTILLA!W14</f>
        <v>8.1199999999999992</v>
      </c>
      <c r="G10" s="163">
        <f>PLANTILLA!X14</f>
        <v>11.958412698412697</v>
      </c>
      <c r="H10" s="163">
        <f>PLANTILLA!Y14</f>
        <v>12.13</v>
      </c>
      <c r="I10" s="163">
        <f>PLANTILLA!Z14</f>
        <v>10.24</v>
      </c>
      <c r="J10" s="163">
        <f>PLANTILLA!AA14</f>
        <v>7.4766666666666666</v>
      </c>
      <c r="K10" s="163">
        <f>PLANTILLA!AB14</f>
        <v>15.270000000000001</v>
      </c>
      <c r="L10" s="648">
        <f>1/14</f>
        <v>7.1428571428571425E-2</v>
      </c>
      <c r="M10" s="363">
        <f>L10*0.5</f>
        <v>3.5714285714285712E-2</v>
      </c>
      <c r="N10" s="363">
        <f>L10*0.125</f>
        <v>8.9285714285714281E-3</v>
      </c>
      <c r="O10" s="159">
        <v>0</v>
      </c>
      <c r="P10" s="159">
        <f>L10*0.236</f>
        <v>1.6857142857142855E-2</v>
      </c>
      <c r="Q10" s="159">
        <f>L10*0.363</f>
        <v>2.5928571428571426E-2</v>
      </c>
      <c r="R10" s="159">
        <f>L10*0.165</f>
        <v>1.1785714285714285E-2</v>
      </c>
      <c r="S10" s="159">
        <f>L10*0.167</f>
        <v>1.1928571428571429E-2</v>
      </c>
      <c r="T10" s="159">
        <f>L10*1</f>
        <v>7.1428571428571425E-2</v>
      </c>
      <c r="U10" s="159">
        <f>L10*0.881</f>
        <v>6.2928571428571431E-2</v>
      </c>
      <c r="V10" s="159">
        <f>L10*0.455</f>
        <v>3.2500000000000001E-2</v>
      </c>
      <c r="W10" s="159">
        <f>L10*0.406</f>
        <v>2.9000000000000001E-2</v>
      </c>
      <c r="X10" s="159">
        <f>L10*0.25</f>
        <v>1.7857142857142856E-2</v>
      </c>
      <c r="Y10" s="438">
        <f>V10</f>
        <v>3.2500000000000001E-2</v>
      </c>
      <c r="Z10" s="438">
        <f>V10</f>
        <v>3.2500000000000001E-2</v>
      </c>
      <c r="AA10" s="438">
        <f>MAX(Z10,Y10)</f>
        <v>3.2500000000000001E-2</v>
      </c>
      <c r="AD10" t="s">
        <v>972</v>
      </c>
      <c r="AE10" t="s">
        <v>982</v>
      </c>
      <c r="AG10" t="s">
        <v>596</v>
      </c>
      <c r="AH10" t="s">
        <v>754</v>
      </c>
    </row>
    <row r="11" spans="1:34" x14ac:dyDescent="0.25">
      <c r="A11" s="312" t="str">
        <f>PLANTILLA!A12</f>
        <v>#7</v>
      </c>
      <c r="B11" s="761" t="str">
        <f>PLANTILLA!D12</f>
        <v>E. Romweber</v>
      </c>
      <c r="C11" s="312">
        <f>PLANTILLA!E12</f>
        <v>30</v>
      </c>
      <c r="D11" s="312">
        <f ca="1">PLANTILLA!F12</f>
        <v>67</v>
      </c>
      <c r="E11" s="163">
        <f>PLANTILLA!V12</f>
        <v>0</v>
      </c>
      <c r="F11" s="163">
        <f>PLANTILLA!W12</f>
        <v>11.99</v>
      </c>
      <c r="G11" s="163">
        <f>PLANTILLA!X12</f>
        <v>12.399111111111115</v>
      </c>
      <c r="H11" s="163">
        <f>PLANTILLA!Y12</f>
        <v>13.05</v>
      </c>
      <c r="I11" s="163">
        <f>PLANTILLA!Z12</f>
        <v>10.91</v>
      </c>
      <c r="J11" s="163">
        <f>PLANTILLA!AA12</f>
        <v>7.7700000000000005</v>
      </c>
      <c r="K11" s="163">
        <f>PLANTILLA!AB12</f>
        <v>17.13</v>
      </c>
      <c r="L11" s="648">
        <f>1/16</f>
        <v>6.25E-2</v>
      </c>
      <c r="M11" s="363">
        <f>L11*0.5</f>
        <v>3.125E-2</v>
      </c>
      <c r="N11" s="363">
        <f>L11*0.125</f>
        <v>7.8125E-3</v>
      </c>
      <c r="O11" s="159">
        <v>0</v>
      </c>
      <c r="P11" s="159">
        <f>L11*0.236</f>
        <v>1.4749999999999999E-2</v>
      </c>
      <c r="Q11" s="159">
        <f>L11*0.363</f>
        <v>2.2687499999999999E-2</v>
      </c>
      <c r="R11" s="159">
        <f>L11*0.165</f>
        <v>1.03125E-2</v>
      </c>
      <c r="S11" s="159">
        <f>L11*0.167</f>
        <v>1.0437500000000001E-2</v>
      </c>
      <c r="T11" s="159">
        <f>L11*1</f>
        <v>6.25E-2</v>
      </c>
      <c r="U11" s="159">
        <f>L11*0.881</f>
        <v>5.50625E-2</v>
      </c>
      <c r="V11" s="159">
        <f>L11*0.455</f>
        <v>2.8437500000000001E-2</v>
      </c>
      <c r="W11" s="159">
        <f>L11*0.406</f>
        <v>2.5375000000000002E-2</v>
      </c>
      <c r="X11" s="159">
        <f>L11*0.25</f>
        <v>1.5625E-2</v>
      </c>
      <c r="Y11" s="438">
        <f>V11</f>
        <v>2.8437500000000001E-2</v>
      </c>
      <c r="Z11" s="438">
        <f>V11</f>
        <v>2.8437500000000001E-2</v>
      </c>
      <c r="AA11" s="438">
        <f>MAX(Z11,Y11)</f>
        <v>2.8437500000000001E-2</v>
      </c>
      <c r="AD11" t="s">
        <v>972</v>
      </c>
      <c r="AE11" t="s">
        <v>338</v>
      </c>
      <c r="AG11" t="s">
        <v>972</v>
      </c>
      <c r="AH11" t="s">
        <v>338</v>
      </c>
    </row>
    <row r="12" spans="1:34" x14ac:dyDescent="0.25">
      <c r="A12" s="312" t="str">
        <f>PLANTILLA!A8</f>
        <v>#8</v>
      </c>
      <c r="B12" s="237" t="str">
        <f>PLANTILLA!D8</f>
        <v>D. Toh</v>
      </c>
      <c r="C12" s="312">
        <f>PLANTILLA!E8</f>
        <v>31</v>
      </c>
      <c r="D12" s="312">
        <f ca="1">PLANTILLA!F8</f>
        <v>39</v>
      </c>
      <c r="E12" s="163">
        <f>PLANTILLA!V8</f>
        <v>0</v>
      </c>
      <c r="F12" s="163">
        <f>PLANTILLA!W8</f>
        <v>11</v>
      </c>
      <c r="G12" s="163">
        <f>PLANTILLA!X8</f>
        <v>6.1594444444444418</v>
      </c>
      <c r="H12" s="163">
        <f>PLANTILLA!Y8</f>
        <v>5.98</v>
      </c>
      <c r="I12" s="163">
        <f>PLANTILLA!Z8</f>
        <v>7.7227777777777789</v>
      </c>
      <c r="J12" s="163">
        <f>PLANTILLA!AA8</f>
        <v>4.383333333333332</v>
      </c>
      <c r="K12" s="163">
        <f>PLANTILLA!AB8</f>
        <v>15.349999999999998</v>
      </c>
      <c r="L12" s="648">
        <f>1/7</f>
        <v>0.14285714285714285</v>
      </c>
      <c r="M12" s="363">
        <f>L12*0.5</f>
        <v>7.1428571428571425E-2</v>
      </c>
      <c r="N12" s="363">
        <f>L12*0.125</f>
        <v>1.7857142857142856E-2</v>
      </c>
      <c r="O12" s="159">
        <v>0</v>
      </c>
      <c r="P12" s="159">
        <f>L12*0.236</f>
        <v>3.3714285714285711E-2</v>
      </c>
      <c r="Q12" s="159">
        <f>L12*0.363</f>
        <v>5.1857142857142852E-2</v>
      </c>
      <c r="R12" s="159">
        <f>L12*0.165</f>
        <v>2.357142857142857E-2</v>
      </c>
      <c r="S12" s="159">
        <f>L12*0.167</f>
        <v>2.3857142857142858E-2</v>
      </c>
      <c r="T12" s="159">
        <f>L12*1</f>
        <v>0.14285714285714285</v>
      </c>
      <c r="U12" s="159">
        <f>L12*0.881</f>
        <v>0.12585714285714286</v>
      </c>
      <c r="V12" s="159">
        <f>L12*0.455</f>
        <v>6.5000000000000002E-2</v>
      </c>
      <c r="W12" s="159">
        <f>L12*0.406</f>
        <v>5.8000000000000003E-2</v>
      </c>
      <c r="X12" s="159">
        <f>L12*0.25</f>
        <v>3.5714285714285712E-2</v>
      </c>
      <c r="Y12" s="438"/>
      <c r="Z12" s="438">
        <f>R12</f>
        <v>2.357142857142857E-2</v>
      </c>
      <c r="AA12" s="438">
        <f>MAX(Z12,Y12)</f>
        <v>2.357142857142857E-2</v>
      </c>
      <c r="AD12" t="s">
        <v>67</v>
      </c>
      <c r="AE12" t="s">
        <v>327</v>
      </c>
      <c r="AG12" t="s">
        <v>972</v>
      </c>
      <c r="AH12" t="s">
        <v>600</v>
      </c>
    </row>
    <row r="13" spans="1:34" x14ac:dyDescent="0.25">
      <c r="A13" s="312" t="str">
        <f>PLANTILLA!A10</f>
        <v>#3</v>
      </c>
      <c r="B13" s="761" t="str">
        <f>PLANTILLA!D10</f>
        <v>B. Bartolache</v>
      </c>
      <c r="C13" s="312">
        <f>PLANTILLA!E10</f>
        <v>30</v>
      </c>
      <c r="D13" s="312">
        <f ca="1">PLANTILLA!F10</f>
        <v>90</v>
      </c>
      <c r="E13" s="163">
        <f>PLANTILLA!V10</f>
        <v>0</v>
      </c>
      <c r="F13" s="163">
        <f>PLANTILLA!W10</f>
        <v>11.649999999999997</v>
      </c>
      <c r="G13" s="163">
        <f>PLANTILLA!X10</f>
        <v>6.6275000000000022</v>
      </c>
      <c r="H13" s="163">
        <f>PLANTILLA!Y10</f>
        <v>7.3600000000000012</v>
      </c>
      <c r="I13" s="163">
        <f>PLANTILLA!Z10</f>
        <v>9.0199999999999978</v>
      </c>
      <c r="J13" s="163">
        <f>PLANTILLA!AA10</f>
        <v>4.6199999999999966</v>
      </c>
      <c r="K13" s="163">
        <f>PLANTILLA!AB10</f>
        <v>15.6</v>
      </c>
      <c r="L13" s="648">
        <f>1/8</f>
        <v>0.125</v>
      </c>
      <c r="M13" s="363">
        <f>L13*0.5</f>
        <v>6.25E-2</v>
      </c>
      <c r="N13" s="363">
        <f>L13*0.125</f>
        <v>1.5625E-2</v>
      </c>
      <c r="O13" s="159">
        <v>0</v>
      </c>
      <c r="P13" s="159">
        <f>L13*0.236</f>
        <v>2.9499999999999998E-2</v>
      </c>
      <c r="Q13" s="159">
        <f>L13*0.363</f>
        <v>4.5374999999999999E-2</v>
      </c>
      <c r="R13" s="159">
        <f>L13*0.165</f>
        <v>2.0625000000000001E-2</v>
      </c>
      <c r="S13" s="159">
        <f>L13*0.167</f>
        <v>2.0875000000000001E-2</v>
      </c>
      <c r="T13" s="159">
        <f>L13*1</f>
        <v>0.125</v>
      </c>
      <c r="U13" s="159">
        <f>L13*0.881</f>
        <v>0.110125</v>
      </c>
      <c r="V13" s="159">
        <f>L13*0.455</f>
        <v>5.6875000000000002E-2</v>
      </c>
      <c r="W13" s="159">
        <f>L13*0.406</f>
        <v>5.0750000000000003E-2</v>
      </c>
      <c r="X13" s="159">
        <f>L13*0.25</f>
        <v>3.125E-2</v>
      </c>
      <c r="Y13" s="438"/>
      <c r="Z13" s="438">
        <f>S13</f>
        <v>2.0875000000000001E-2</v>
      </c>
      <c r="AA13" s="438">
        <f>MAX(Z13,Y13)</f>
        <v>2.0875000000000001E-2</v>
      </c>
      <c r="AD13" t="s">
        <v>67</v>
      </c>
      <c r="AE13" t="s">
        <v>600</v>
      </c>
      <c r="AG13" t="s">
        <v>67</v>
      </c>
      <c r="AH13" t="s">
        <v>327</v>
      </c>
    </row>
    <row r="14" spans="1:34" x14ac:dyDescent="0.25">
      <c r="A14" s="312" t="str">
        <f>PLANTILLA!A9</f>
        <v>#2</v>
      </c>
      <c r="B14" s="761" t="str">
        <f>PLANTILLA!D9</f>
        <v>E. Toney</v>
      </c>
      <c r="C14" s="312">
        <f>PLANTILLA!E9</f>
        <v>30</v>
      </c>
      <c r="D14" s="312">
        <f ca="1">PLANTILLA!F9</f>
        <v>105</v>
      </c>
      <c r="E14" s="163">
        <f>PLANTILLA!V9</f>
        <v>0</v>
      </c>
      <c r="F14" s="163">
        <f>PLANTILLA!W9</f>
        <v>12.060000000000004</v>
      </c>
      <c r="G14" s="163">
        <f>PLANTILLA!X9</f>
        <v>13.020999999999999</v>
      </c>
      <c r="H14" s="163">
        <f>PLANTILLA!Y9</f>
        <v>9.7100000000000062</v>
      </c>
      <c r="I14" s="163">
        <f>PLANTILLA!Z9</f>
        <v>9.6</v>
      </c>
      <c r="J14" s="163">
        <f>PLANTILLA!AA9</f>
        <v>3.6816666666666658</v>
      </c>
      <c r="K14" s="163">
        <f>PLANTILLA!AB9</f>
        <v>16.627777777777773</v>
      </c>
      <c r="L14" s="648">
        <f>1/19</f>
        <v>5.2631578947368418E-2</v>
      </c>
      <c r="M14" s="363">
        <f>L14*0.5</f>
        <v>2.6315789473684209E-2</v>
      </c>
      <c r="N14" s="363">
        <f>L14*0.125</f>
        <v>6.5789473684210523E-3</v>
      </c>
      <c r="O14" s="159">
        <v>0</v>
      </c>
      <c r="P14" s="159">
        <f>L14*0.236</f>
        <v>1.2421052631578946E-2</v>
      </c>
      <c r="Q14" s="159">
        <f>L14*0.363</f>
        <v>1.9105263157894736E-2</v>
      </c>
      <c r="R14" s="159">
        <f>L14*0.165</f>
        <v>8.6842105263157891E-3</v>
      </c>
      <c r="S14" s="159">
        <f>L14*0.167</f>
        <v>8.7894736842105258E-3</v>
      </c>
      <c r="T14" s="159">
        <f>L14*1</f>
        <v>5.2631578947368418E-2</v>
      </c>
      <c r="U14" s="159">
        <f>L14*0.881</f>
        <v>4.636842105263158E-2</v>
      </c>
      <c r="V14" s="159">
        <f>L14*0.455</f>
        <v>2.394736842105263E-2</v>
      </c>
      <c r="W14" s="159">
        <f>L14*0.406</f>
        <v>2.1368421052631578E-2</v>
      </c>
      <c r="X14" s="159">
        <f>L14*0.25</f>
        <v>1.3157894736842105E-2</v>
      </c>
      <c r="Y14" s="438">
        <f>P14</f>
        <v>1.2421052631578946E-2</v>
      </c>
      <c r="Z14" s="438">
        <f>Q14</f>
        <v>1.9105263157894736E-2</v>
      </c>
      <c r="AA14" s="438">
        <f>MAX(Z14,Y14)</f>
        <v>1.9105263157894736E-2</v>
      </c>
    </row>
    <row r="15" spans="1:34" x14ac:dyDescent="0.25">
      <c r="A15" s="312" t="str">
        <f>PLANTILLA!A23</f>
        <v>#18</v>
      </c>
      <c r="B15" s="761" t="str">
        <f>PLANTILLA!D23</f>
        <v>L. Calosso</v>
      </c>
      <c r="C15" s="312">
        <f>PLANTILLA!E23</f>
        <v>30</v>
      </c>
      <c r="D15" s="312">
        <f ca="1">PLANTILLA!F23</f>
        <v>23</v>
      </c>
      <c r="E15" s="163">
        <f>PLANTILLA!V23</f>
        <v>0</v>
      </c>
      <c r="F15" s="163">
        <f>PLANTILLA!W23</f>
        <v>2</v>
      </c>
      <c r="G15" s="163">
        <f>PLANTILLA!X23</f>
        <v>14.0938</v>
      </c>
      <c r="H15" s="163">
        <f>PLANTILLA!Y23</f>
        <v>3</v>
      </c>
      <c r="I15" s="163">
        <f>PLANTILLA!Z23</f>
        <v>15.02</v>
      </c>
      <c r="J15" s="163">
        <f>PLANTILLA!AA23</f>
        <v>10</v>
      </c>
      <c r="K15" s="163">
        <f>PLANTILLA!AB23</f>
        <v>9.3000000000000007</v>
      </c>
      <c r="L15" s="648">
        <f>1/23</f>
        <v>4.3478260869565216E-2</v>
      </c>
      <c r="M15" s="363">
        <f>L15*0.5</f>
        <v>2.1739130434782608E-2</v>
      </c>
      <c r="N15" s="363">
        <f>L15*0.125</f>
        <v>5.434782608695652E-3</v>
      </c>
      <c r="O15" s="159">
        <v>0</v>
      </c>
      <c r="P15" s="159">
        <f>L15*0.236</f>
        <v>1.0260869565217391E-2</v>
      </c>
      <c r="Q15" s="159">
        <f>L15*0.363</f>
        <v>1.5782608695652171E-2</v>
      </c>
      <c r="R15" s="159">
        <f>L15*0.165</f>
        <v>7.1739130434782614E-3</v>
      </c>
      <c r="S15" s="159">
        <f>L15*0.167</f>
        <v>7.2608695652173916E-3</v>
      </c>
      <c r="T15" s="159">
        <f>L15*1</f>
        <v>4.3478260869565216E-2</v>
      </c>
      <c r="U15" s="159">
        <f>L15*0.881</f>
        <v>3.8304347826086958E-2</v>
      </c>
      <c r="V15" s="159">
        <f>L15*0.455</f>
        <v>1.9782608695652175E-2</v>
      </c>
      <c r="W15" s="159">
        <f>L15*0.406</f>
        <v>1.7652173913043478E-2</v>
      </c>
      <c r="X15" s="159">
        <f>L15*0.25</f>
        <v>1.0869565217391304E-2</v>
      </c>
      <c r="Y15" s="438">
        <f>W15</f>
        <v>1.7652173913043478E-2</v>
      </c>
      <c r="Z15" s="438">
        <f>W15</f>
        <v>1.7652173913043478E-2</v>
      </c>
      <c r="AA15" s="438">
        <f>MAX(Z15,Y15)</f>
        <v>1.7652173913043478E-2</v>
      </c>
    </row>
    <row r="16" spans="1:34" x14ac:dyDescent="0.25">
      <c r="A16" s="312" t="str">
        <f>PLANTILLA!A17</f>
        <v>#12</v>
      </c>
      <c r="B16" s="237" t="str">
        <f>PLANTILLA!D17</f>
        <v>E. Gross</v>
      </c>
      <c r="C16" s="312">
        <f>PLANTILLA!E17</f>
        <v>30</v>
      </c>
      <c r="D16" s="312">
        <f ca="1">PLANTILLA!F17</f>
        <v>54</v>
      </c>
      <c r="E16" s="163">
        <f>PLANTILLA!V17</f>
        <v>0</v>
      </c>
      <c r="F16" s="163">
        <f>PLANTILLA!W17</f>
        <v>10.349999999999996</v>
      </c>
      <c r="G16" s="163">
        <f>PLANTILLA!X17</f>
        <v>12.749777777777778</v>
      </c>
      <c r="H16" s="163">
        <f>PLANTILLA!Y17</f>
        <v>5.1199999999999983</v>
      </c>
      <c r="I16" s="163">
        <f>PLANTILLA!Z17</f>
        <v>9.24</v>
      </c>
      <c r="J16" s="163">
        <f>PLANTILLA!AA17</f>
        <v>2.98</v>
      </c>
      <c r="K16" s="163">
        <f>PLANTILLA!AB17</f>
        <v>16.959999999999997</v>
      </c>
      <c r="L16" s="648">
        <f>1/14</f>
        <v>7.1428571428571425E-2</v>
      </c>
      <c r="M16" s="363">
        <f>L16*0.5</f>
        <v>3.5714285714285712E-2</v>
      </c>
      <c r="N16" s="363">
        <f>L16*0.125</f>
        <v>8.9285714285714281E-3</v>
      </c>
      <c r="O16" s="159">
        <v>0</v>
      </c>
      <c r="P16" s="159">
        <f>L16*0.236</f>
        <v>1.6857142857142855E-2</v>
      </c>
      <c r="Q16" s="159">
        <f>L16*0.363</f>
        <v>2.5928571428571426E-2</v>
      </c>
      <c r="R16" s="159">
        <f>L16*0.165</f>
        <v>1.1785714285714285E-2</v>
      </c>
      <c r="S16" s="159">
        <f>L16*0.167</f>
        <v>1.1928571428571429E-2</v>
      </c>
      <c r="T16" s="159">
        <f>L16*1</f>
        <v>7.1428571428571425E-2</v>
      </c>
      <c r="U16" s="159">
        <f>L16*0.881</f>
        <v>6.2928571428571431E-2</v>
      </c>
      <c r="V16" s="159">
        <f>L16*0.455</f>
        <v>3.2500000000000001E-2</v>
      </c>
      <c r="W16" s="159">
        <f>L16*0.406</f>
        <v>2.9000000000000001E-2</v>
      </c>
      <c r="X16" s="159">
        <f>L16*0.25</f>
        <v>1.7857142857142856E-2</v>
      </c>
      <c r="Y16" s="438">
        <f>P16</f>
        <v>1.6857142857142855E-2</v>
      </c>
      <c r="Z16" s="438">
        <f>P16</f>
        <v>1.6857142857142855E-2</v>
      </c>
      <c r="AA16" s="438">
        <f>MAX(Z16,Y16)</f>
        <v>1.6857142857142855E-2</v>
      </c>
    </row>
    <row r="17" spans="1:27" x14ac:dyDescent="0.25">
      <c r="A17" s="312" t="str">
        <f>PLANTILLA!A7</f>
        <v>#17</v>
      </c>
      <c r="B17" s="237" t="str">
        <f>PLANTILLA!D7</f>
        <v>B. Pinczehelyi</v>
      </c>
      <c r="C17" s="312">
        <f>PLANTILLA!E7</f>
        <v>29</v>
      </c>
      <c r="D17" s="312">
        <f ca="1">PLANTILLA!F7</f>
        <v>106</v>
      </c>
      <c r="E17" s="163">
        <f>PLANTILLA!V7</f>
        <v>0</v>
      </c>
      <c r="F17" s="163">
        <f>PLANTILLA!W7</f>
        <v>14.200000000000003</v>
      </c>
      <c r="G17" s="163">
        <f>PLANTILLA!X7</f>
        <v>9.283333333333335</v>
      </c>
      <c r="H17" s="163">
        <f>PLANTILLA!Y7</f>
        <v>14.249999999999996</v>
      </c>
      <c r="I17" s="163">
        <f>PLANTILLA!Z7</f>
        <v>9.4199999999999982</v>
      </c>
      <c r="J17" s="163">
        <f>PLANTILLA!AA7</f>
        <v>1.1428571428571428</v>
      </c>
      <c r="K17" s="163">
        <f>PLANTILLA!AB7</f>
        <v>9.4</v>
      </c>
      <c r="L17" s="648">
        <f>1/11</f>
        <v>9.0909090909090912E-2</v>
      </c>
      <c r="M17" s="363">
        <f>L17*0.5</f>
        <v>4.5454545454545456E-2</v>
      </c>
      <c r="N17" s="363">
        <f>L17*0.125</f>
        <v>1.1363636363636364E-2</v>
      </c>
      <c r="O17" s="159">
        <v>0</v>
      </c>
      <c r="P17" s="159">
        <f>L17*0.236</f>
        <v>2.1454545454545455E-2</v>
      </c>
      <c r="Q17" s="159">
        <f>L17*0.363</f>
        <v>3.3000000000000002E-2</v>
      </c>
      <c r="R17" s="159">
        <f>L17*0.165</f>
        <v>1.5000000000000001E-2</v>
      </c>
      <c r="S17" s="159">
        <f>L17*0.167</f>
        <v>1.5181818181818183E-2</v>
      </c>
      <c r="T17" s="159">
        <f>L17*1</f>
        <v>9.0909090909090912E-2</v>
      </c>
      <c r="U17" s="159">
        <f>L17*0.881</f>
        <v>8.0090909090909088E-2</v>
      </c>
      <c r="V17" s="159">
        <f>L17*0.455</f>
        <v>4.1363636363636366E-2</v>
      </c>
      <c r="W17" s="159">
        <f>L17*0.406</f>
        <v>3.6909090909090912E-2</v>
      </c>
      <c r="X17" s="159">
        <f>L17*0.25</f>
        <v>2.2727272727272728E-2</v>
      </c>
      <c r="Y17" s="438">
        <f>S17</f>
        <v>1.5181818181818183E-2</v>
      </c>
      <c r="Z17" s="438">
        <f>S17</f>
        <v>1.5181818181818183E-2</v>
      </c>
      <c r="AA17" s="438">
        <f>MAX(Z17,Y17)</f>
        <v>1.5181818181818183E-2</v>
      </c>
    </row>
    <row r="18" spans="1:27" x14ac:dyDescent="0.25">
      <c r="A18" s="312" t="str">
        <f>PLANTILLA!A5</f>
        <v>#1</v>
      </c>
      <c r="B18" s="312" t="str">
        <f>PLANTILLA!D5</f>
        <v>D. Gehmacher</v>
      </c>
      <c r="C18" s="312">
        <f>PLANTILLA!E5</f>
        <v>29</v>
      </c>
      <c r="D18" s="312">
        <f ca="1">PLANTILLA!F5</f>
        <v>94</v>
      </c>
      <c r="E18" s="163">
        <f>PLANTILLA!V5</f>
        <v>16.666666666666668</v>
      </c>
      <c r="F18" s="163">
        <f>PLANTILLA!W5</f>
        <v>11.832727272727276</v>
      </c>
      <c r="G18" s="163">
        <f>PLANTILLA!X5</f>
        <v>2.0199999999999996</v>
      </c>
      <c r="H18" s="163">
        <f>PLANTILLA!Y5</f>
        <v>2.1199999999999992</v>
      </c>
      <c r="I18" s="163">
        <f>PLANTILLA!Z5</f>
        <v>1.0400000000000003</v>
      </c>
      <c r="J18" s="163">
        <f>PLANTILLA!AA5</f>
        <v>0.14055555555555557</v>
      </c>
      <c r="K18" s="163">
        <f>PLANTILLA!AB5</f>
        <v>17.849999999999998</v>
      </c>
      <c r="L18" s="648">
        <v>0</v>
      </c>
      <c r="M18" s="363">
        <f>L18*0.5</f>
        <v>0</v>
      </c>
      <c r="N18" s="363">
        <f>L18*0.125</f>
        <v>0</v>
      </c>
      <c r="O18" s="159">
        <v>0</v>
      </c>
      <c r="P18" s="159">
        <f>L18*0.236</f>
        <v>0</v>
      </c>
      <c r="Q18" s="159">
        <f>L18*0.363</f>
        <v>0</v>
      </c>
      <c r="R18" s="159">
        <f>L18*0.165</f>
        <v>0</v>
      </c>
      <c r="S18" s="159">
        <f>L18*0.167</f>
        <v>0</v>
      </c>
      <c r="T18" s="159">
        <f>L18*1</f>
        <v>0</v>
      </c>
      <c r="U18" s="159">
        <f>L18*0.881</f>
        <v>0</v>
      </c>
      <c r="V18" s="159">
        <f>L18*0.455</f>
        <v>0</v>
      </c>
      <c r="W18" s="159">
        <f>L18*0.406</f>
        <v>0</v>
      </c>
      <c r="X18" s="159">
        <f>L18*0.25</f>
        <v>0</v>
      </c>
      <c r="Y18" s="438">
        <f>O18</f>
        <v>0</v>
      </c>
      <c r="Z18" s="438">
        <f>O18</f>
        <v>0</v>
      </c>
      <c r="AA18" s="438">
        <f>MAX(Z18,Y18)</f>
        <v>0</v>
      </c>
    </row>
    <row r="19" spans="1:27" x14ac:dyDescent="0.25">
      <c r="A19" s="312" t="str">
        <f>PLANTILLA!A6</f>
        <v>#16</v>
      </c>
      <c r="B19" s="312" t="str">
        <f>PLANTILLA!D6</f>
        <v>T. Hammond</v>
      </c>
      <c r="C19" s="312">
        <f>PLANTILLA!E6</f>
        <v>33</v>
      </c>
      <c r="D19" s="312">
        <f ca="1">PLANTILLA!F6</f>
        <v>103</v>
      </c>
      <c r="E19" s="163">
        <f>PLANTILLA!V6</f>
        <v>10.3</v>
      </c>
      <c r="F19" s="163">
        <f>PLANTILLA!W6</f>
        <v>10.794999999999998</v>
      </c>
      <c r="G19" s="163">
        <f>PLANTILLA!X6</f>
        <v>4.6100000000000012</v>
      </c>
      <c r="H19" s="163">
        <f>PLANTILLA!Y6</f>
        <v>4.99</v>
      </c>
      <c r="I19" s="163">
        <f>PLANTILLA!Z6</f>
        <v>6.5444444444444434</v>
      </c>
      <c r="J19" s="163">
        <f>PLANTILLA!AA6</f>
        <v>3.99</v>
      </c>
      <c r="K19" s="163">
        <f>PLANTILLA!AB6</f>
        <v>15.778888888888888</v>
      </c>
      <c r="L19" s="648"/>
      <c r="M19" s="363">
        <f>L19*0.5</f>
        <v>0</v>
      </c>
      <c r="N19" s="363">
        <f>L19*0.125</f>
        <v>0</v>
      </c>
      <c r="O19" s="159">
        <v>0</v>
      </c>
      <c r="P19" s="159">
        <f>L19*0.236</f>
        <v>0</v>
      </c>
      <c r="Q19" s="159">
        <f>L19*0.363</f>
        <v>0</v>
      </c>
      <c r="R19" s="159">
        <f>L19*0.165</f>
        <v>0</v>
      </c>
      <c r="S19" s="159">
        <f>L19*0.167</f>
        <v>0</v>
      </c>
      <c r="T19" s="159">
        <f>L19*1</f>
        <v>0</v>
      </c>
      <c r="U19" s="159">
        <f>L19*0.881</f>
        <v>0</v>
      </c>
      <c r="V19" s="159">
        <f>L19*0.455</f>
        <v>0</v>
      </c>
      <c r="W19" s="159">
        <f>L19*0.406</f>
        <v>0</v>
      </c>
      <c r="X19" s="159">
        <f>L19*0.25</f>
        <v>0</v>
      </c>
      <c r="Y19" s="438"/>
      <c r="Z19" s="438"/>
      <c r="AA19" s="438">
        <f>MAX(Z19,Y19)</f>
        <v>0</v>
      </c>
    </row>
    <row r="20" spans="1:27" x14ac:dyDescent="0.25">
      <c r="A20" s="312" t="str">
        <f>PLANTILLA!A11</f>
        <v>#13</v>
      </c>
      <c r="B20" s="312" t="str">
        <f>PLANTILLA!D11</f>
        <v>F. Lasprilla</v>
      </c>
      <c r="C20" s="312">
        <f>PLANTILLA!E11</f>
        <v>27</v>
      </c>
      <c r="D20" s="312">
        <f ca="1">PLANTILLA!F11</f>
        <v>1</v>
      </c>
      <c r="E20" s="163">
        <f>PLANTILLA!V11</f>
        <v>0</v>
      </c>
      <c r="F20" s="163">
        <f>PLANTILLA!W11</f>
        <v>9.5796666666666663</v>
      </c>
      <c r="G20" s="163">
        <f>PLANTILLA!X11</f>
        <v>7.7107222222222234</v>
      </c>
      <c r="H20" s="163">
        <f>PLANTILLA!Y11</f>
        <v>6.129999999999999</v>
      </c>
      <c r="I20" s="163">
        <f>PLANTILLA!Z11</f>
        <v>8.8633333333333315</v>
      </c>
      <c r="J20" s="163">
        <f>PLANTILLA!AA11</f>
        <v>3.2566666666666673</v>
      </c>
      <c r="K20" s="163">
        <f>PLANTILLA!AB11</f>
        <v>13.238888888888889</v>
      </c>
      <c r="L20" s="648"/>
      <c r="M20" s="363">
        <f>L20*0.5</f>
        <v>0</v>
      </c>
      <c r="N20" s="363">
        <f>L20*0.125</f>
        <v>0</v>
      </c>
      <c r="O20" s="159">
        <v>0</v>
      </c>
      <c r="P20" s="159">
        <f>L20*0.236</f>
        <v>0</v>
      </c>
      <c r="Q20" s="159">
        <f>L20*0.363</f>
        <v>0</v>
      </c>
      <c r="R20" s="159">
        <f>L20*0.165</f>
        <v>0</v>
      </c>
      <c r="S20" s="159">
        <f>L20*0.167</f>
        <v>0</v>
      </c>
      <c r="T20" s="159">
        <f>L20*1</f>
        <v>0</v>
      </c>
      <c r="U20" s="159">
        <f>L20*0.881</f>
        <v>0</v>
      </c>
      <c r="V20" s="159">
        <f>L20*0.455</f>
        <v>0</v>
      </c>
      <c r="W20" s="159">
        <f>L20*0.406</f>
        <v>0</v>
      </c>
      <c r="X20" s="159">
        <f>L20*0.25</f>
        <v>0</v>
      </c>
      <c r="Y20" s="438"/>
      <c r="Z20" s="438"/>
      <c r="AA20" s="438">
        <f>MAX(Z20,Y20)</f>
        <v>0</v>
      </c>
    </row>
    <row r="21" spans="1:27" x14ac:dyDescent="0.25">
      <c r="A21" s="312" t="str">
        <f>PLANTILLA!A19</f>
        <v>#14</v>
      </c>
      <c r="B21" s="312" t="str">
        <f>PLANTILLA!D19</f>
        <v>W. Gelifini</v>
      </c>
      <c r="C21" s="312">
        <f>PLANTILLA!E19</f>
        <v>28</v>
      </c>
      <c r="D21" s="312">
        <f ca="1">PLANTILLA!F19</f>
        <v>91</v>
      </c>
      <c r="E21" s="163">
        <f>PLANTILLA!V19</f>
        <v>0</v>
      </c>
      <c r="F21" s="163">
        <f>PLANTILLA!W19</f>
        <v>5.6315555555555523</v>
      </c>
      <c r="G21" s="163">
        <f>PLANTILLA!X19</f>
        <v>9.8263388888888876</v>
      </c>
      <c r="H21" s="163">
        <f>PLANTILLA!Y19</f>
        <v>7.0526666666666671</v>
      </c>
      <c r="I21" s="163">
        <f>PLANTILLA!Z19</f>
        <v>9.2666666666666639</v>
      </c>
      <c r="J21" s="163">
        <f>PLANTILLA!AA19</f>
        <v>3.5417777777777766</v>
      </c>
      <c r="K21" s="163">
        <f>PLANTILLA!AB19</f>
        <v>12.450000000000001</v>
      </c>
      <c r="L21" s="648"/>
      <c r="M21" s="363">
        <f>L21*0.5</f>
        <v>0</v>
      </c>
      <c r="N21" s="363">
        <f>L21*0.125</f>
        <v>0</v>
      </c>
      <c r="O21" s="159">
        <v>0</v>
      </c>
      <c r="P21" s="159">
        <f>L21*0.236</f>
        <v>0</v>
      </c>
      <c r="Q21" s="159">
        <f>L21*0.363</f>
        <v>0</v>
      </c>
      <c r="R21" s="159">
        <f>L21*0.165</f>
        <v>0</v>
      </c>
      <c r="S21" s="159">
        <f>L21*0.167</f>
        <v>0</v>
      </c>
      <c r="T21" s="159">
        <f>L21*1</f>
        <v>0</v>
      </c>
      <c r="U21" s="159">
        <f>L21*0.881</f>
        <v>0</v>
      </c>
      <c r="V21" s="159">
        <f>L21*0.455</f>
        <v>0</v>
      </c>
      <c r="W21" s="159">
        <f>L21*0.406</f>
        <v>0</v>
      </c>
      <c r="X21" s="159">
        <f>L21*0.25</f>
        <v>0</v>
      </c>
      <c r="Y21" s="438"/>
      <c r="Z21" s="438"/>
      <c r="AA21" s="438">
        <f>MAX(Z21,Y21)</f>
        <v>0</v>
      </c>
    </row>
    <row r="22" spans="1:27" x14ac:dyDescent="0.25">
      <c r="A22" s="312" t="str">
        <f>PLANTILLA!A20</f>
        <v>#89</v>
      </c>
      <c r="B22" s="312" t="str">
        <f>PLANTILLA!D20</f>
        <v>M. Amico</v>
      </c>
      <c r="C22" s="312">
        <f>PLANTILLA!E20</f>
        <v>28</v>
      </c>
      <c r="D22" s="312">
        <f ca="1">PLANTILLA!F20</f>
        <v>98</v>
      </c>
      <c r="E22" s="163">
        <f>PLANTILLA!V20</f>
        <v>0</v>
      </c>
      <c r="F22" s="163">
        <f>PLANTILLA!W20</f>
        <v>2.47611111111111</v>
      </c>
      <c r="G22" s="163">
        <f>PLANTILLA!X20</f>
        <v>7.2899999999999983</v>
      </c>
      <c r="H22" s="163">
        <f>PLANTILLA!Y20</f>
        <v>4.1588235294117641</v>
      </c>
      <c r="I22" s="163">
        <f>PLANTILLA!Z20</f>
        <v>7.2649999999999988</v>
      </c>
      <c r="J22" s="163">
        <f>PLANTILLA!AA20</f>
        <v>4.3299999999999983</v>
      </c>
      <c r="K22" s="163">
        <f>PLANTILLA!AB20</f>
        <v>9.5</v>
      </c>
      <c r="L22"/>
      <c r="M22"/>
      <c r="N22"/>
      <c r="O22"/>
      <c r="Y22" s="438"/>
      <c r="Z22" s="438"/>
      <c r="AA22" s="438">
        <f>MAX(Z22,Y22)</f>
        <v>0</v>
      </c>
    </row>
    <row r="26" spans="1:27" x14ac:dyDescent="0.25">
      <c r="B26" s="317"/>
    </row>
  </sheetData>
  <sortState ref="A4:AA22">
    <sortCondition descending="1" ref="AA4:AA22"/>
    <sortCondition descending="1" ref="Y4:Y22"/>
    <sortCondition descending="1" ref="Z4:Z22"/>
  </sortState>
  <conditionalFormatting sqref="E4:K22">
    <cfRule type="colorScale" priority="2958">
      <colorScale>
        <cfvo type="min"/>
        <cfvo type="max"/>
        <color rgb="FFFCFCFF"/>
        <color rgb="FFF8696B"/>
      </colorScale>
    </cfRule>
  </conditionalFormatting>
  <conditionalFormatting sqref="L4:X22">
    <cfRule type="colorScale" priority="2960">
      <colorScale>
        <cfvo type="min"/>
        <cfvo type="max"/>
        <color rgb="FFFFEF9C"/>
        <color rgb="FF63BE7B"/>
      </colorScale>
    </cfRule>
  </conditionalFormatting>
  <conditionalFormatting sqref="Y4:Y22">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2">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Y4:Y22</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1" sqref="B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1002</v>
      </c>
      <c r="AD1" t="s">
        <v>1003</v>
      </c>
      <c r="AG1" t="s">
        <v>1004</v>
      </c>
    </row>
    <row r="2" spans="1:34" x14ac:dyDescent="0.25">
      <c r="B2" s="317">
        <v>42585</v>
      </c>
      <c r="Y2" s="652">
        <f>SUM(Y4:Y22)</f>
        <v>0.25556249514374513</v>
      </c>
      <c r="Z2" s="652">
        <f>SUM(Z4:Z22)</f>
        <v>0.16814614413364415</v>
      </c>
      <c r="AA2" s="652"/>
      <c r="AD2" s="526" t="s">
        <v>316</v>
      </c>
      <c r="AE2" s="526" t="s">
        <v>182</v>
      </c>
      <c r="AG2" s="526" t="s">
        <v>316</v>
      </c>
      <c r="AH2" s="526" t="s">
        <v>182</v>
      </c>
    </row>
    <row r="3" spans="1:34" x14ac:dyDescent="0.25">
      <c r="A3" s="326" t="s">
        <v>1056</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1007</v>
      </c>
      <c r="O3" s="647" t="s">
        <v>1</v>
      </c>
      <c r="P3" s="647" t="s">
        <v>970</v>
      </c>
      <c r="Q3" s="646" t="s">
        <v>1000</v>
      </c>
      <c r="R3" s="646" t="s">
        <v>1006</v>
      </c>
      <c r="S3" s="646" t="s">
        <v>1001</v>
      </c>
      <c r="T3" s="646" t="s">
        <v>971</v>
      </c>
      <c r="U3" s="646" t="s">
        <v>596</v>
      </c>
      <c r="V3" s="646" t="s">
        <v>1005</v>
      </c>
      <c r="W3" s="647" t="s">
        <v>738</v>
      </c>
      <c r="X3" s="647" t="s">
        <v>67</v>
      </c>
      <c r="Y3" s="649" t="s">
        <v>1003</v>
      </c>
      <c r="Z3" s="649" t="s">
        <v>1004</v>
      </c>
      <c r="AA3" s="649" t="s">
        <v>1009</v>
      </c>
      <c r="AD3" t="s">
        <v>1</v>
      </c>
      <c r="AE3" t="s">
        <v>930</v>
      </c>
      <c r="AG3" t="s">
        <v>1</v>
      </c>
      <c r="AH3" t="s">
        <v>930</v>
      </c>
    </row>
    <row r="4" spans="1:34" x14ac:dyDescent="0.25">
      <c r="A4" s="312" t="str">
        <f>PLANTILLA!A22</f>
        <v>#9</v>
      </c>
      <c r="B4" s="760" t="str">
        <f>PLANTILLA!D22</f>
        <v>J. Limon</v>
      </c>
      <c r="C4" s="312">
        <f>PLANTILLA!E22</f>
        <v>29</v>
      </c>
      <c r="D4" s="312">
        <f ca="1">PLANTILLA!F22</f>
        <v>66</v>
      </c>
      <c r="E4" s="163">
        <f>PLANTILLA!V22</f>
        <v>0</v>
      </c>
      <c r="F4" s="163">
        <f>PLANTILLA!W22</f>
        <v>6.8176190476190497</v>
      </c>
      <c r="G4" s="163">
        <f>PLANTILLA!X22</f>
        <v>8.3125</v>
      </c>
      <c r="H4" s="163">
        <f>PLANTILLA!Y22</f>
        <v>8.7199999999999971</v>
      </c>
      <c r="I4" s="163">
        <f>PLANTILLA!Z22</f>
        <v>9.6900000000000013</v>
      </c>
      <c r="J4" s="163">
        <f>PLANTILLA!AA22</f>
        <v>8.5625000000000018</v>
      </c>
      <c r="K4" s="163">
        <f>PLANTILLA!AB22</f>
        <v>18.639999999999993</v>
      </c>
      <c r="L4" s="363">
        <f>1/8</f>
        <v>0.125</v>
      </c>
      <c r="M4" s="363"/>
      <c r="N4" s="363">
        <f>L4/6</f>
        <v>2.0833333333333332E-2</v>
      </c>
      <c r="O4" s="163">
        <v>0</v>
      </c>
      <c r="P4" s="159">
        <v>0</v>
      </c>
      <c r="Q4" s="159">
        <v>0</v>
      </c>
      <c r="R4" s="159">
        <v>0</v>
      </c>
      <c r="S4" s="159">
        <v>0</v>
      </c>
      <c r="T4" s="159">
        <f>L4*(0.19*0.341+0.25*0.253+0.25*0.127)/(0.19+0.25)</f>
        <v>4.5394886363636359E-2</v>
      </c>
      <c r="U4" s="159">
        <f>L4*(0.19*0.241+0.25*0.315)/(0.19+0.25)</f>
        <v>3.5380681818181818E-2</v>
      </c>
      <c r="V4" s="159">
        <f>L4*(0.19*0.121+0.25*0.244)/(0.19+0.25)</f>
        <v>2.3860795454545454E-2</v>
      </c>
      <c r="W4" s="159">
        <f>L4*(0.19*0.543+0.25*0.25)/(0.19+0.25)</f>
        <v>4.7065340909090911E-2</v>
      </c>
      <c r="X4" s="159">
        <f>L4*(0.19*0.369+0.25*0.142)/(0.19+0.25)</f>
        <v>3.0002840909090913E-2</v>
      </c>
      <c r="Y4" s="438">
        <f>W4</f>
        <v>4.7065340909090911E-2</v>
      </c>
      <c r="Z4" s="438"/>
      <c r="AA4" s="438">
        <f>MAX(Z4,Y4)</f>
        <v>4.7065340909090911E-2</v>
      </c>
      <c r="AD4" t="s">
        <v>969</v>
      </c>
      <c r="AE4" s="668" t="s">
        <v>1022</v>
      </c>
      <c r="AG4" t="s">
        <v>969</v>
      </c>
      <c r="AH4" s="668" t="str">
        <f>AE4</f>
        <v>B. Pinczehelyi</v>
      </c>
    </row>
    <row r="5" spans="1:34" x14ac:dyDescent="0.25">
      <c r="A5" s="312" t="str">
        <f>PLANTILLA!A24</f>
        <v>#15</v>
      </c>
      <c r="B5" s="760" t="str">
        <f>PLANTILLA!D24</f>
        <v>P .Trivadi</v>
      </c>
      <c r="C5" s="312">
        <f>PLANTILLA!E24</f>
        <v>26</v>
      </c>
      <c r="D5" s="312">
        <f ca="1">PLANTILLA!F24</f>
        <v>97</v>
      </c>
      <c r="E5" s="163">
        <f>PLANTILLA!V24</f>
        <v>0</v>
      </c>
      <c r="F5" s="163">
        <f>PLANTILLA!W24</f>
        <v>4</v>
      </c>
      <c r="G5" s="163">
        <f>PLANTILLA!X24</f>
        <v>5.5138722222222212</v>
      </c>
      <c r="H5" s="163">
        <f>PLANTILLA!Y24</f>
        <v>5.47</v>
      </c>
      <c r="I5" s="163">
        <f>PLANTILLA!Z24</f>
        <v>10.799999999999999</v>
      </c>
      <c r="J5" s="163">
        <f>PLANTILLA!AA24</f>
        <v>8.384500000000001</v>
      </c>
      <c r="K5" s="163">
        <f>PLANTILLA!AB24</f>
        <v>13.566666666666668</v>
      </c>
      <c r="L5" s="363">
        <f>1/9</f>
        <v>0.1111111111111111</v>
      </c>
      <c r="M5" s="363"/>
      <c r="N5" s="363">
        <f>L5/6</f>
        <v>1.8518518518518517E-2</v>
      </c>
      <c r="O5" s="163">
        <v>0</v>
      </c>
      <c r="P5" s="159">
        <v>0</v>
      </c>
      <c r="Q5" s="159">
        <v>0</v>
      </c>
      <c r="R5" s="159">
        <v>0</v>
      </c>
      <c r="S5" s="159">
        <v>0</v>
      </c>
      <c r="T5" s="159">
        <f>L5*(0.19*0.341+0.25*0.253+0.25*0.127)/(0.19+0.25)</f>
        <v>4.0351010101010096E-2</v>
      </c>
      <c r="U5" s="159">
        <f>L5*(0.19*0.241+0.25*0.315)/(0.19+0.25)</f>
        <v>3.1449494949494949E-2</v>
      </c>
      <c r="V5" s="159">
        <f>L5*(0.19*0.121+0.25*0.244)/(0.19+0.25)</f>
        <v>2.1209595959595956E-2</v>
      </c>
      <c r="W5" s="159">
        <f>L5*(0.19*0.543+0.25*0.25)/(0.19+0.25)</f>
        <v>4.183585858585858E-2</v>
      </c>
      <c r="X5" s="159">
        <f>L5*(0.19*0.369+0.25*0.142)/(0.19+0.25)</f>
        <v>2.6669191919191919E-2</v>
      </c>
      <c r="Y5" s="438">
        <f>W5</f>
        <v>4.183585858585858E-2</v>
      </c>
      <c r="Z5" s="438"/>
      <c r="AA5" s="438">
        <f>MAX(Z5,Y5)</f>
        <v>4.183585858585858E-2</v>
      </c>
      <c r="AD5" t="s">
        <v>970</v>
      </c>
      <c r="AE5" t="s">
        <v>312</v>
      </c>
      <c r="AG5" t="s">
        <v>981</v>
      </c>
      <c r="AH5" t="s">
        <v>313</v>
      </c>
    </row>
    <row r="6" spans="1:34" x14ac:dyDescent="0.25">
      <c r="A6" s="312" t="str">
        <f>PLANTILLA!A18</f>
        <v>#5</v>
      </c>
      <c r="B6" s="760" t="str">
        <f>PLANTILLA!D18</f>
        <v>L. Bauman</v>
      </c>
      <c r="C6" s="312">
        <f>PLANTILLA!E18</f>
        <v>30</v>
      </c>
      <c r="D6" s="312">
        <f ca="1">PLANTILLA!F18</f>
        <v>29</v>
      </c>
      <c r="E6" s="163">
        <f>PLANTILLA!V18</f>
        <v>0</v>
      </c>
      <c r="F6" s="163">
        <f>PLANTILLA!W18</f>
        <v>5.2811111111111115</v>
      </c>
      <c r="G6" s="163">
        <f>PLANTILLA!X18</f>
        <v>14.193842857142847</v>
      </c>
      <c r="H6" s="163">
        <f>PLANTILLA!Y18</f>
        <v>3.4924999999999993</v>
      </c>
      <c r="I6" s="163">
        <f>PLANTILLA!Z18</f>
        <v>9.1400000000000041</v>
      </c>
      <c r="J6" s="163">
        <f>PLANTILLA!AA18</f>
        <v>7.4318888888888894</v>
      </c>
      <c r="K6" s="163">
        <f>PLANTILLA!AB18</f>
        <v>16.07</v>
      </c>
      <c r="L6" s="363">
        <f>1/9</f>
        <v>0.1111111111111111</v>
      </c>
      <c r="M6" s="363"/>
      <c r="N6" s="363">
        <f>L6/6</f>
        <v>1.8518518518518517E-2</v>
      </c>
      <c r="O6" s="163">
        <v>0</v>
      </c>
      <c r="P6" s="159">
        <v>0</v>
      </c>
      <c r="Q6" s="159">
        <v>0</v>
      </c>
      <c r="R6" s="159">
        <v>0</v>
      </c>
      <c r="S6" s="159">
        <v>0</v>
      </c>
      <c r="T6" s="159">
        <f>L6*(0.19*0.341+0.25*0.253+0.25*0.127)/(0.19+0.25)</f>
        <v>4.0351010101010096E-2</v>
      </c>
      <c r="U6" s="159">
        <f>L6*(0.19*0.241+0.25*0.315)/(0.19+0.25)</f>
        <v>3.1449494949494949E-2</v>
      </c>
      <c r="V6" s="159">
        <f>L6*(0.19*0.121+0.25*0.244)/(0.19+0.25)</f>
        <v>2.1209595959595956E-2</v>
      </c>
      <c r="W6" s="159">
        <f>L6*(0.19*0.543+0.25*0.25)/(0.19+0.25)</f>
        <v>4.183585858585858E-2</v>
      </c>
      <c r="X6" s="159">
        <f>L6*(0.19*0.369+0.25*0.142)/(0.19+0.25)</f>
        <v>2.6669191919191919E-2</v>
      </c>
      <c r="Y6" s="438">
        <f>T6</f>
        <v>4.0351010101010096E-2</v>
      </c>
      <c r="Z6" s="438">
        <f>W6</f>
        <v>4.183585858585858E-2</v>
      </c>
      <c r="AA6" s="438">
        <f>MAX(Z6,Y6)</f>
        <v>4.183585858585858E-2</v>
      </c>
      <c r="AD6" t="s">
        <v>969</v>
      </c>
      <c r="AE6" t="s">
        <v>309</v>
      </c>
      <c r="AG6" t="s">
        <v>980</v>
      </c>
      <c r="AH6" t="s">
        <v>309</v>
      </c>
    </row>
    <row r="7" spans="1:34" x14ac:dyDescent="0.25">
      <c r="A7" s="312" t="str">
        <f>PLANTILLA!A15</f>
        <v>#6</v>
      </c>
      <c r="B7" s="760" t="str">
        <f>PLANTILLA!D15</f>
        <v>S. Buschelman</v>
      </c>
      <c r="C7" s="312">
        <f>PLANTILLA!E15</f>
        <v>29</v>
      </c>
      <c r="D7" s="312">
        <f ca="1">PLANTILLA!F15</f>
        <v>26</v>
      </c>
      <c r="E7" s="163">
        <f>PLANTILLA!V15</f>
        <v>0</v>
      </c>
      <c r="F7" s="163">
        <f>PLANTILLA!W15</f>
        <v>9.1936666666666653</v>
      </c>
      <c r="G7" s="163">
        <f>PLANTILLA!X15</f>
        <v>13.499999999999998</v>
      </c>
      <c r="H7" s="163">
        <f>PLANTILLA!Y15</f>
        <v>12.725000000000001</v>
      </c>
      <c r="I7" s="163">
        <f>PLANTILLA!Z15</f>
        <v>9.6733333333333356</v>
      </c>
      <c r="J7" s="163">
        <f>PLANTILLA!AA15</f>
        <v>5.0296666666666656</v>
      </c>
      <c r="K7" s="163">
        <f>PLANTILLA!AB15</f>
        <v>15.2</v>
      </c>
      <c r="L7" s="363">
        <f>1/8</f>
        <v>0.125</v>
      </c>
      <c r="M7" s="363"/>
      <c r="N7" s="363">
        <f>L7/6</f>
        <v>2.0833333333333332E-2</v>
      </c>
      <c r="O7" s="163">
        <v>0</v>
      </c>
      <c r="P7" s="159">
        <v>0</v>
      </c>
      <c r="Q7" s="159">
        <v>0</v>
      </c>
      <c r="R7" s="159">
        <v>0</v>
      </c>
      <c r="S7" s="159">
        <v>0</v>
      </c>
      <c r="T7" s="159">
        <f>L7*(0.19*0.341+0.25*0.253+0.25*0.127)/(0.19+0.25)</f>
        <v>4.5394886363636359E-2</v>
      </c>
      <c r="U7" s="159">
        <f>L7*(0.19*0.241+0.25*0.315)/(0.19+0.25)</f>
        <v>3.5380681818181818E-2</v>
      </c>
      <c r="V7" s="159">
        <f>L7*(0.19*0.121+0.25*0.244)/(0.19+0.25)</f>
        <v>2.3860795454545454E-2</v>
      </c>
      <c r="W7" s="159">
        <f>L7*(0.19*0.543+0.25*0.25)/(0.19+0.25)</f>
        <v>4.7065340909090911E-2</v>
      </c>
      <c r="X7" s="159">
        <f>L7*(0.19*0.369+0.25*0.142)/(0.19+0.25)</f>
        <v>3.0002840909090913E-2</v>
      </c>
      <c r="Y7" s="438">
        <f>U7</f>
        <v>3.5380681818181818E-2</v>
      </c>
      <c r="Z7" s="438">
        <f>U7</f>
        <v>3.5380681818181818E-2</v>
      </c>
      <c r="AA7" s="438">
        <f>MAX(Z7,Y7)</f>
        <v>3.5380681818181818E-2</v>
      </c>
      <c r="AD7" t="s">
        <v>596</v>
      </c>
      <c r="AE7" t="s">
        <v>754</v>
      </c>
      <c r="AG7" t="s">
        <v>981</v>
      </c>
      <c r="AH7" t="s">
        <v>315</v>
      </c>
    </row>
    <row r="8" spans="1:34" x14ac:dyDescent="0.25">
      <c r="A8" s="312" t="str">
        <f>PLANTILLA!A16</f>
        <v>#4</v>
      </c>
      <c r="B8" s="760" t="str">
        <f>PLANTILLA!D16</f>
        <v>C. Rojas</v>
      </c>
      <c r="C8" s="312">
        <f>PLANTILLA!E16</f>
        <v>31</v>
      </c>
      <c r="D8" s="312">
        <f ca="1">PLANTILLA!F16</f>
        <v>60</v>
      </c>
      <c r="E8" s="163">
        <f>PLANTILLA!V16</f>
        <v>0</v>
      </c>
      <c r="F8" s="163">
        <f>PLANTILLA!W16</f>
        <v>8.6075555555555585</v>
      </c>
      <c r="G8" s="163">
        <f>PLANTILLA!X16</f>
        <v>14.09516031746031</v>
      </c>
      <c r="H8" s="163">
        <f>PLANTILLA!Y16</f>
        <v>9.99</v>
      </c>
      <c r="I8" s="163">
        <f>PLANTILLA!Z16</f>
        <v>10.09</v>
      </c>
      <c r="J8" s="163">
        <f>PLANTILLA!AA16</f>
        <v>4.3999999999999995</v>
      </c>
      <c r="K8" s="163">
        <f>PLANTILLA!AB16</f>
        <v>16.544444444444441</v>
      </c>
      <c r="L8" s="363">
        <f>1/12</f>
        <v>8.3333333333333329E-2</v>
      </c>
      <c r="M8" s="363"/>
      <c r="N8" s="363">
        <f>L8/6</f>
        <v>1.3888888888888888E-2</v>
      </c>
      <c r="O8" s="163">
        <v>0</v>
      </c>
      <c r="P8" s="159">
        <v>0</v>
      </c>
      <c r="Q8" s="159">
        <v>0</v>
      </c>
      <c r="R8" s="159">
        <v>0</v>
      </c>
      <c r="S8" s="159">
        <v>0</v>
      </c>
      <c r="T8" s="159">
        <f>L8*(0.19*0.341+0.25*0.253+0.25*0.127)/(0.19+0.25)</f>
        <v>3.0263257575757572E-2</v>
      </c>
      <c r="U8" s="159">
        <f>L8*(0.19*0.241+0.25*0.315)/(0.19+0.25)</f>
        <v>2.3587121212121212E-2</v>
      </c>
      <c r="V8" s="159">
        <f>L8*(0.19*0.121+0.25*0.244)/(0.19+0.25)</f>
        <v>1.5907196969696967E-2</v>
      </c>
      <c r="W8" s="159">
        <f>L8*(0.19*0.543+0.25*0.25)/(0.19+0.25)</f>
        <v>3.1376893939393941E-2</v>
      </c>
      <c r="X8" s="159">
        <f>L8*(0.19*0.369+0.25*0.142)/(0.19+0.25)</f>
        <v>2.0001893939393941E-2</v>
      </c>
      <c r="Y8" s="438">
        <f>U8</f>
        <v>2.3587121212121212E-2</v>
      </c>
      <c r="Z8" s="438">
        <f>U8</f>
        <v>2.3587121212121212E-2</v>
      </c>
      <c r="AA8" s="438">
        <f>MAX(Z8,Y8)</f>
        <v>2.3587121212121212E-2</v>
      </c>
      <c r="AD8" t="s">
        <v>971</v>
      </c>
      <c r="AE8" t="s">
        <v>440</v>
      </c>
      <c r="AG8" t="s">
        <v>969</v>
      </c>
      <c r="AH8" t="s">
        <v>982</v>
      </c>
    </row>
    <row r="9" spans="1:34" x14ac:dyDescent="0.25">
      <c r="A9" s="312" t="str">
        <f>PLANTILLA!A13</f>
        <v>#11</v>
      </c>
      <c r="B9" s="760" t="str">
        <f>PLANTILLA!D13</f>
        <v>K. Helms</v>
      </c>
      <c r="C9" s="312">
        <f>PLANTILLA!E13</f>
        <v>30</v>
      </c>
      <c r="D9" s="312">
        <f ca="1">PLANTILLA!F13</f>
        <v>14</v>
      </c>
      <c r="E9" s="163">
        <f>PLANTILLA!V13</f>
        <v>0</v>
      </c>
      <c r="F9" s="163">
        <f>PLANTILLA!W13</f>
        <v>7.11</v>
      </c>
      <c r="G9" s="163">
        <f>PLANTILLA!X13</f>
        <v>10.250000000000004</v>
      </c>
      <c r="H9" s="163">
        <f>PLANTILLA!Y13</f>
        <v>13.305</v>
      </c>
      <c r="I9" s="163">
        <f>PLANTILLA!Z13</f>
        <v>10.359999999999998</v>
      </c>
      <c r="J9" s="163">
        <f>PLANTILLA!AA13</f>
        <v>5.4050000000000002</v>
      </c>
      <c r="K9" s="163">
        <f>PLANTILLA!AB13</f>
        <v>17.300000000000004</v>
      </c>
      <c r="L9" s="363">
        <f>1/10</f>
        <v>0.1</v>
      </c>
      <c r="M9" s="363"/>
      <c r="N9" s="363">
        <f>L9/6</f>
        <v>1.6666666666666666E-2</v>
      </c>
      <c r="O9" s="163">
        <v>0</v>
      </c>
      <c r="P9" s="159">
        <v>0</v>
      </c>
      <c r="Q9" s="159">
        <v>0</v>
      </c>
      <c r="R9" s="159">
        <v>0</v>
      </c>
      <c r="S9" s="159">
        <v>0</v>
      </c>
      <c r="T9" s="159">
        <f>L9*(0.19*0.341+0.25*0.253+0.25*0.127)/(0.19+0.25)</f>
        <v>3.6315909090909093E-2</v>
      </c>
      <c r="U9" s="159">
        <f>L9*(0.19*0.241+0.25*0.315)/(0.19+0.25)</f>
        <v>2.8304545454545454E-2</v>
      </c>
      <c r="V9" s="159">
        <f>L9*(0.19*0.121+0.25*0.244)/(0.19+0.25)</f>
        <v>1.9088636363636363E-2</v>
      </c>
      <c r="W9" s="159">
        <f>L9*(0.19*0.543+0.25*0.25)/(0.19+0.25)</f>
        <v>3.7652272727272729E-2</v>
      </c>
      <c r="X9" s="159">
        <f>L9*(0.19*0.369+0.25*0.142)/(0.19+0.25)</f>
        <v>2.400227272727273E-2</v>
      </c>
      <c r="Y9" s="438">
        <f>V9</f>
        <v>1.9088636363636363E-2</v>
      </c>
      <c r="Z9" s="438">
        <f>V9</f>
        <v>1.9088636363636363E-2</v>
      </c>
      <c r="AA9" s="438">
        <f>MAX(Z9,Y9)</f>
        <v>1.9088636363636363E-2</v>
      </c>
      <c r="AD9" t="s">
        <v>596</v>
      </c>
      <c r="AE9" t="s">
        <v>325</v>
      </c>
      <c r="AG9" t="s">
        <v>596</v>
      </c>
      <c r="AH9" t="s">
        <v>325</v>
      </c>
    </row>
    <row r="10" spans="1:34" x14ac:dyDescent="0.25">
      <c r="A10" s="312" t="str">
        <f>PLANTILLA!A14</f>
        <v>#10</v>
      </c>
      <c r="B10" s="760" t="str">
        <f>PLANTILLA!D14</f>
        <v>S. Zobbe</v>
      </c>
      <c r="C10" s="312">
        <f>PLANTILLA!E14</f>
        <v>27</v>
      </c>
      <c r="D10" s="312">
        <f ca="1">PLANTILLA!F14</f>
        <v>29</v>
      </c>
      <c r="E10" s="163">
        <f>PLANTILLA!V14</f>
        <v>0</v>
      </c>
      <c r="F10" s="163">
        <f>PLANTILLA!W14</f>
        <v>8.1199999999999992</v>
      </c>
      <c r="G10" s="163">
        <f>PLANTILLA!X14</f>
        <v>11.958412698412697</v>
      </c>
      <c r="H10" s="163">
        <f>PLANTILLA!Y14</f>
        <v>12.13</v>
      </c>
      <c r="I10" s="163">
        <f>PLANTILLA!Z14</f>
        <v>10.24</v>
      </c>
      <c r="J10" s="163">
        <f>PLANTILLA!AA14</f>
        <v>7.4766666666666666</v>
      </c>
      <c r="K10" s="163">
        <f>PLANTILLA!AB14</f>
        <v>15.270000000000001</v>
      </c>
      <c r="L10" s="363">
        <f>1/10</f>
        <v>0.1</v>
      </c>
      <c r="M10" s="363"/>
      <c r="N10" s="363">
        <f>L10/6</f>
        <v>1.6666666666666666E-2</v>
      </c>
      <c r="O10" s="163">
        <v>0</v>
      </c>
      <c r="P10" s="159">
        <v>0</v>
      </c>
      <c r="Q10" s="159">
        <v>0</v>
      </c>
      <c r="R10" s="159">
        <v>0</v>
      </c>
      <c r="S10" s="159">
        <v>0</v>
      </c>
      <c r="T10" s="159">
        <f>L10*(0.19*0.341+0.25*0.253+0.25*0.127)/(0.19+0.25)</f>
        <v>3.6315909090909093E-2</v>
      </c>
      <c r="U10" s="159">
        <f>L10*(0.19*0.241+0.25*0.315)/(0.19+0.25)</f>
        <v>2.8304545454545454E-2</v>
      </c>
      <c r="V10" s="159">
        <f>L10*(0.19*0.121+0.25*0.244)/(0.19+0.25)</f>
        <v>1.9088636363636363E-2</v>
      </c>
      <c r="W10" s="159">
        <f>L10*(0.19*0.543+0.25*0.25)/(0.19+0.25)</f>
        <v>3.7652272727272729E-2</v>
      </c>
      <c r="X10" s="159">
        <f>L10*(0.19*0.369+0.25*0.142)/(0.19+0.25)</f>
        <v>2.400227272727273E-2</v>
      </c>
      <c r="Y10" s="438">
        <f>V10</f>
        <v>1.9088636363636363E-2</v>
      </c>
      <c r="Z10" s="438">
        <f>V10</f>
        <v>1.9088636363636363E-2</v>
      </c>
      <c r="AA10" s="438">
        <f>MAX(Z10,Y10)</f>
        <v>1.9088636363636363E-2</v>
      </c>
      <c r="AD10" t="s">
        <v>972</v>
      </c>
      <c r="AE10" t="s">
        <v>982</v>
      </c>
      <c r="AG10" t="s">
        <v>596</v>
      </c>
      <c r="AH10" t="s">
        <v>754</v>
      </c>
    </row>
    <row r="11" spans="1:34" x14ac:dyDescent="0.25">
      <c r="A11" s="312" t="str">
        <f>PLANTILLA!A12</f>
        <v>#7</v>
      </c>
      <c r="B11" s="760" t="str">
        <f>PLANTILLA!D12</f>
        <v>E. Romweber</v>
      </c>
      <c r="C11" s="312">
        <f>PLANTILLA!E12</f>
        <v>30</v>
      </c>
      <c r="D11" s="312">
        <f ca="1">PLANTILLA!F12</f>
        <v>67</v>
      </c>
      <c r="E11" s="163">
        <f>PLANTILLA!V12</f>
        <v>0</v>
      </c>
      <c r="F11" s="163">
        <f>PLANTILLA!W12</f>
        <v>11.99</v>
      </c>
      <c r="G11" s="163">
        <f>PLANTILLA!X12</f>
        <v>12.399111111111115</v>
      </c>
      <c r="H11" s="163">
        <f>PLANTILLA!Y12</f>
        <v>13.05</v>
      </c>
      <c r="I11" s="163">
        <f>PLANTILLA!Z12</f>
        <v>10.91</v>
      </c>
      <c r="J11" s="163">
        <f>PLANTILLA!AA12</f>
        <v>7.7700000000000005</v>
      </c>
      <c r="K11" s="163">
        <f>PLANTILLA!AB12</f>
        <v>17.13</v>
      </c>
      <c r="L11" s="363">
        <f>1/13</f>
        <v>7.6923076923076927E-2</v>
      </c>
      <c r="M11" s="363"/>
      <c r="N11" s="363">
        <f>L11/6</f>
        <v>1.2820512820512822E-2</v>
      </c>
      <c r="O11" s="163">
        <v>0</v>
      </c>
      <c r="P11" s="159">
        <v>0</v>
      </c>
      <c r="Q11" s="159">
        <v>0</v>
      </c>
      <c r="R11" s="159">
        <v>0</v>
      </c>
      <c r="S11" s="159">
        <v>0</v>
      </c>
      <c r="T11" s="159">
        <f>L11*(0.19*0.341+0.25*0.253+0.25*0.127)/(0.19+0.25)</f>
        <v>2.7935314685314686E-2</v>
      </c>
      <c r="U11" s="159">
        <f>L11*(0.19*0.241+0.25*0.315)/(0.19+0.25)</f>
        <v>2.1772727272727273E-2</v>
      </c>
      <c r="V11" s="159">
        <f>L11*(0.19*0.121+0.25*0.244)/(0.19+0.25)</f>
        <v>1.4683566433566433E-2</v>
      </c>
      <c r="W11" s="159">
        <f>L11*(0.19*0.543+0.25*0.25)/(0.19+0.25)</f>
        <v>2.8963286713286719E-2</v>
      </c>
      <c r="X11" s="159">
        <f>L11*(0.19*0.369+0.25*0.142)/(0.19+0.25)</f>
        <v>1.8463286713286717E-2</v>
      </c>
      <c r="Y11" s="438">
        <f>V11</f>
        <v>1.4683566433566433E-2</v>
      </c>
      <c r="Z11" s="438">
        <f>V11</f>
        <v>1.4683566433566433E-2</v>
      </c>
      <c r="AA11" s="438">
        <f>MAX(Z11,Y11)</f>
        <v>1.4683566433566433E-2</v>
      </c>
      <c r="AD11" t="s">
        <v>972</v>
      </c>
      <c r="AE11" t="s">
        <v>338</v>
      </c>
      <c r="AG11" t="s">
        <v>972</v>
      </c>
      <c r="AH11" t="s">
        <v>338</v>
      </c>
    </row>
    <row r="12" spans="1:34" x14ac:dyDescent="0.25">
      <c r="A12" s="312" t="str">
        <f>PLANTILLA!A23</f>
        <v>#18</v>
      </c>
      <c r="B12" s="760" t="str">
        <f>PLANTILLA!D23</f>
        <v>L. Calosso</v>
      </c>
      <c r="C12" s="312">
        <f>PLANTILLA!E23</f>
        <v>30</v>
      </c>
      <c r="D12" s="312">
        <f ca="1">PLANTILLA!F23</f>
        <v>23</v>
      </c>
      <c r="E12" s="163">
        <f>PLANTILLA!V23</f>
        <v>0</v>
      </c>
      <c r="F12" s="163">
        <f>PLANTILLA!W23</f>
        <v>2</v>
      </c>
      <c r="G12" s="163">
        <f>PLANTILLA!X23</f>
        <v>14.0938</v>
      </c>
      <c r="H12" s="163">
        <f>PLANTILLA!Y23</f>
        <v>3</v>
      </c>
      <c r="I12" s="163">
        <f>PLANTILLA!Z23</f>
        <v>15.02</v>
      </c>
      <c r="J12" s="163">
        <f>PLANTILLA!AA23</f>
        <v>10</v>
      </c>
      <c r="K12" s="163">
        <f>PLANTILLA!AB23</f>
        <v>9.3000000000000007</v>
      </c>
      <c r="L12" s="363">
        <f>1/26</f>
        <v>3.8461538461538464E-2</v>
      </c>
      <c r="M12" s="363"/>
      <c r="N12" s="363">
        <f>L12/6</f>
        <v>6.4102564102564109E-3</v>
      </c>
      <c r="O12" s="163">
        <v>0</v>
      </c>
      <c r="P12" s="159">
        <v>0</v>
      </c>
      <c r="Q12" s="159">
        <v>0</v>
      </c>
      <c r="R12" s="159">
        <v>0</v>
      </c>
      <c r="S12" s="159">
        <v>0</v>
      </c>
      <c r="T12" s="159">
        <f>L12*(0.19*0.341+0.25*0.253+0.25*0.127)/(0.19+0.25)</f>
        <v>1.3967657342657343E-2</v>
      </c>
      <c r="U12" s="159">
        <f>L12*(0.19*0.241+0.25*0.315)/(0.19+0.25)</f>
        <v>1.0886363636363637E-2</v>
      </c>
      <c r="V12" s="159">
        <f>L12*(0.19*0.121+0.25*0.244)/(0.19+0.25)</f>
        <v>7.3417832167832165E-3</v>
      </c>
      <c r="W12" s="159">
        <f>L12*(0.19*0.543+0.25*0.25)/(0.19+0.25)</f>
        <v>1.448164335664336E-2</v>
      </c>
      <c r="X12" s="159">
        <f>L12*(0.19*0.369+0.25*0.142)/(0.19+0.25)</f>
        <v>9.2316433566433584E-3</v>
      </c>
      <c r="Y12" s="438">
        <f>W12</f>
        <v>1.448164335664336E-2</v>
      </c>
      <c r="Z12" s="438">
        <f>W12</f>
        <v>1.448164335664336E-2</v>
      </c>
      <c r="AA12" s="438">
        <f>MAX(Z12,Y12)</f>
        <v>1.448164335664336E-2</v>
      </c>
      <c r="AD12" t="s">
        <v>67</v>
      </c>
      <c r="AE12" t="s">
        <v>327</v>
      </c>
      <c r="AG12" t="s">
        <v>972</v>
      </c>
      <c r="AH12" t="s">
        <v>600</v>
      </c>
    </row>
    <row r="13" spans="1:34" x14ac:dyDescent="0.25">
      <c r="A13" s="312" t="str">
        <f>PLANTILLA!A5</f>
        <v>#1</v>
      </c>
      <c r="B13" s="312" t="str">
        <f>PLANTILLA!D5</f>
        <v>D. Gehmacher</v>
      </c>
      <c r="C13" s="312">
        <f>PLANTILLA!E5</f>
        <v>29</v>
      </c>
      <c r="D13" s="312">
        <f ca="1">PLANTILLA!F5</f>
        <v>94</v>
      </c>
      <c r="E13" s="163">
        <f>PLANTILLA!V5</f>
        <v>16.666666666666668</v>
      </c>
      <c r="F13" s="163">
        <f>PLANTILLA!W5</f>
        <v>11.832727272727276</v>
      </c>
      <c r="G13" s="163">
        <f>PLANTILLA!X5</f>
        <v>2.0199999999999996</v>
      </c>
      <c r="H13" s="163">
        <f>PLANTILLA!Y5</f>
        <v>2.1199999999999992</v>
      </c>
      <c r="I13" s="163">
        <f>PLANTILLA!Z5</f>
        <v>1.0400000000000003</v>
      </c>
      <c r="J13" s="163">
        <f>PLANTILLA!AA5</f>
        <v>0.14055555555555557</v>
      </c>
      <c r="K13" s="163">
        <f>PLANTILLA!AB5</f>
        <v>17.849999999999998</v>
      </c>
      <c r="L13" s="363">
        <v>0</v>
      </c>
      <c r="M13" s="363"/>
      <c r="N13" s="363">
        <f>L13/6</f>
        <v>0</v>
      </c>
      <c r="O13" s="163">
        <v>0</v>
      </c>
      <c r="P13" s="159">
        <v>0</v>
      </c>
      <c r="Q13" s="159">
        <v>0</v>
      </c>
      <c r="R13" s="159">
        <v>0</v>
      </c>
      <c r="S13" s="159">
        <v>0</v>
      </c>
      <c r="T13" s="159">
        <f>L13*(0.19*0.341+0.25*0.253+0.25*0.127)/(0.19+0.25)</f>
        <v>0</v>
      </c>
      <c r="U13" s="159">
        <f>L13*(0.19*0.241+0.25*0.315)/(0.19+0.25)</f>
        <v>0</v>
      </c>
      <c r="V13" s="159">
        <f>L13*(0.19*0.121+0.25*0.244)/(0.19+0.25)</f>
        <v>0</v>
      </c>
      <c r="W13" s="159">
        <f>L13*(0.19*0.543+0.25*0.25)/(0.19+0.25)</f>
        <v>0</v>
      </c>
      <c r="X13" s="159">
        <f>L13*(0.19*0.369+0.25*0.142)/(0.19+0.25)</f>
        <v>0</v>
      </c>
      <c r="Y13" s="438">
        <f>L13</f>
        <v>0</v>
      </c>
      <c r="Z13" s="438">
        <f>L13</f>
        <v>0</v>
      </c>
      <c r="AA13" s="438">
        <f>MAX(Z13,Y13)</f>
        <v>0</v>
      </c>
      <c r="AD13" t="s">
        <v>67</v>
      </c>
      <c r="AE13" t="s">
        <v>600</v>
      </c>
      <c r="AG13" t="s">
        <v>67</v>
      </c>
      <c r="AH13" t="s">
        <v>327</v>
      </c>
    </row>
    <row r="14" spans="1:34" x14ac:dyDescent="0.25">
      <c r="A14" s="312" t="str">
        <f>PLANTILLA!A7</f>
        <v>#17</v>
      </c>
      <c r="B14" s="760" t="str">
        <f>PLANTILLA!D7</f>
        <v>B. Pinczehelyi</v>
      </c>
      <c r="C14" s="312">
        <f>PLANTILLA!E7</f>
        <v>29</v>
      </c>
      <c r="D14" s="312">
        <f ca="1">PLANTILLA!F7</f>
        <v>106</v>
      </c>
      <c r="E14" s="163">
        <f>PLANTILLA!V7</f>
        <v>0</v>
      </c>
      <c r="F14" s="163">
        <f>PLANTILLA!W7</f>
        <v>14.200000000000003</v>
      </c>
      <c r="G14" s="163">
        <f>PLANTILLA!X7</f>
        <v>9.283333333333335</v>
      </c>
      <c r="H14" s="163">
        <f>PLANTILLA!Y7</f>
        <v>14.249999999999996</v>
      </c>
      <c r="I14" s="163">
        <f>PLANTILLA!Z7</f>
        <v>9.4199999999999982</v>
      </c>
      <c r="J14" s="163">
        <f>PLANTILLA!AA7</f>
        <v>1.1428571428571428</v>
      </c>
      <c r="K14" s="163">
        <f>PLANTILLA!AB7</f>
        <v>9.4</v>
      </c>
      <c r="L14" s="363">
        <f>1/10</f>
        <v>0.1</v>
      </c>
      <c r="M14" s="363"/>
      <c r="N14" s="363">
        <f>L14/6</f>
        <v>1.6666666666666666E-2</v>
      </c>
      <c r="O14" s="163">
        <v>0</v>
      </c>
      <c r="P14" s="159">
        <v>0</v>
      </c>
      <c r="Q14" s="159">
        <v>0</v>
      </c>
      <c r="R14" s="159">
        <v>0</v>
      </c>
      <c r="S14" s="159">
        <v>0</v>
      </c>
      <c r="T14" s="159">
        <f>L14*(0.19*0.341+0.25*0.253+0.25*0.127)/(0.19+0.25)</f>
        <v>3.6315909090909093E-2</v>
      </c>
      <c r="U14" s="159">
        <f>L14*(0.19*0.241+0.25*0.315)/(0.19+0.25)</f>
        <v>2.8304545454545454E-2</v>
      </c>
      <c r="V14" s="159">
        <f>L14*(0.19*0.121+0.25*0.244)/(0.19+0.25)</f>
        <v>1.9088636363636363E-2</v>
      </c>
      <c r="W14" s="159">
        <f>L14*(0.19*0.543+0.25*0.25)/(0.19+0.25)</f>
        <v>3.7652272727272729E-2</v>
      </c>
      <c r="X14" s="159">
        <f>L14*(0.19*0.369+0.25*0.142)/(0.19+0.25)</f>
        <v>2.400227272727273E-2</v>
      </c>
      <c r="Y14" s="438">
        <v>0</v>
      </c>
      <c r="Z14" s="438">
        <v>0</v>
      </c>
      <c r="AA14" s="438">
        <f>MAX(Z14,Y14)</f>
        <v>0</v>
      </c>
    </row>
    <row r="15" spans="1:34" x14ac:dyDescent="0.25">
      <c r="A15" s="312" t="str">
        <f>PLANTILLA!A8</f>
        <v>#8</v>
      </c>
      <c r="B15" s="760" t="str">
        <f>PLANTILLA!D8</f>
        <v>D. Toh</v>
      </c>
      <c r="C15" s="312">
        <f>PLANTILLA!E8</f>
        <v>31</v>
      </c>
      <c r="D15" s="312">
        <f ca="1">PLANTILLA!F8</f>
        <v>39</v>
      </c>
      <c r="E15" s="163">
        <f>PLANTILLA!V8</f>
        <v>0</v>
      </c>
      <c r="F15" s="163">
        <f>PLANTILLA!W8</f>
        <v>11</v>
      </c>
      <c r="G15" s="163">
        <f>PLANTILLA!X8</f>
        <v>6.1594444444444418</v>
      </c>
      <c r="H15" s="163">
        <f>PLANTILLA!Y8</f>
        <v>5.98</v>
      </c>
      <c r="I15" s="163">
        <f>PLANTILLA!Z8</f>
        <v>7.7227777777777789</v>
      </c>
      <c r="J15" s="163">
        <f>PLANTILLA!AA8</f>
        <v>4.383333333333332</v>
      </c>
      <c r="K15" s="163">
        <f>PLANTILLA!AB8</f>
        <v>15.349999999999998</v>
      </c>
      <c r="L15" s="363">
        <f>1/8</f>
        <v>0.125</v>
      </c>
      <c r="M15" s="363"/>
      <c r="N15" s="363">
        <f>L15/6</f>
        <v>2.0833333333333332E-2</v>
      </c>
      <c r="O15" s="163">
        <v>0</v>
      </c>
      <c r="P15" s="159">
        <v>0</v>
      </c>
      <c r="Q15" s="159">
        <v>0</v>
      </c>
      <c r="R15" s="159">
        <v>0</v>
      </c>
      <c r="S15" s="159">
        <v>0</v>
      </c>
      <c r="T15" s="159">
        <f>L15*(0.19*0.341+0.25*0.253+0.25*0.127)/(0.19+0.25)</f>
        <v>4.5394886363636359E-2</v>
      </c>
      <c r="U15" s="159">
        <f>L15*(0.19*0.241+0.25*0.315)/(0.19+0.25)</f>
        <v>3.5380681818181818E-2</v>
      </c>
      <c r="V15" s="159">
        <f>L15*(0.19*0.121+0.25*0.244)/(0.19+0.25)</f>
        <v>2.3860795454545454E-2</v>
      </c>
      <c r="W15" s="159">
        <f>L15*(0.19*0.543+0.25*0.324)/(0.19+0.25)</f>
        <v>5.232102272727273E-2</v>
      </c>
      <c r="X15" s="159">
        <f>L15*(0.19*0.369+0.25*0.142)/(0.19+0.25)</f>
        <v>3.0002840909090913E-2</v>
      </c>
      <c r="Y15" s="438">
        <v>0</v>
      </c>
      <c r="Z15" s="438">
        <v>0</v>
      </c>
      <c r="AA15" s="438">
        <f>MAX(Z15,Y15)</f>
        <v>0</v>
      </c>
    </row>
    <row r="16" spans="1:34" x14ac:dyDescent="0.25">
      <c r="A16" s="312" t="str">
        <f>PLANTILLA!A9</f>
        <v>#2</v>
      </c>
      <c r="B16" s="760" t="str">
        <f>PLANTILLA!D9</f>
        <v>E. Toney</v>
      </c>
      <c r="C16" s="312">
        <f>PLANTILLA!E9</f>
        <v>30</v>
      </c>
      <c r="D16" s="312">
        <f ca="1">PLANTILLA!F9</f>
        <v>105</v>
      </c>
      <c r="E16" s="163">
        <f>PLANTILLA!V9</f>
        <v>0</v>
      </c>
      <c r="F16" s="163">
        <f>PLANTILLA!W9</f>
        <v>12.060000000000004</v>
      </c>
      <c r="G16" s="163">
        <f>PLANTILLA!X9</f>
        <v>13.020999999999999</v>
      </c>
      <c r="H16" s="163">
        <f>PLANTILLA!Y9</f>
        <v>9.7100000000000062</v>
      </c>
      <c r="I16" s="163">
        <f>PLANTILLA!Z9</f>
        <v>9.6</v>
      </c>
      <c r="J16" s="163">
        <f>PLANTILLA!AA9</f>
        <v>3.6816666666666658</v>
      </c>
      <c r="K16" s="163">
        <f>PLANTILLA!AB9</f>
        <v>16.627777777777773</v>
      </c>
      <c r="L16" s="363">
        <f>1/11</f>
        <v>9.0909090909090912E-2</v>
      </c>
      <c r="M16" s="363"/>
      <c r="N16" s="363">
        <f>L16/6</f>
        <v>1.5151515151515152E-2</v>
      </c>
      <c r="O16" s="163">
        <v>0</v>
      </c>
      <c r="P16" s="159">
        <v>0</v>
      </c>
      <c r="Q16" s="159">
        <v>0</v>
      </c>
      <c r="R16" s="159">
        <v>0</v>
      </c>
      <c r="S16" s="159">
        <v>0</v>
      </c>
      <c r="T16" s="159">
        <f>L16*(0.19*0.341+0.25*0.253+0.25*0.127)/(0.19+0.25)</f>
        <v>3.3014462809917357E-2</v>
      </c>
      <c r="U16" s="159">
        <f>L16*(0.19*0.241+0.25*0.315)/(0.19+0.25)</f>
        <v>2.5731404958677685E-2</v>
      </c>
      <c r="V16" s="159">
        <f>L16*(0.19*0.121+0.25*0.244)/(0.19+0.25)</f>
        <v>1.7353305785123965E-2</v>
      </c>
      <c r="W16" s="159">
        <f>L16*(0.19*0.543+0.25*0.324)/(0.19+0.25)</f>
        <v>3.8051652892561988E-2</v>
      </c>
      <c r="X16" s="159">
        <f>L16*(0.19*0.369+0.25*0.142)/(0.19+0.25)</f>
        <v>2.1820247933884301E-2</v>
      </c>
      <c r="Y16" s="438">
        <f>S16</f>
        <v>0</v>
      </c>
      <c r="Z16" s="438">
        <f>S16</f>
        <v>0</v>
      </c>
      <c r="AA16" s="438">
        <f>MAX(Z16,Y16)</f>
        <v>0</v>
      </c>
    </row>
    <row r="17" spans="1:27" x14ac:dyDescent="0.25">
      <c r="A17" s="312" t="str">
        <f>PLANTILLA!A17</f>
        <v>#12</v>
      </c>
      <c r="B17" s="760" t="str">
        <f>PLANTILLA!D17</f>
        <v>E. Gross</v>
      </c>
      <c r="C17" s="312">
        <f>PLANTILLA!E17</f>
        <v>30</v>
      </c>
      <c r="D17" s="312">
        <f ca="1">PLANTILLA!F17</f>
        <v>54</v>
      </c>
      <c r="E17" s="163">
        <f>PLANTILLA!V17</f>
        <v>0</v>
      </c>
      <c r="F17" s="163">
        <f>PLANTILLA!W17</f>
        <v>10.349999999999996</v>
      </c>
      <c r="G17" s="163">
        <f>PLANTILLA!X17</f>
        <v>12.749777777777778</v>
      </c>
      <c r="H17" s="163">
        <f>PLANTILLA!Y17</f>
        <v>5.1199999999999983</v>
      </c>
      <c r="I17" s="163">
        <f>PLANTILLA!Z17</f>
        <v>9.24</v>
      </c>
      <c r="J17" s="163">
        <f>PLANTILLA!AA17</f>
        <v>2.98</v>
      </c>
      <c r="K17" s="163">
        <f>PLANTILLA!AB17</f>
        <v>16.959999999999997</v>
      </c>
      <c r="L17" s="363">
        <f>1/10</f>
        <v>0.1</v>
      </c>
      <c r="M17" s="363"/>
      <c r="N17" s="363">
        <f>L17/6</f>
        <v>1.6666666666666666E-2</v>
      </c>
      <c r="O17" s="163">
        <v>0</v>
      </c>
      <c r="P17" s="159">
        <v>0</v>
      </c>
      <c r="Q17" s="159">
        <v>0</v>
      </c>
      <c r="R17" s="159">
        <v>0</v>
      </c>
      <c r="S17" s="159">
        <v>0</v>
      </c>
      <c r="T17" s="159">
        <f>L17*(0.19*0.341+0.25*0.253+0.25*0.127)/(0.19+0.25)</f>
        <v>3.6315909090909093E-2</v>
      </c>
      <c r="U17" s="159">
        <f>L17*(0.19*0.241+0.25*0.315)/(0.19+0.25)</f>
        <v>2.8304545454545454E-2</v>
      </c>
      <c r="V17" s="159">
        <f>L17*(0.19*0.121+0.25*0.244)/(0.19+0.25)</f>
        <v>1.9088636363636363E-2</v>
      </c>
      <c r="W17" s="159">
        <f>L17*(0.19*0.543+0.25*0.25)/(0.19+0.25)</f>
        <v>3.7652272727272729E-2</v>
      </c>
      <c r="X17" s="159">
        <f>L17*(0.19*0.369+0.25*0.142)/(0.19+0.25)</f>
        <v>2.400227272727273E-2</v>
      </c>
      <c r="Y17" s="438">
        <v>0</v>
      </c>
      <c r="Z17" s="438">
        <v>0</v>
      </c>
      <c r="AA17" s="438">
        <f>MAX(Z17,Y17)</f>
        <v>0</v>
      </c>
    </row>
    <row r="18" spans="1:27" x14ac:dyDescent="0.25">
      <c r="A18" s="312" t="str">
        <f>PLANTILLA!A10</f>
        <v>#3</v>
      </c>
      <c r="B18" s="760" t="str">
        <f>PLANTILLA!D10</f>
        <v>B. Bartolache</v>
      </c>
      <c r="C18" s="312">
        <f>PLANTILLA!E10</f>
        <v>30</v>
      </c>
      <c r="D18" s="312">
        <f ca="1">PLANTILLA!F10</f>
        <v>90</v>
      </c>
      <c r="E18" s="163">
        <f>PLANTILLA!V10</f>
        <v>0</v>
      </c>
      <c r="F18" s="163">
        <f>PLANTILLA!W10</f>
        <v>11.649999999999997</v>
      </c>
      <c r="G18" s="163">
        <f>PLANTILLA!X10</f>
        <v>6.6275000000000022</v>
      </c>
      <c r="H18" s="163">
        <f>PLANTILLA!Y10</f>
        <v>7.3600000000000012</v>
      </c>
      <c r="I18" s="163">
        <f>PLANTILLA!Z10</f>
        <v>9.0199999999999978</v>
      </c>
      <c r="J18" s="163">
        <f>PLANTILLA!AA10</f>
        <v>4.6199999999999966</v>
      </c>
      <c r="K18" s="163">
        <f>PLANTILLA!AB10</f>
        <v>15.6</v>
      </c>
      <c r="L18" s="363">
        <f>1/10</f>
        <v>0.1</v>
      </c>
      <c r="M18" s="363"/>
      <c r="N18" s="363">
        <f>L18/6</f>
        <v>1.6666666666666666E-2</v>
      </c>
      <c r="O18" s="163">
        <v>0</v>
      </c>
      <c r="P18" s="159">
        <v>0</v>
      </c>
      <c r="Q18" s="159">
        <v>0</v>
      </c>
      <c r="R18" s="159">
        <v>0</v>
      </c>
      <c r="S18" s="159">
        <v>0</v>
      </c>
      <c r="T18" s="159">
        <f>L18*(0.19*0.341+0.25*0.253+0.25*0.127)/(0.19+0.25)</f>
        <v>3.6315909090909093E-2</v>
      </c>
      <c r="U18" s="159">
        <f>L18*(0.19*0.241+0.25*0.315)/(0.19+0.25)</f>
        <v>2.8304545454545454E-2</v>
      </c>
      <c r="V18" s="159">
        <f>L18*(0.19*0.121+0.25*0.244)/(0.19+0.25)</f>
        <v>1.9088636363636363E-2</v>
      </c>
      <c r="W18" s="159">
        <f>L18*(0.19*0.543+0.25*0.324)/(0.19+0.25)</f>
        <v>4.1856818181818183E-2</v>
      </c>
      <c r="X18" s="159">
        <f>L18*(0.19*0.369+0.25*0.142)/(0.19+0.25)</f>
        <v>2.400227272727273E-2</v>
      </c>
      <c r="Y18" s="438"/>
      <c r="Z18" s="438">
        <f>S18</f>
        <v>0</v>
      </c>
      <c r="AA18" s="438">
        <f>MAX(Z18,Y18)</f>
        <v>0</v>
      </c>
    </row>
    <row r="19" spans="1:27" x14ac:dyDescent="0.25">
      <c r="A19" s="312" t="str">
        <f>PLANTILLA!A6</f>
        <v>#16</v>
      </c>
      <c r="B19" s="312" t="str">
        <f>PLANTILLA!D6</f>
        <v>T. Hammond</v>
      </c>
      <c r="C19" s="312">
        <f>PLANTILLA!E6</f>
        <v>33</v>
      </c>
      <c r="D19" s="312">
        <f ca="1">PLANTILLA!F6</f>
        <v>103</v>
      </c>
      <c r="E19" s="163">
        <f>PLANTILLA!V6</f>
        <v>10.3</v>
      </c>
      <c r="F19" s="163">
        <f>PLANTILLA!W6</f>
        <v>10.794999999999998</v>
      </c>
      <c r="G19" s="163">
        <f>PLANTILLA!X6</f>
        <v>4.6100000000000012</v>
      </c>
      <c r="H19" s="163">
        <f>PLANTILLA!Y6</f>
        <v>4.99</v>
      </c>
      <c r="I19" s="163">
        <f>PLANTILLA!Z6</f>
        <v>6.5444444444444434</v>
      </c>
      <c r="J19" s="163">
        <f>PLANTILLA!AA6</f>
        <v>3.99</v>
      </c>
      <c r="K19" s="163">
        <f>PLANTILLA!AB6</f>
        <v>15.778888888888888</v>
      </c>
      <c r="L19" s="363"/>
      <c r="M19" s="363"/>
      <c r="N19" s="363">
        <f>L19/6</f>
        <v>0</v>
      </c>
      <c r="O19" s="163">
        <v>0</v>
      </c>
      <c r="P19" s="159">
        <v>0</v>
      </c>
      <c r="Q19" s="159">
        <v>0</v>
      </c>
      <c r="R19" s="159">
        <v>0</v>
      </c>
      <c r="S19" s="159">
        <v>0</v>
      </c>
      <c r="T19" s="159">
        <f>L19*(0.19*0.341+0.25*0.253+0.25*0.127)/(0.19+0.25)</f>
        <v>0</v>
      </c>
      <c r="U19" s="159">
        <f>L19*(0.19*0.241+0.25*0.315)/(0.19+0.25)</f>
        <v>0</v>
      </c>
      <c r="V19" s="159">
        <f>L19*(0.19*0.121+0.25*0.244)/(0.19+0.25)</f>
        <v>0</v>
      </c>
      <c r="W19" s="159">
        <f>L19*(0.19*0.543+0.25*0.25)/(0.19+0.25)</f>
        <v>0</v>
      </c>
      <c r="X19" s="159">
        <f>L19*(0.19*0.369+0.25*0.142)/(0.19+0.25)</f>
        <v>0</v>
      </c>
      <c r="Y19" s="438"/>
      <c r="Z19" s="438"/>
      <c r="AA19" s="438">
        <f>MAX(Z19,Y19)</f>
        <v>0</v>
      </c>
    </row>
    <row r="20" spans="1:27" x14ac:dyDescent="0.25">
      <c r="A20" s="312" t="str">
        <f>PLANTILLA!A11</f>
        <v>#13</v>
      </c>
      <c r="B20" s="760" t="str">
        <f>PLANTILLA!D11</f>
        <v>F. Lasprilla</v>
      </c>
      <c r="C20" s="312">
        <f>PLANTILLA!E11</f>
        <v>27</v>
      </c>
      <c r="D20" s="312">
        <f ca="1">PLANTILLA!F11</f>
        <v>1</v>
      </c>
      <c r="E20" s="163">
        <f>PLANTILLA!V11</f>
        <v>0</v>
      </c>
      <c r="F20" s="163">
        <f>PLANTILLA!W11</f>
        <v>9.5796666666666663</v>
      </c>
      <c r="G20" s="163">
        <f>PLANTILLA!X11</f>
        <v>7.7107222222222234</v>
      </c>
      <c r="H20" s="163">
        <f>PLANTILLA!Y11</f>
        <v>6.129999999999999</v>
      </c>
      <c r="I20" s="163">
        <f>PLANTILLA!Z11</f>
        <v>8.8633333333333315</v>
      </c>
      <c r="J20" s="163">
        <f>PLANTILLA!AA11</f>
        <v>3.2566666666666673</v>
      </c>
      <c r="K20" s="163">
        <f>PLANTILLA!AB11</f>
        <v>13.238888888888889</v>
      </c>
      <c r="L20" s="363"/>
      <c r="M20" s="363"/>
      <c r="N20" s="363">
        <f>L20/6</f>
        <v>0</v>
      </c>
      <c r="O20" s="163">
        <v>0</v>
      </c>
      <c r="P20" s="159">
        <v>0</v>
      </c>
      <c r="Q20" s="159">
        <v>0</v>
      </c>
      <c r="R20" s="159">
        <v>0</v>
      </c>
      <c r="S20" s="159">
        <v>0</v>
      </c>
      <c r="T20" s="159">
        <f>L20*(0.19*0.341+0.25*0.253+0.25*0.127)/(0.19+0.25)</f>
        <v>0</v>
      </c>
      <c r="U20" s="159">
        <f>L20*(0.19*0.241+0.25*0.315)/(0.19+0.25)</f>
        <v>0</v>
      </c>
      <c r="V20" s="159">
        <f>L20*(0.19*0.121+0.25*0.244)/(0.19+0.25)</f>
        <v>0</v>
      </c>
      <c r="W20" s="159">
        <f>L20*(0.19*0.543+0.25*0.25)/(0.19+0.25)</f>
        <v>0</v>
      </c>
      <c r="X20" s="159">
        <f>L20*(0.19*0.369+0.25*0.142)/(0.19+0.25)</f>
        <v>0</v>
      </c>
      <c r="Y20" s="438"/>
      <c r="Z20" s="438"/>
      <c r="AA20" s="438">
        <f>MAX(Z20,Y20)</f>
        <v>0</v>
      </c>
    </row>
    <row r="21" spans="1:27" x14ac:dyDescent="0.25">
      <c r="A21" s="312" t="str">
        <f>PLANTILLA!A19</f>
        <v>#14</v>
      </c>
      <c r="B21" s="312" t="str">
        <f>PLANTILLA!D19</f>
        <v>W. Gelifini</v>
      </c>
      <c r="C21" s="312">
        <f>PLANTILLA!E19</f>
        <v>28</v>
      </c>
      <c r="D21" s="312">
        <f ca="1">PLANTILLA!F19</f>
        <v>91</v>
      </c>
      <c r="E21" s="163">
        <f>PLANTILLA!V19</f>
        <v>0</v>
      </c>
      <c r="F21" s="163">
        <f>PLANTILLA!W19</f>
        <v>5.6315555555555523</v>
      </c>
      <c r="G21" s="163">
        <f>PLANTILLA!X19</f>
        <v>9.8263388888888876</v>
      </c>
      <c r="H21" s="163">
        <f>PLANTILLA!Y19</f>
        <v>7.0526666666666671</v>
      </c>
      <c r="I21" s="163">
        <f>PLANTILLA!Z19</f>
        <v>9.2666666666666639</v>
      </c>
      <c r="J21" s="163">
        <f>PLANTILLA!AA19</f>
        <v>3.5417777777777766</v>
      </c>
      <c r="K21" s="163">
        <f>PLANTILLA!AB19</f>
        <v>12.450000000000001</v>
      </c>
      <c r="L21" s="363"/>
      <c r="M21" s="363"/>
      <c r="N21" s="363">
        <f>L21/6</f>
        <v>0</v>
      </c>
      <c r="O21" s="163">
        <v>0</v>
      </c>
      <c r="P21" s="159">
        <v>0</v>
      </c>
      <c r="Q21" s="159">
        <v>0</v>
      </c>
      <c r="R21" s="159">
        <v>0</v>
      </c>
      <c r="S21" s="159">
        <v>0</v>
      </c>
      <c r="T21" s="159">
        <f>L21*(0.19*0.341+0.25*0.253+0.25*0.127)/(0.19+0.25)</f>
        <v>0</v>
      </c>
      <c r="U21" s="159">
        <f>L21*(0.19*0.241+0.25*0.315)/(0.19+0.25)</f>
        <v>0</v>
      </c>
      <c r="V21" s="159">
        <f>L21*(0.19*0.121+0.25*0.244)/(0.19+0.25)</f>
        <v>0</v>
      </c>
      <c r="W21" s="159">
        <f>L21*(0.19*0.543+0.25*0.25)/(0.19+0.25)</f>
        <v>0</v>
      </c>
      <c r="X21" s="159">
        <f>L21*(0.19*0.369+0.25*0.142)/(0.19+0.25)</f>
        <v>0</v>
      </c>
      <c r="Y21" s="438"/>
      <c r="Z21" s="438"/>
      <c r="AA21" s="438">
        <f>MAX(Z21,Y21)</f>
        <v>0</v>
      </c>
    </row>
    <row r="22" spans="1:27" x14ac:dyDescent="0.25">
      <c r="A22" s="312" t="str">
        <f>PLANTILLA!A20</f>
        <v>#89</v>
      </c>
      <c r="B22" s="312" t="str">
        <f>PLANTILLA!D20</f>
        <v>M. Amico</v>
      </c>
      <c r="C22" s="312">
        <f>PLANTILLA!E20</f>
        <v>28</v>
      </c>
      <c r="D22" s="312">
        <f ca="1">PLANTILLA!F20</f>
        <v>98</v>
      </c>
      <c r="E22" s="163">
        <f>PLANTILLA!V20</f>
        <v>0</v>
      </c>
      <c r="F22" s="163">
        <f>PLANTILLA!W20</f>
        <v>2.47611111111111</v>
      </c>
      <c r="G22" s="163">
        <f>PLANTILLA!X20</f>
        <v>7.2899999999999983</v>
      </c>
      <c r="H22" s="163">
        <f>PLANTILLA!Y20</f>
        <v>4.1588235294117641</v>
      </c>
      <c r="I22" s="163">
        <f>PLANTILLA!Z20</f>
        <v>7.2649999999999988</v>
      </c>
      <c r="J22" s="163">
        <f>PLANTILLA!AA20</f>
        <v>4.3299999999999983</v>
      </c>
      <c r="K22" s="163">
        <f>PLANTILLA!AB20</f>
        <v>9.5</v>
      </c>
      <c r="L22" s="363"/>
      <c r="M22" s="363"/>
      <c r="N22" s="363"/>
      <c r="O22" s="363"/>
      <c r="P22" s="159"/>
      <c r="Q22" s="159"/>
      <c r="R22" s="159"/>
      <c r="S22" s="159"/>
      <c r="T22" s="159"/>
      <c r="U22" s="159"/>
      <c r="V22" s="159"/>
      <c r="W22" s="159"/>
      <c r="X22" s="159"/>
      <c r="Y22" s="438"/>
      <c r="Z22" s="438"/>
      <c r="AA22" s="438">
        <f>MAX(Z22,Y22)</f>
        <v>0</v>
      </c>
    </row>
    <row r="26" spans="1:27" x14ac:dyDescent="0.25">
      <c r="B26" s="317"/>
    </row>
  </sheetData>
  <sortState ref="A4:AA22">
    <sortCondition descending="1" ref="AA4:AA22"/>
    <sortCondition descending="1" ref="Y4:Y22"/>
    <sortCondition descending="1" ref="Z4:Z22"/>
  </sortState>
  <conditionalFormatting sqref="L4:X22">
    <cfRule type="colorScale" priority="2965">
      <colorScale>
        <cfvo type="min"/>
        <cfvo type="max"/>
        <color rgb="FFFFEF9C"/>
        <color rgb="FF63BE7B"/>
      </colorScale>
    </cfRule>
  </conditionalFormatting>
  <conditionalFormatting sqref="Y4:Y22">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2">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2">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Y4:Y22</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6" sqref="B6"/>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1002</v>
      </c>
      <c r="AD1" t="s">
        <v>1003</v>
      </c>
      <c r="AG1" t="s">
        <v>1004</v>
      </c>
    </row>
    <row r="2" spans="1:34" x14ac:dyDescent="0.25">
      <c r="B2" s="317">
        <v>43060</v>
      </c>
      <c r="Y2" s="652">
        <f>SUM(Y4:Y22)</f>
        <v>0.34336805555555555</v>
      </c>
      <c r="Z2" s="652">
        <f>SUM(Z4:Z22)</f>
        <v>0.46509532828282829</v>
      </c>
      <c r="AA2" s="652"/>
      <c r="AD2" s="526" t="s">
        <v>316</v>
      </c>
      <c r="AE2" s="526" t="s">
        <v>182</v>
      </c>
      <c r="AG2" s="526" t="s">
        <v>316</v>
      </c>
      <c r="AH2" s="526" t="s">
        <v>182</v>
      </c>
    </row>
    <row r="3" spans="1:34" x14ac:dyDescent="0.25">
      <c r="A3" s="326" t="s">
        <v>1056</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1007</v>
      </c>
      <c r="O3" s="647" t="s">
        <v>1</v>
      </c>
      <c r="P3" s="647" t="s">
        <v>970</v>
      </c>
      <c r="Q3" s="646" t="s">
        <v>1000</v>
      </c>
      <c r="R3" s="646" t="s">
        <v>1006</v>
      </c>
      <c r="S3" s="646" t="s">
        <v>1001</v>
      </c>
      <c r="T3" s="646" t="s">
        <v>971</v>
      </c>
      <c r="U3" s="646" t="s">
        <v>596</v>
      </c>
      <c r="V3" s="646" t="s">
        <v>1005</v>
      </c>
      <c r="W3" s="647" t="s">
        <v>738</v>
      </c>
      <c r="X3" s="647" t="s">
        <v>67</v>
      </c>
      <c r="Y3" s="649" t="s">
        <v>1003</v>
      </c>
      <c r="Z3" s="649" t="s">
        <v>1004</v>
      </c>
      <c r="AA3" s="649" t="s">
        <v>1009</v>
      </c>
      <c r="AD3" t="s">
        <v>1</v>
      </c>
      <c r="AE3" t="s">
        <v>930</v>
      </c>
      <c r="AG3" t="s">
        <v>1</v>
      </c>
      <c r="AH3" t="s">
        <v>930</v>
      </c>
    </row>
    <row r="4" spans="1:34" x14ac:dyDescent="0.25">
      <c r="A4" s="312" t="str">
        <f>PLANTILLA!A8</f>
        <v>#8</v>
      </c>
      <c r="B4" s="760" t="str">
        <f>PLANTILLA!D8</f>
        <v>D. Toh</v>
      </c>
      <c r="C4" s="312">
        <f>PLANTILLA!E8</f>
        <v>31</v>
      </c>
      <c r="D4" s="312">
        <f ca="1">PLANTILLA!F8</f>
        <v>39</v>
      </c>
      <c r="E4" s="163">
        <f>PLANTILLA!V8</f>
        <v>0</v>
      </c>
      <c r="F4" s="163">
        <f>PLANTILLA!W8</f>
        <v>11</v>
      </c>
      <c r="G4" s="163">
        <f>PLANTILLA!X8</f>
        <v>6.1594444444444418</v>
      </c>
      <c r="H4" s="163">
        <f>PLANTILLA!Y8</f>
        <v>5.98</v>
      </c>
      <c r="I4" s="163">
        <f>PLANTILLA!Z8</f>
        <v>7.7227777777777789</v>
      </c>
      <c r="J4" s="163">
        <f>PLANTILLA!AA8</f>
        <v>4.383333333333332</v>
      </c>
      <c r="K4" s="163">
        <f>PLANTILLA!AB8</f>
        <v>15.349999999999998</v>
      </c>
      <c r="L4" s="363">
        <f>1/4</f>
        <v>0.25</v>
      </c>
      <c r="M4" s="363">
        <f>L4/2</f>
        <v>0.125</v>
      </c>
      <c r="N4" s="363">
        <f>L4/8</f>
        <v>3.125E-2</v>
      </c>
      <c r="O4" s="163">
        <v>0</v>
      </c>
      <c r="P4" s="159">
        <v>0</v>
      </c>
      <c r="Q4" s="159">
        <v>0</v>
      </c>
      <c r="R4" s="159">
        <f>L4*0.286</f>
        <v>7.1499999999999994E-2</v>
      </c>
      <c r="S4" s="159">
        <f>L4*(0.588*0.25+0.19*0)/(0.25+0.19)</f>
        <v>8.3522727272727262E-2</v>
      </c>
      <c r="T4" s="159">
        <v>0</v>
      </c>
      <c r="U4" s="159">
        <f>L4*(0.574*0.25+0.19*0)/(0.25+0.19)</f>
        <v>8.1534090909090903E-2</v>
      </c>
      <c r="V4" s="159">
        <f>L4*(0.864*0.25+0.19*0)/(0.25+0.19)</f>
        <v>0.12272727272727273</v>
      </c>
      <c r="W4" s="159">
        <f>L4*(0.144*0.25+0.19*0)/(0.25+0.19)</f>
        <v>2.0454545454545454E-2</v>
      </c>
      <c r="X4" s="159">
        <f>L4*(0.221*0.25+0.19*0)/(0.25+0.19)</f>
        <v>3.1392045454545457E-2</v>
      </c>
      <c r="Y4" s="438"/>
      <c r="Z4" s="438">
        <f>R4</f>
        <v>7.1499999999999994E-2</v>
      </c>
      <c r="AA4" s="438">
        <f>MAX(Z4,Y4)</f>
        <v>7.1499999999999994E-2</v>
      </c>
      <c r="AD4" t="s">
        <v>969</v>
      </c>
      <c r="AE4" s="668" t="s">
        <v>1022</v>
      </c>
      <c r="AG4" t="s">
        <v>969</v>
      </c>
      <c r="AH4" s="668" t="str">
        <f>AE4</f>
        <v>B. Pinczehelyi</v>
      </c>
    </row>
    <row r="5" spans="1:34" x14ac:dyDescent="0.25">
      <c r="A5" s="312" t="str">
        <f>PLANTILLA!A10</f>
        <v>#3</v>
      </c>
      <c r="B5" s="760" t="str">
        <f>PLANTILLA!D10</f>
        <v>B. Bartolache</v>
      </c>
      <c r="C5" s="312">
        <f>PLANTILLA!E10</f>
        <v>30</v>
      </c>
      <c r="D5" s="312">
        <f ca="1">PLANTILLA!F10</f>
        <v>90</v>
      </c>
      <c r="E5" s="163">
        <f>PLANTILLA!V10</f>
        <v>0</v>
      </c>
      <c r="F5" s="163">
        <f>PLANTILLA!W10</f>
        <v>11.649999999999997</v>
      </c>
      <c r="G5" s="163">
        <f>PLANTILLA!X10</f>
        <v>6.6275000000000022</v>
      </c>
      <c r="H5" s="163">
        <f>PLANTILLA!Y10</f>
        <v>7.3600000000000012</v>
      </c>
      <c r="I5" s="163">
        <f>PLANTILLA!Z10</f>
        <v>9.0199999999999978</v>
      </c>
      <c r="J5" s="163">
        <f>PLANTILLA!AA10</f>
        <v>4.6199999999999966</v>
      </c>
      <c r="K5" s="163">
        <f>PLANTILLA!AB10</f>
        <v>15.6</v>
      </c>
      <c r="L5" s="363">
        <f>1/6</f>
        <v>0.16666666666666666</v>
      </c>
      <c r="M5" s="363">
        <f>L5/2</f>
        <v>8.3333333333333329E-2</v>
      </c>
      <c r="N5" s="363">
        <f>L5/8</f>
        <v>2.0833333333333332E-2</v>
      </c>
      <c r="O5" s="163">
        <v>0</v>
      </c>
      <c r="P5" s="159">
        <v>0</v>
      </c>
      <c r="Q5" s="159">
        <v>0</v>
      </c>
      <c r="R5" s="159">
        <f>L5*0.286</f>
        <v>4.7666666666666663E-2</v>
      </c>
      <c r="S5" s="159">
        <f>L5*(0.588*0.25+0.19*0)/(0.25+0.19)</f>
        <v>5.5681818181818173E-2</v>
      </c>
      <c r="T5" s="159">
        <v>0</v>
      </c>
      <c r="U5" s="159">
        <f>L5*(0.574*0.25+0.19*0)/(0.25+0.19)</f>
        <v>5.4356060606060595E-2</v>
      </c>
      <c r="V5" s="159">
        <f>L5*(0.864*0.25+0.19*0)/(0.25+0.19)</f>
        <v>8.1818181818181818E-2</v>
      </c>
      <c r="W5" s="159">
        <f>L5*(0.144*0.25+0.19*0)/(0.25+0.19)</f>
        <v>1.3636363636363634E-2</v>
      </c>
      <c r="X5" s="159">
        <f>L5*(0.221*0.25+0.19*0)/(0.25+0.19)</f>
        <v>2.0928030303030299E-2</v>
      </c>
      <c r="Y5" s="438"/>
      <c r="Z5" s="438">
        <f>S5</f>
        <v>5.5681818181818173E-2</v>
      </c>
      <c r="AA5" s="438">
        <f>MAX(Z5,Y5)</f>
        <v>5.5681818181818173E-2</v>
      </c>
      <c r="AD5" t="s">
        <v>970</v>
      </c>
      <c r="AE5" t="s">
        <v>312</v>
      </c>
      <c r="AG5" t="s">
        <v>981</v>
      </c>
      <c r="AH5" t="s">
        <v>313</v>
      </c>
    </row>
    <row r="6" spans="1:34" x14ac:dyDescent="0.25">
      <c r="A6" s="312" t="str">
        <f>PLANTILLA!A14</f>
        <v>#10</v>
      </c>
      <c r="B6" s="760" t="str">
        <f>PLANTILLA!D14</f>
        <v>S. Zobbe</v>
      </c>
      <c r="C6" s="312">
        <f>PLANTILLA!E14</f>
        <v>27</v>
      </c>
      <c r="D6" s="312">
        <f ca="1">PLANTILLA!F14</f>
        <v>29</v>
      </c>
      <c r="E6" s="163">
        <f>PLANTILLA!V14</f>
        <v>0</v>
      </c>
      <c r="F6" s="163">
        <f>PLANTILLA!W14</f>
        <v>8.1199999999999992</v>
      </c>
      <c r="G6" s="163">
        <f>PLANTILLA!X14</f>
        <v>11.958412698412697</v>
      </c>
      <c r="H6" s="163">
        <f>PLANTILLA!Y14</f>
        <v>12.13</v>
      </c>
      <c r="I6" s="163">
        <f>PLANTILLA!Z14</f>
        <v>10.24</v>
      </c>
      <c r="J6" s="163">
        <f>PLANTILLA!AA14</f>
        <v>7.4766666666666666</v>
      </c>
      <c r="K6" s="163">
        <f>PLANTILLA!AB14</f>
        <v>15.270000000000001</v>
      </c>
      <c r="L6" s="363">
        <f>1/9</f>
        <v>0.1111111111111111</v>
      </c>
      <c r="M6" s="363">
        <f>L6/2</f>
        <v>5.5555555555555552E-2</v>
      </c>
      <c r="N6" s="363">
        <f>L6/8</f>
        <v>1.3888888888888888E-2</v>
      </c>
      <c r="O6" s="163">
        <v>0</v>
      </c>
      <c r="P6" s="159">
        <v>0</v>
      </c>
      <c r="Q6" s="159">
        <v>0</v>
      </c>
      <c r="R6" s="159">
        <f>L6*0.286</f>
        <v>3.1777777777777773E-2</v>
      </c>
      <c r="S6" s="159">
        <f>L6*(0.588*0.25+0.19*0)/(0.25+0.19)</f>
        <v>3.7121212121212117E-2</v>
      </c>
      <c r="T6" s="159">
        <v>0</v>
      </c>
      <c r="U6" s="159">
        <f>L6*(0.574*0.25+0.19*0)/(0.25+0.19)</f>
        <v>3.6237373737373728E-2</v>
      </c>
      <c r="V6" s="159">
        <f>L6*(0.864*0.25+0.19*0)/(0.25+0.19)</f>
        <v>5.4545454545454536E-2</v>
      </c>
      <c r="W6" s="159">
        <f>L6*(0.144*0.25+0.19*0)/(0.25+0.19)</f>
        <v>9.0909090909090887E-3</v>
      </c>
      <c r="X6" s="159">
        <f>L6*(0.221*0.25+0.19*0)/(0.25+0.19)</f>
        <v>1.39520202020202E-2</v>
      </c>
      <c r="Y6" s="438">
        <f>V6</f>
        <v>5.4545454545454536E-2</v>
      </c>
      <c r="Z6" s="438">
        <f>V6</f>
        <v>5.4545454545454536E-2</v>
      </c>
      <c r="AA6" s="438">
        <f>MAX(Z6,Y6)</f>
        <v>5.4545454545454536E-2</v>
      </c>
      <c r="AD6" t="s">
        <v>969</v>
      </c>
      <c r="AE6" t="s">
        <v>309</v>
      </c>
      <c r="AG6" t="s">
        <v>980</v>
      </c>
      <c r="AH6" t="s">
        <v>309</v>
      </c>
    </row>
    <row r="7" spans="1:34" x14ac:dyDescent="0.25">
      <c r="A7" s="312" t="str">
        <f>PLANTILLA!A9</f>
        <v>#2</v>
      </c>
      <c r="B7" s="760" t="str">
        <f>PLANTILLA!D9</f>
        <v>E. Toney</v>
      </c>
      <c r="C7" s="312">
        <f>PLANTILLA!E9</f>
        <v>30</v>
      </c>
      <c r="D7" s="312">
        <f ca="1">PLANTILLA!F9</f>
        <v>105</v>
      </c>
      <c r="E7" s="163">
        <f>PLANTILLA!V9</f>
        <v>0</v>
      </c>
      <c r="F7" s="163">
        <f>PLANTILLA!W9</f>
        <v>12.060000000000004</v>
      </c>
      <c r="G7" s="163">
        <f>PLANTILLA!X9</f>
        <v>13.020999999999999</v>
      </c>
      <c r="H7" s="163">
        <f>PLANTILLA!Y9</f>
        <v>9.7100000000000062</v>
      </c>
      <c r="I7" s="163">
        <f>PLANTILLA!Z9</f>
        <v>9.6</v>
      </c>
      <c r="J7" s="163">
        <f>PLANTILLA!AA9</f>
        <v>3.6816666666666658</v>
      </c>
      <c r="K7" s="163">
        <f>PLANTILLA!AB9</f>
        <v>16.627777777777773</v>
      </c>
      <c r="L7" s="363">
        <f>1/7</f>
        <v>0.14285714285714285</v>
      </c>
      <c r="M7" s="363">
        <f>L7/2</f>
        <v>7.1428571428571425E-2</v>
      </c>
      <c r="N7" s="363">
        <f>L7/8</f>
        <v>1.7857142857142856E-2</v>
      </c>
      <c r="O7" s="163">
        <v>0</v>
      </c>
      <c r="P7" s="159">
        <v>0</v>
      </c>
      <c r="Q7" s="159">
        <v>0</v>
      </c>
      <c r="R7" s="159">
        <f>L7*0.286</f>
        <v>4.0857142857142849E-2</v>
      </c>
      <c r="S7" s="159">
        <f>L7*(0.588*0.25+0.19*0)/(0.25+0.19)</f>
        <v>4.7727272727272722E-2</v>
      </c>
      <c r="T7" s="159">
        <v>0</v>
      </c>
      <c r="U7" s="159">
        <f>L7*(0.574*0.25+0.19*0)/(0.25+0.19)</f>
        <v>4.6590909090909086E-2</v>
      </c>
      <c r="V7" s="159">
        <f>L7*(0.864*0.25+0.19*0)/(0.25+0.19)</f>
        <v>7.0129870129870125E-2</v>
      </c>
      <c r="W7" s="159">
        <f>L7*(0.144*0.25+0.19*0)/(0.25+0.19)</f>
        <v>1.1688311688311687E-2</v>
      </c>
      <c r="X7" s="159">
        <f>L7*(0.221*0.25+0.19*0)/(0.25+0.19)</f>
        <v>1.7938311688311687E-2</v>
      </c>
      <c r="Y7" s="438">
        <f>S7</f>
        <v>4.7727272727272722E-2</v>
      </c>
      <c r="Z7" s="438">
        <f>S7</f>
        <v>4.7727272727272722E-2</v>
      </c>
      <c r="AA7" s="438">
        <f>MAX(Z7,Y7)</f>
        <v>4.7727272727272722E-2</v>
      </c>
      <c r="AD7" t="s">
        <v>596</v>
      </c>
      <c r="AE7" t="s">
        <v>754</v>
      </c>
      <c r="AG7" t="s">
        <v>981</v>
      </c>
      <c r="AH7" t="s">
        <v>315</v>
      </c>
    </row>
    <row r="8" spans="1:34" x14ac:dyDescent="0.25">
      <c r="A8" s="312" t="str">
        <f>PLANTILLA!A12</f>
        <v>#7</v>
      </c>
      <c r="B8" s="761" t="str">
        <f>PLANTILLA!D12</f>
        <v>E. Romweber</v>
      </c>
      <c r="C8" s="312">
        <f>PLANTILLA!E12</f>
        <v>30</v>
      </c>
      <c r="D8" s="312">
        <f ca="1">PLANTILLA!F12</f>
        <v>67</v>
      </c>
      <c r="E8" s="163">
        <f>PLANTILLA!V12</f>
        <v>0</v>
      </c>
      <c r="F8" s="163">
        <f>PLANTILLA!W12</f>
        <v>11.99</v>
      </c>
      <c r="G8" s="163">
        <f>PLANTILLA!X12</f>
        <v>12.399111111111115</v>
      </c>
      <c r="H8" s="163">
        <f>PLANTILLA!Y12</f>
        <v>13.05</v>
      </c>
      <c r="I8" s="163">
        <f>PLANTILLA!Z12</f>
        <v>10.91</v>
      </c>
      <c r="J8" s="163">
        <f>PLANTILLA!AA12</f>
        <v>7.7700000000000005</v>
      </c>
      <c r="K8" s="163">
        <f>PLANTILLA!AB12</f>
        <v>17.13</v>
      </c>
      <c r="L8" s="363">
        <f>1/12</f>
        <v>8.3333333333333329E-2</v>
      </c>
      <c r="M8" s="363">
        <f>L8/2</f>
        <v>4.1666666666666664E-2</v>
      </c>
      <c r="N8" s="363">
        <f>L8/8</f>
        <v>1.0416666666666666E-2</v>
      </c>
      <c r="O8" s="163">
        <v>0</v>
      </c>
      <c r="P8" s="159">
        <v>0</v>
      </c>
      <c r="Q8" s="159">
        <v>0</v>
      </c>
      <c r="R8" s="159">
        <f>L8*0.286</f>
        <v>2.3833333333333331E-2</v>
      </c>
      <c r="S8" s="159">
        <f>L8*(0.588*0.25+0.19*0)/(0.25+0.19)</f>
        <v>2.7840909090909086E-2</v>
      </c>
      <c r="T8" s="159">
        <v>0</v>
      </c>
      <c r="U8" s="159">
        <f>L8*(0.574*0.25+0.19*0)/(0.25+0.19)</f>
        <v>2.7178030303030298E-2</v>
      </c>
      <c r="V8" s="159">
        <f>L8*(0.864*0.25+0.19*0)/(0.25+0.19)</f>
        <v>4.0909090909090909E-2</v>
      </c>
      <c r="W8" s="159">
        <f>L8*(0.144*0.25+0.19*0)/(0.25+0.19)</f>
        <v>6.818181818181817E-3</v>
      </c>
      <c r="X8" s="159">
        <f>L8*(0.221*0.25+0.19*0)/(0.25+0.19)</f>
        <v>1.046401515151515E-2</v>
      </c>
      <c r="Y8" s="438">
        <f>V8</f>
        <v>4.0909090909090909E-2</v>
      </c>
      <c r="Z8" s="438">
        <f>V8</f>
        <v>4.0909090909090909E-2</v>
      </c>
      <c r="AA8" s="438">
        <f>MAX(Z8,Y8)</f>
        <v>4.0909090909090909E-2</v>
      </c>
      <c r="AD8" t="s">
        <v>971</v>
      </c>
      <c r="AE8" t="s">
        <v>440</v>
      </c>
      <c r="AG8" t="s">
        <v>969</v>
      </c>
      <c r="AH8" t="s">
        <v>982</v>
      </c>
    </row>
    <row r="9" spans="1:34" x14ac:dyDescent="0.25">
      <c r="A9" s="312" t="str">
        <f>PLANTILLA!A13</f>
        <v>#11</v>
      </c>
      <c r="B9" s="761" t="str">
        <f>PLANTILLA!D13</f>
        <v>K. Helms</v>
      </c>
      <c r="C9" s="312">
        <f>PLANTILLA!E13</f>
        <v>30</v>
      </c>
      <c r="D9" s="312">
        <f ca="1">PLANTILLA!F13</f>
        <v>14</v>
      </c>
      <c r="E9" s="163">
        <f>PLANTILLA!V13</f>
        <v>0</v>
      </c>
      <c r="F9" s="163">
        <f>PLANTILLA!W13</f>
        <v>7.11</v>
      </c>
      <c r="G9" s="163">
        <f>PLANTILLA!X13</f>
        <v>10.250000000000004</v>
      </c>
      <c r="H9" s="163">
        <f>PLANTILLA!Y13</f>
        <v>13.305</v>
      </c>
      <c r="I9" s="163">
        <f>PLANTILLA!Z13</f>
        <v>10.359999999999998</v>
      </c>
      <c r="J9" s="163">
        <f>PLANTILLA!AA13</f>
        <v>5.4050000000000002</v>
      </c>
      <c r="K9" s="163">
        <f>PLANTILLA!AB13</f>
        <v>17.300000000000004</v>
      </c>
      <c r="L9" s="363">
        <f>1/12</f>
        <v>8.3333333333333329E-2</v>
      </c>
      <c r="M9" s="363">
        <f>L9/2</f>
        <v>4.1666666666666664E-2</v>
      </c>
      <c r="N9" s="363">
        <f>L9/8</f>
        <v>1.0416666666666666E-2</v>
      </c>
      <c r="O9" s="163">
        <v>0</v>
      </c>
      <c r="P9" s="159">
        <v>0</v>
      </c>
      <c r="Q9" s="159">
        <v>0</v>
      </c>
      <c r="R9" s="159">
        <f>L9*0.286</f>
        <v>2.3833333333333331E-2</v>
      </c>
      <c r="S9" s="159">
        <f>L9*(0.588*0.25+0.19*0)/(0.25+0.19)</f>
        <v>2.7840909090909086E-2</v>
      </c>
      <c r="T9" s="159">
        <v>0</v>
      </c>
      <c r="U9" s="159">
        <f>L9*(0.574*0.25+0.19*0)/(0.25+0.19)</f>
        <v>2.7178030303030298E-2</v>
      </c>
      <c r="V9" s="159">
        <f>L9*(0.864*0.25+0.19*0)/(0.25+0.19)</f>
        <v>4.0909090909090909E-2</v>
      </c>
      <c r="W9" s="159">
        <f>L9*(0.144*0.25+0.19*0)/(0.25+0.19)</f>
        <v>6.818181818181817E-3</v>
      </c>
      <c r="X9" s="159">
        <f>L9*(0.221*0.25+0.19*0)/(0.25+0.19)</f>
        <v>1.046401515151515E-2</v>
      </c>
      <c r="Y9" s="438">
        <f>V9</f>
        <v>4.0909090909090909E-2</v>
      </c>
      <c r="Z9" s="438">
        <f>V9</f>
        <v>4.0909090909090909E-2</v>
      </c>
      <c r="AA9" s="438">
        <f>MAX(Z9,Y9)</f>
        <v>4.0909090909090909E-2</v>
      </c>
      <c r="AD9" t="s">
        <v>596</v>
      </c>
      <c r="AE9" t="s">
        <v>325</v>
      </c>
      <c r="AG9" t="s">
        <v>596</v>
      </c>
      <c r="AH9" t="s">
        <v>325</v>
      </c>
    </row>
    <row r="10" spans="1:34" x14ac:dyDescent="0.25">
      <c r="A10" s="312" t="str">
        <f>PLANTILLA!A16</f>
        <v>#4</v>
      </c>
      <c r="B10" s="761" t="str">
        <f>PLANTILLA!D16</f>
        <v>C. Rojas</v>
      </c>
      <c r="C10" s="312">
        <f>PLANTILLA!E16</f>
        <v>31</v>
      </c>
      <c r="D10" s="312">
        <f ca="1">PLANTILLA!F16</f>
        <v>60</v>
      </c>
      <c r="E10" s="163">
        <f>PLANTILLA!V16</f>
        <v>0</v>
      </c>
      <c r="F10" s="163">
        <f>PLANTILLA!W16</f>
        <v>8.6075555555555585</v>
      </c>
      <c r="G10" s="163">
        <f>PLANTILLA!X16</f>
        <v>14.09516031746031</v>
      </c>
      <c r="H10" s="163">
        <f>PLANTILLA!Y16</f>
        <v>9.99</v>
      </c>
      <c r="I10" s="163">
        <f>PLANTILLA!Z16</f>
        <v>10.09</v>
      </c>
      <c r="J10" s="163">
        <f>PLANTILLA!AA16</f>
        <v>4.3999999999999995</v>
      </c>
      <c r="K10" s="163">
        <f>PLANTILLA!AB16</f>
        <v>16.544444444444441</v>
      </c>
      <c r="L10" s="363">
        <f>1/8</f>
        <v>0.125</v>
      </c>
      <c r="M10" s="363">
        <f>L10/2</f>
        <v>6.25E-2</v>
      </c>
      <c r="N10" s="363">
        <f>L10/8</f>
        <v>1.5625E-2</v>
      </c>
      <c r="O10" s="163">
        <v>0</v>
      </c>
      <c r="P10" s="159">
        <v>0</v>
      </c>
      <c r="Q10" s="159">
        <v>0</v>
      </c>
      <c r="R10" s="159">
        <f>L10*0.286</f>
        <v>3.5749999999999997E-2</v>
      </c>
      <c r="S10" s="159">
        <f>L10*(0.588*0.25+0.19*0)/(0.25+0.19)</f>
        <v>4.1761363636363631E-2</v>
      </c>
      <c r="T10" s="159">
        <v>0</v>
      </c>
      <c r="U10" s="159">
        <f>L10*(0.574*0.25+0.19*0)/(0.25+0.19)</f>
        <v>4.0767045454545452E-2</v>
      </c>
      <c r="V10" s="159">
        <f>L10*(0.864*0.25+0.19*0)/(0.25+0.19)</f>
        <v>6.1363636363636363E-2</v>
      </c>
      <c r="W10" s="159">
        <f>L10*(0.144*0.25+0.19*0)/(0.25+0.19)</f>
        <v>1.0227272727272727E-2</v>
      </c>
      <c r="X10" s="159">
        <f>L10*(0.221*0.25+0.19*0)/(0.25+0.19)</f>
        <v>1.5696022727272729E-2</v>
      </c>
      <c r="Y10" s="438">
        <f>U10</f>
        <v>4.0767045454545452E-2</v>
      </c>
      <c r="Z10" s="438">
        <f>U10</f>
        <v>4.0767045454545452E-2</v>
      </c>
      <c r="AA10" s="438">
        <f>MAX(Z10,Y10)</f>
        <v>4.0767045454545452E-2</v>
      </c>
      <c r="AD10" t="s">
        <v>972</v>
      </c>
      <c r="AE10" t="s">
        <v>982</v>
      </c>
      <c r="AG10" t="s">
        <v>596</v>
      </c>
      <c r="AH10" t="s">
        <v>754</v>
      </c>
    </row>
    <row r="11" spans="1:34" x14ac:dyDescent="0.25">
      <c r="A11" s="312" t="str">
        <f>PLANTILLA!A15</f>
        <v>#6</v>
      </c>
      <c r="B11" s="761" t="str">
        <f>PLANTILLA!D15</f>
        <v>S. Buschelman</v>
      </c>
      <c r="C11" s="312">
        <f>PLANTILLA!E15</f>
        <v>29</v>
      </c>
      <c r="D11" s="312">
        <f ca="1">PLANTILLA!F15</f>
        <v>26</v>
      </c>
      <c r="E11" s="163">
        <f>PLANTILLA!V15</f>
        <v>0</v>
      </c>
      <c r="F11" s="163">
        <f>PLANTILLA!W15</f>
        <v>9.1936666666666653</v>
      </c>
      <c r="G11" s="163">
        <f>PLANTILLA!X15</f>
        <v>13.499999999999998</v>
      </c>
      <c r="H11" s="163">
        <f>PLANTILLA!Y15</f>
        <v>12.725000000000001</v>
      </c>
      <c r="I11" s="163">
        <f>PLANTILLA!Z15</f>
        <v>9.6733333333333356</v>
      </c>
      <c r="J11" s="163">
        <f>PLANTILLA!AA15</f>
        <v>5.0296666666666656</v>
      </c>
      <c r="K11" s="163">
        <f>PLANTILLA!AB15</f>
        <v>15.2</v>
      </c>
      <c r="L11" s="363">
        <f>1/9</f>
        <v>0.1111111111111111</v>
      </c>
      <c r="M11" s="363">
        <f>L11/2</f>
        <v>5.5555555555555552E-2</v>
      </c>
      <c r="N11" s="363">
        <f>L11/8</f>
        <v>1.3888888888888888E-2</v>
      </c>
      <c r="O11" s="163">
        <v>0</v>
      </c>
      <c r="P11" s="159">
        <v>0</v>
      </c>
      <c r="Q11" s="159">
        <v>0</v>
      </c>
      <c r="R11" s="159">
        <f>L11*0.286</f>
        <v>3.1777777777777773E-2</v>
      </c>
      <c r="S11" s="159">
        <f>L11*(0.588*0.25+0.19*0)/(0.25+0.19)</f>
        <v>3.7121212121212117E-2</v>
      </c>
      <c r="T11" s="159">
        <v>0</v>
      </c>
      <c r="U11" s="159">
        <f>L11*(0.574*0.25+0.19*0)/(0.25+0.19)</f>
        <v>3.6237373737373728E-2</v>
      </c>
      <c r="V11" s="159">
        <f>L11*(0.864*0.25+0.19*0)/(0.25+0.19)</f>
        <v>5.4545454545454536E-2</v>
      </c>
      <c r="W11" s="159">
        <f>L11*(0.144*0.25+0.19*0)/(0.25+0.19)</f>
        <v>9.0909090909090887E-3</v>
      </c>
      <c r="X11" s="159">
        <f>L11*(0.221*0.25+0.19*0)/(0.25+0.19)</f>
        <v>1.39520202020202E-2</v>
      </c>
      <c r="Y11" s="438">
        <f>U11</f>
        <v>3.6237373737373728E-2</v>
      </c>
      <c r="Z11" s="438">
        <f>U11</f>
        <v>3.6237373737373728E-2</v>
      </c>
      <c r="AA11" s="438">
        <f>MAX(Z11,Y11)</f>
        <v>3.6237373737373728E-2</v>
      </c>
      <c r="AD11" t="s">
        <v>972</v>
      </c>
      <c r="AE11" t="s">
        <v>338</v>
      </c>
      <c r="AG11" t="s">
        <v>972</v>
      </c>
      <c r="AH11" t="s">
        <v>338</v>
      </c>
    </row>
    <row r="12" spans="1:34" x14ac:dyDescent="0.25">
      <c r="A12" s="312" t="str">
        <f>PLANTILLA!A23</f>
        <v>#18</v>
      </c>
      <c r="B12" s="237" t="str">
        <f>PLANTILLA!D23</f>
        <v>L. Calosso</v>
      </c>
      <c r="C12" s="312">
        <f>PLANTILLA!E23</f>
        <v>30</v>
      </c>
      <c r="D12" s="312">
        <f ca="1">PLANTILLA!F23</f>
        <v>23</v>
      </c>
      <c r="E12" s="163">
        <f>PLANTILLA!V23</f>
        <v>0</v>
      </c>
      <c r="F12" s="163">
        <f>PLANTILLA!W23</f>
        <v>2</v>
      </c>
      <c r="G12" s="163">
        <f>PLANTILLA!X23</f>
        <v>14.0938</v>
      </c>
      <c r="H12" s="163">
        <f>PLANTILLA!Y23</f>
        <v>3</v>
      </c>
      <c r="I12" s="163">
        <f>PLANTILLA!Z23</f>
        <v>15.02</v>
      </c>
      <c r="J12" s="163">
        <f>PLANTILLA!AA23</f>
        <v>10</v>
      </c>
      <c r="K12" s="163">
        <f>PLANTILLA!AB23</f>
        <v>9.3000000000000007</v>
      </c>
      <c r="L12" s="363">
        <f>1/3</f>
        <v>0.33333333333333331</v>
      </c>
      <c r="M12" s="363">
        <f>L12/2</f>
        <v>0.16666666666666666</v>
      </c>
      <c r="N12" s="363">
        <f>L12/8</f>
        <v>4.1666666666666664E-2</v>
      </c>
      <c r="O12" s="163">
        <v>0</v>
      </c>
      <c r="P12" s="159">
        <v>0</v>
      </c>
      <c r="Q12" s="159">
        <v>0</v>
      </c>
      <c r="R12" s="159">
        <f>L12*0.286</f>
        <v>9.5333333333333325E-2</v>
      </c>
      <c r="S12" s="159">
        <f>L12*(0.588*0.25+0.19*0)/(0.25+0.19)</f>
        <v>0.11136363636363635</v>
      </c>
      <c r="T12" s="159">
        <v>0</v>
      </c>
      <c r="U12" s="159">
        <f>L12*(0.574*0.25+0.19*0)/(0.25+0.19)</f>
        <v>0.10871212121212119</v>
      </c>
      <c r="V12" s="159">
        <f>L12*(0.864*0.25+0.19*0)/(0.25+0.19)</f>
        <v>0.16363636363636364</v>
      </c>
      <c r="W12" s="159">
        <f>L12*(0.144*0.25+0.19*0)/(0.25+0.19)</f>
        <v>2.7272727272727268E-2</v>
      </c>
      <c r="X12" s="159">
        <f>L12*(0.221*0.25+0.19*0)/(0.25+0.19)</f>
        <v>4.1856060606060598E-2</v>
      </c>
      <c r="Y12" s="438">
        <f>W12</f>
        <v>2.7272727272727268E-2</v>
      </c>
      <c r="Z12" s="438">
        <f>W12</f>
        <v>2.7272727272727268E-2</v>
      </c>
      <c r="AA12" s="438">
        <f>MAX(Z12,Y12)</f>
        <v>2.7272727272727268E-2</v>
      </c>
      <c r="AD12" t="s">
        <v>67</v>
      </c>
      <c r="AE12" t="s">
        <v>327</v>
      </c>
      <c r="AG12" t="s">
        <v>972</v>
      </c>
      <c r="AH12" t="s">
        <v>600</v>
      </c>
    </row>
    <row r="13" spans="1:34" x14ac:dyDescent="0.25">
      <c r="A13" s="312" t="str">
        <f>PLANTILLA!A18</f>
        <v>#5</v>
      </c>
      <c r="B13" s="237" t="str">
        <f>PLANTILLA!D18</f>
        <v>L. Bauman</v>
      </c>
      <c r="C13" s="312">
        <f>PLANTILLA!E18</f>
        <v>30</v>
      </c>
      <c r="D13" s="312">
        <f ca="1">PLANTILLA!F18</f>
        <v>29</v>
      </c>
      <c r="E13" s="163">
        <f>PLANTILLA!V18</f>
        <v>0</v>
      </c>
      <c r="F13" s="163">
        <f>PLANTILLA!W18</f>
        <v>5.2811111111111115</v>
      </c>
      <c r="G13" s="163">
        <f>PLANTILLA!X18</f>
        <v>14.193842857142847</v>
      </c>
      <c r="H13" s="163">
        <f>PLANTILLA!Y18</f>
        <v>3.4924999999999993</v>
      </c>
      <c r="I13" s="163">
        <f>PLANTILLA!Z18</f>
        <v>9.1400000000000041</v>
      </c>
      <c r="J13" s="163">
        <f>PLANTILLA!AA18</f>
        <v>7.4318888888888894</v>
      </c>
      <c r="K13" s="163">
        <f>PLANTILLA!AB18</f>
        <v>16.07</v>
      </c>
      <c r="L13" s="363">
        <f>1/3</f>
        <v>0.33333333333333331</v>
      </c>
      <c r="M13" s="363">
        <f>L13/2</f>
        <v>0.16666666666666666</v>
      </c>
      <c r="N13" s="363">
        <f>L13/8</f>
        <v>4.1666666666666664E-2</v>
      </c>
      <c r="O13" s="163">
        <v>0</v>
      </c>
      <c r="P13" s="159">
        <v>0</v>
      </c>
      <c r="Q13" s="159">
        <v>0</v>
      </c>
      <c r="R13" s="159">
        <f>L13*0.286</f>
        <v>9.5333333333333325E-2</v>
      </c>
      <c r="S13" s="159">
        <f>L13*(0.588*0.25+0.19*0)/(0.25+0.19)</f>
        <v>0.11136363636363635</v>
      </c>
      <c r="T13" s="159">
        <v>0</v>
      </c>
      <c r="U13" s="159">
        <f>L13*(0.574*0.25+0.19*0)/(0.25+0.19)</f>
        <v>0.10871212121212119</v>
      </c>
      <c r="V13" s="159">
        <f>L13*(0.864*0.25+0.19*0)/(0.25+0.19)</f>
        <v>0.16363636363636364</v>
      </c>
      <c r="W13" s="159">
        <f>L13*(0.144*0.25+0.19*0)/(0.25+0.19)</f>
        <v>2.7272727272727268E-2</v>
      </c>
      <c r="X13" s="159">
        <f>L13*(0.221*0.25+0.19*0)/(0.25+0.19)</f>
        <v>4.1856060606060598E-2</v>
      </c>
      <c r="Y13" s="438">
        <f>T13</f>
        <v>0</v>
      </c>
      <c r="Z13" s="438">
        <f>W13</f>
        <v>2.7272727272727268E-2</v>
      </c>
      <c r="AA13" s="438">
        <f>MAX(Z13,Y13)</f>
        <v>2.7272727272727268E-2</v>
      </c>
      <c r="AD13" t="s">
        <v>67</v>
      </c>
      <c r="AE13" t="s">
        <v>600</v>
      </c>
      <c r="AG13" t="s">
        <v>67</v>
      </c>
      <c r="AH13" t="s">
        <v>327</v>
      </c>
    </row>
    <row r="14" spans="1:34" x14ac:dyDescent="0.25">
      <c r="A14" s="312" t="str">
        <f>PLANTILLA!A7</f>
        <v>#17</v>
      </c>
      <c r="B14" s="237" t="str">
        <f>PLANTILLA!D7</f>
        <v>B. Pinczehelyi</v>
      </c>
      <c r="C14" s="312">
        <f>PLANTILLA!E7</f>
        <v>29</v>
      </c>
      <c r="D14" s="312">
        <f ca="1">PLANTILLA!F7</f>
        <v>106</v>
      </c>
      <c r="E14" s="163">
        <f>PLANTILLA!V7</f>
        <v>0</v>
      </c>
      <c r="F14" s="163">
        <f>PLANTILLA!W7</f>
        <v>14.200000000000003</v>
      </c>
      <c r="G14" s="163">
        <f>PLANTILLA!X7</f>
        <v>9.283333333333335</v>
      </c>
      <c r="H14" s="163">
        <f>PLANTILLA!Y7</f>
        <v>14.249999999999996</v>
      </c>
      <c r="I14" s="163">
        <f>PLANTILLA!Z7</f>
        <v>9.4199999999999982</v>
      </c>
      <c r="J14" s="163">
        <f>PLANTILLA!AA7</f>
        <v>1.1428571428571428</v>
      </c>
      <c r="K14" s="163">
        <f>PLANTILLA!AB7</f>
        <v>9.4</v>
      </c>
      <c r="L14" s="363">
        <f>1/15</f>
        <v>6.6666666666666666E-2</v>
      </c>
      <c r="M14" s="363">
        <f>L14/2</f>
        <v>3.3333333333333333E-2</v>
      </c>
      <c r="N14" s="363">
        <f>L14/8</f>
        <v>8.3333333333333332E-3</v>
      </c>
      <c r="O14" s="163">
        <v>0</v>
      </c>
      <c r="P14" s="159">
        <v>0</v>
      </c>
      <c r="Q14" s="159">
        <v>0</v>
      </c>
      <c r="R14" s="159">
        <f>L14*0.286</f>
        <v>1.9066666666666666E-2</v>
      </c>
      <c r="S14" s="159">
        <f>L14*(0.588*0.25+0.19*0)/(0.25+0.19)</f>
        <v>2.227272727272727E-2</v>
      </c>
      <c r="T14" s="159">
        <v>0</v>
      </c>
      <c r="U14" s="159">
        <f>L14*(0.574*0.25+0.19*0)/(0.25+0.19)</f>
        <v>2.174242424242424E-2</v>
      </c>
      <c r="V14" s="159">
        <f>L14*(0.864*0.25+0.19*0)/(0.25+0.19)</f>
        <v>3.2727272727272723E-2</v>
      </c>
      <c r="W14" s="159">
        <f>L14*(0.144*0.25+0.19*0)/(0.25+0.19)</f>
        <v>5.4545454545454541E-3</v>
      </c>
      <c r="X14" s="159">
        <f>L14*(0.221*0.25+0.19*0)/(0.25+0.19)</f>
        <v>8.3712121212121213E-3</v>
      </c>
      <c r="Y14" s="438">
        <f>S14</f>
        <v>2.227272727272727E-2</v>
      </c>
      <c r="Z14" s="438">
        <f>S14</f>
        <v>2.227272727272727E-2</v>
      </c>
      <c r="AA14" s="438">
        <f>MAX(Z14,Y14)</f>
        <v>2.227272727272727E-2</v>
      </c>
    </row>
    <row r="15" spans="1:34" x14ac:dyDescent="0.25">
      <c r="A15" s="312" t="str">
        <f>PLANTILLA!A22</f>
        <v>#9</v>
      </c>
      <c r="B15" s="237" t="str">
        <f>PLANTILLA!D22</f>
        <v>J. Limon</v>
      </c>
      <c r="C15" s="312">
        <f>PLANTILLA!E22</f>
        <v>29</v>
      </c>
      <c r="D15" s="312">
        <f ca="1">PLANTILLA!F22</f>
        <v>66</v>
      </c>
      <c r="E15" s="163">
        <f>PLANTILLA!V22</f>
        <v>0</v>
      </c>
      <c r="F15" s="163">
        <f>PLANTILLA!W22</f>
        <v>6.8176190476190497</v>
      </c>
      <c r="G15" s="163">
        <f>PLANTILLA!X22</f>
        <v>8.3125</v>
      </c>
      <c r="H15" s="163">
        <f>PLANTILLA!Y22</f>
        <v>8.7199999999999971</v>
      </c>
      <c r="I15" s="163">
        <f>PLANTILLA!Z22</f>
        <v>9.6900000000000013</v>
      </c>
      <c r="J15" s="163">
        <f>PLANTILLA!AA22</f>
        <v>8.5625000000000018</v>
      </c>
      <c r="K15" s="163">
        <f>PLANTILLA!AB22</f>
        <v>18.639999999999993</v>
      </c>
      <c r="L15" s="363">
        <f>1/5</f>
        <v>0.2</v>
      </c>
      <c r="M15" s="363">
        <f>L15/2</f>
        <v>0.1</v>
      </c>
      <c r="N15" s="363">
        <f>L15/8</f>
        <v>2.5000000000000001E-2</v>
      </c>
      <c r="O15" s="163">
        <v>0</v>
      </c>
      <c r="P15" s="159">
        <v>0</v>
      </c>
      <c r="Q15" s="159">
        <v>0</v>
      </c>
      <c r="R15" s="159">
        <f>L15*0.286</f>
        <v>5.7200000000000001E-2</v>
      </c>
      <c r="S15" s="159">
        <f>L15*(0.588*0.25+0.19*0)/(0.25+0.19)</f>
        <v>6.6818181818181818E-2</v>
      </c>
      <c r="T15" s="159">
        <v>0</v>
      </c>
      <c r="U15" s="159">
        <f>L15*(0.574*0.25+0.19*0)/(0.25+0.19)</f>
        <v>6.5227272727272731E-2</v>
      </c>
      <c r="V15" s="159">
        <f>L15*(0.864*0.25+0.19*0)/(0.25+0.19)</f>
        <v>9.818181818181819E-2</v>
      </c>
      <c r="W15" s="159">
        <f>L15*(0.144*0.25+0.19*0)/(0.25+0.19)</f>
        <v>1.6363636363636361E-2</v>
      </c>
      <c r="X15" s="159">
        <f>L15*(0.221*0.25+0.19*0)/(0.25+0.19)</f>
        <v>2.5113636363636366E-2</v>
      </c>
      <c r="Y15" s="438">
        <f>W15</f>
        <v>1.6363636363636361E-2</v>
      </c>
      <c r="Z15" s="438"/>
      <c r="AA15" s="438">
        <f>MAX(Z15,Y15)</f>
        <v>1.6363636363636361E-2</v>
      </c>
    </row>
    <row r="16" spans="1:34" x14ac:dyDescent="0.25">
      <c r="A16" s="312" t="str">
        <f>PLANTILLA!A24</f>
        <v>#15</v>
      </c>
      <c r="B16" s="237" t="str">
        <f>PLANTILLA!D24</f>
        <v>P .Trivadi</v>
      </c>
      <c r="C16" s="312">
        <f>PLANTILLA!E24</f>
        <v>26</v>
      </c>
      <c r="D16" s="312">
        <f ca="1">PLANTILLA!F24</f>
        <v>97</v>
      </c>
      <c r="E16" s="163">
        <f>PLANTILLA!V24</f>
        <v>0</v>
      </c>
      <c r="F16" s="163">
        <f>PLANTILLA!W24</f>
        <v>4</v>
      </c>
      <c r="G16" s="163">
        <f>PLANTILLA!X24</f>
        <v>5.5138722222222212</v>
      </c>
      <c r="H16" s="163">
        <f>PLANTILLA!Y24</f>
        <v>5.47</v>
      </c>
      <c r="I16" s="163">
        <f>PLANTILLA!Z24</f>
        <v>10.799999999999999</v>
      </c>
      <c r="J16" s="163">
        <f>PLANTILLA!AA24</f>
        <v>8.384500000000001</v>
      </c>
      <c r="K16" s="163">
        <f>PLANTILLA!AB24</f>
        <v>13.566666666666668</v>
      </c>
      <c r="L16" s="363">
        <f>1/5</f>
        <v>0.2</v>
      </c>
      <c r="M16" s="363">
        <f>L16/2</f>
        <v>0.1</v>
      </c>
      <c r="N16" s="363">
        <f>L16/8</f>
        <v>2.5000000000000001E-2</v>
      </c>
      <c r="O16" s="163">
        <v>0</v>
      </c>
      <c r="P16" s="159">
        <v>0</v>
      </c>
      <c r="Q16" s="159">
        <v>0</v>
      </c>
      <c r="R16" s="159">
        <f>L16*0.286</f>
        <v>5.7200000000000001E-2</v>
      </c>
      <c r="S16" s="159">
        <f>L16*(0.588*0.25+0.19*0)/(0.25+0.19)</f>
        <v>6.6818181818181818E-2</v>
      </c>
      <c r="T16" s="159">
        <v>0</v>
      </c>
      <c r="U16" s="159">
        <f>L16*(0.574*0.25+0.19*0)/(0.25+0.19)</f>
        <v>6.5227272727272731E-2</v>
      </c>
      <c r="V16" s="159">
        <f>L16*(0.864*0.25+0.19*0)/(0.25+0.19)</f>
        <v>9.818181818181819E-2</v>
      </c>
      <c r="W16" s="159">
        <f>L16*(0.144*0.25+0.19*0)/(0.25+0.19)</f>
        <v>1.6363636363636361E-2</v>
      </c>
      <c r="X16" s="159">
        <f>L16*(0.221*0.25+0.19*0)/(0.25+0.19)</f>
        <v>2.5113636363636366E-2</v>
      </c>
      <c r="Y16" s="438">
        <f>W16</f>
        <v>1.6363636363636361E-2</v>
      </c>
      <c r="Z16" s="438"/>
      <c r="AA16" s="438">
        <f>MAX(Z16,Y16)</f>
        <v>1.6363636363636361E-2</v>
      </c>
    </row>
    <row r="17" spans="1:27" x14ac:dyDescent="0.25">
      <c r="A17" s="312" t="str">
        <f>PLANTILLA!A5</f>
        <v>#1</v>
      </c>
      <c r="B17" s="312" t="str">
        <f>PLANTILLA!D5</f>
        <v>D. Gehmacher</v>
      </c>
      <c r="C17" s="312">
        <f>PLANTILLA!E5</f>
        <v>29</v>
      </c>
      <c r="D17" s="312">
        <f ca="1">PLANTILLA!F5</f>
        <v>94</v>
      </c>
      <c r="E17" s="163">
        <f>PLANTILLA!V5</f>
        <v>16.666666666666668</v>
      </c>
      <c r="F17" s="163">
        <f>PLANTILLA!W5</f>
        <v>11.832727272727276</v>
      </c>
      <c r="G17" s="163">
        <f>PLANTILLA!X5</f>
        <v>2.0199999999999996</v>
      </c>
      <c r="H17" s="163">
        <f>PLANTILLA!Y5</f>
        <v>2.1199999999999992</v>
      </c>
      <c r="I17" s="163">
        <f>PLANTILLA!Z5</f>
        <v>1.0400000000000003</v>
      </c>
      <c r="J17" s="163">
        <f>PLANTILLA!AA5</f>
        <v>0.14055555555555557</v>
      </c>
      <c r="K17" s="163">
        <f>PLANTILLA!AB5</f>
        <v>17.849999999999998</v>
      </c>
      <c r="L17" s="363">
        <f>0</f>
        <v>0</v>
      </c>
      <c r="M17" s="363">
        <f>L17/2</f>
        <v>0</v>
      </c>
      <c r="N17" s="363">
        <f>L17/8</f>
        <v>0</v>
      </c>
      <c r="O17" s="163">
        <v>0</v>
      </c>
      <c r="P17" s="159">
        <v>0</v>
      </c>
      <c r="Q17" s="159">
        <v>0</v>
      </c>
      <c r="R17" s="159">
        <f>L17*0.286</f>
        <v>0</v>
      </c>
      <c r="S17" s="159">
        <f>L17*(0.588*0.25+0.19*0)/(0.25+0.19)</f>
        <v>0</v>
      </c>
      <c r="T17" s="159">
        <v>0</v>
      </c>
      <c r="U17" s="159">
        <f>L17*(0.574*0.25+0.19*0)/(0.25+0.19)</f>
        <v>0</v>
      </c>
      <c r="V17" s="159">
        <f>L17*(0.864*0.25+0.19*0)/(0.25+0.19)</f>
        <v>0</v>
      </c>
      <c r="W17" s="159">
        <f>L17*(0.144*0.25+0.19*0)/(0.25+0.19)</f>
        <v>0</v>
      </c>
      <c r="X17" s="159">
        <f>L17*(0.221*0.25+0.19*0)/(0.25+0.19)</f>
        <v>0</v>
      </c>
      <c r="Y17" s="438">
        <f>L17</f>
        <v>0</v>
      </c>
      <c r="Z17" s="438">
        <f>L17</f>
        <v>0</v>
      </c>
      <c r="AA17" s="438">
        <f>MAX(Z17,Y17)</f>
        <v>0</v>
      </c>
    </row>
    <row r="18" spans="1:27" x14ac:dyDescent="0.25">
      <c r="A18" s="312" t="str">
        <f>PLANTILLA!A17</f>
        <v>#12</v>
      </c>
      <c r="B18" s="312" t="str">
        <f>PLANTILLA!D17</f>
        <v>E. Gross</v>
      </c>
      <c r="C18" s="312">
        <f>PLANTILLA!E17</f>
        <v>30</v>
      </c>
      <c r="D18" s="312">
        <f ca="1">PLANTILLA!F17</f>
        <v>54</v>
      </c>
      <c r="E18" s="163">
        <f>PLANTILLA!V17</f>
        <v>0</v>
      </c>
      <c r="F18" s="163">
        <f>PLANTILLA!W17</f>
        <v>10.349999999999996</v>
      </c>
      <c r="G18" s="163">
        <f>PLANTILLA!X17</f>
        <v>12.749777777777778</v>
      </c>
      <c r="H18" s="163">
        <f>PLANTILLA!Y17</f>
        <v>5.1199999999999983</v>
      </c>
      <c r="I18" s="163">
        <f>PLANTILLA!Z17</f>
        <v>9.24</v>
      </c>
      <c r="J18" s="163">
        <f>PLANTILLA!AA17</f>
        <v>2.98</v>
      </c>
      <c r="K18" s="163">
        <f>PLANTILLA!AB17</f>
        <v>16.959999999999997</v>
      </c>
      <c r="L18" s="363">
        <f>1/4</f>
        <v>0.25</v>
      </c>
      <c r="M18" s="363">
        <f>L18/2</f>
        <v>0.125</v>
      </c>
      <c r="N18" s="363">
        <f>L18/8</f>
        <v>3.125E-2</v>
      </c>
      <c r="O18" s="163">
        <v>0</v>
      </c>
      <c r="P18" s="159">
        <v>0</v>
      </c>
      <c r="Q18" s="159">
        <v>0</v>
      </c>
      <c r="R18" s="159">
        <f>L18*0.286</f>
        <v>7.1499999999999994E-2</v>
      </c>
      <c r="S18" s="159">
        <f>L18*(0.588*0.25+0.19*0)/(0.25+0.19)</f>
        <v>8.3522727272727262E-2</v>
      </c>
      <c r="T18" s="159">
        <v>0</v>
      </c>
      <c r="U18" s="159">
        <f>L18*(0.574*0.25+0.19*0)/(0.25+0.19)</f>
        <v>8.1534090909090903E-2</v>
      </c>
      <c r="V18" s="159">
        <f>L18*(0.864*0.25+0.19*0)/(0.25+0.19)</f>
        <v>0.12272727272727273</v>
      </c>
      <c r="W18" s="159">
        <f>L18*(0.144*0.25+0.19*0)/(0.25+0.19)</f>
        <v>2.0454545454545454E-2</v>
      </c>
      <c r="X18" s="159">
        <f>L18*(0.221*0.25+0.19*0)/(0.25+0.19)</f>
        <v>3.1392045454545457E-2</v>
      </c>
      <c r="Y18" s="438">
        <v>0</v>
      </c>
      <c r="Z18" s="438">
        <v>0</v>
      </c>
      <c r="AA18" s="438">
        <f>MAX(Z18,Y18)</f>
        <v>0</v>
      </c>
    </row>
    <row r="19" spans="1:27" x14ac:dyDescent="0.25">
      <c r="A19" s="312" t="str">
        <f>PLANTILLA!A6</f>
        <v>#16</v>
      </c>
      <c r="B19" s="312" t="str">
        <f>PLANTILLA!D6</f>
        <v>T. Hammond</v>
      </c>
      <c r="C19" s="312">
        <f>PLANTILLA!E6</f>
        <v>33</v>
      </c>
      <c r="D19" s="312">
        <f ca="1">PLANTILLA!F6</f>
        <v>103</v>
      </c>
      <c r="E19" s="163">
        <f>PLANTILLA!V6</f>
        <v>10.3</v>
      </c>
      <c r="F19" s="163">
        <f>PLANTILLA!W6</f>
        <v>10.794999999999998</v>
      </c>
      <c r="G19" s="163">
        <f>PLANTILLA!X6</f>
        <v>4.6100000000000012</v>
      </c>
      <c r="H19" s="163">
        <f>PLANTILLA!Y6</f>
        <v>4.99</v>
      </c>
      <c r="I19" s="163">
        <f>PLANTILLA!Z6</f>
        <v>6.5444444444444434</v>
      </c>
      <c r="J19" s="163">
        <f>PLANTILLA!AA6</f>
        <v>3.99</v>
      </c>
      <c r="K19" s="163">
        <f>PLANTILLA!AB6</f>
        <v>15.778888888888888</v>
      </c>
      <c r="L19" s="363"/>
      <c r="M19" s="363">
        <f>L19/2</f>
        <v>0</v>
      </c>
      <c r="N19" s="363">
        <f>L19/8</f>
        <v>0</v>
      </c>
      <c r="O19" s="163">
        <v>0</v>
      </c>
      <c r="P19" s="159">
        <v>0</v>
      </c>
      <c r="Q19" s="159">
        <v>0</v>
      </c>
      <c r="R19" s="159">
        <f>L19*0.286</f>
        <v>0</v>
      </c>
      <c r="S19" s="159">
        <f>L19*(0.588*0.25+0.19*0)/(0.25+0.19)</f>
        <v>0</v>
      </c>
      <c r="T19" s="159">
        <v>0</v>
      </c>
      <c r="U19" s="159">
        <f>L19*(0.574*0.25+0.19*0)/(0.25+0.19)</f>
        <v>0</v>
      </c>
      <c r="V19" s="159">
        <f>L19*(0.864*0.25+0.19*0)/(0.25+0.19)</f>
        <v>0</v>
      </c>
      <c r="W19" s="159">
        <f>L19*(0.144*0.25+0.19*0)/(0.25+0.19)</f>
        <v>0</v>
      </c>
      <c r="X19" s="159">
        <f>L19*(0.221*0.25+0.19*0)/(0.25+0.19)</f>
        <v>0</v>
      </c>
      <c r="Y19" s="438"/>
      <c r="Z19" s="438"/>
      <c r="AA19" s="438">
        <f>MAX(Z19,Y19)</f>
        <v>0</v>
      </c>
    </row>
    <row r="20" spans="1:27" x14ac:dyDescent="0.25">
      <c r="A20" s="312" t="str">
        <f>PLANTILLA!A11</f>
        <v>#13</v>
      </c>
      <c r="B20" s="312" t="str">
        <f>PLANTILLA!D11</f>
        <v>F. Lasprilla</v>
      </c>
      <c r="C20" s="312">
        <f>PLANTILLA!E11</f>
        <v>27</v>
      </c>
      <c r="D20" s="312">
        <f ca="1">PLANTILLA!F11</f>
        <v>1</v>
      </c>
      <c r="E20" s="163">
        <f>PLANTILLA!V11</f>
        <v>0</v>
      </c>
      <c r="F20" s="163">
        <f>PLANTILLA!W11</f>
        <v>9.5796666666666663</v>
      </c>
      <c r="G20" s="163">
        <f>PLANTILLA!X11</f>
        <v>7.7107222222222234</v>
      </c>
      <c r="H20" s="163">
        <f>PLANTILLA!Y11</f>
        <v>6.129999999999999</v>
      </c>
      <c r="I20" s="163">
        <f>PLANTILLA!Z11</f>
        <v>8.8633333333333315</v>
      </c>
      <c r="J20" s="163">
        <f>PLANTILLA!AA11</f>
        <v>3.2566666666666673</v>
      </c>
      <c r="K20" s="163">
        <f>PLANTILLA!AB11</f>
        <v>13.238888888888889</v>
      </c>
      <c r="L20" s="363"/>
      <c r="M20" s="363">
        <f>L20/2</f>
        <v>0</v>
      </c>
      <c r="N20" s="363">
        <f>L20/8</f>
        <v>0</v>
      </c>
      <c r="O20" s="163">
        <v>0</v>
      </c>
      <c r="P20" s="159">
        <v>0</v>
      </c>
      <c r="Q20" s="159">
        <v>0</v>
      </c>
      <c r="R20" s="159">
        <f>L20*0.286</f>
        <v>0</v>
      </c>
      <c r="S20" s="159">
        <f>L20*(0.588*0.25+0.19*0)/(0.25+0.19)</f>
        <v>0</v>
      </c>
      <c r="T20" s="159">
        <v>0</v>
      </c>
      <c r="U20" s="159">
        <f>L20*(0.574*0.25+0.19*0)/(0.25+0.19)</f>
        <v>0</v>
      </c>
      <c r="V20" s="159">
        <f>L20*(0.864*0.25+0.19*0)/(0.25+0.19)</f>
        <v>0</v>
      </c>
      <c r="W20" s="159">
        <f>L20*(0.144*0.25+0.19*0)/(0.25+0.19)</f>
        <v>0</v>
      </c>
      <c r="X20" s="159">
        <f>L20*(0.221*0.25+0.19*0)/(0.25+0.19)</f>
        <v>0</v>
      </c>
      <c r="Y20" s="438"/>
      <c r="Z20" s="438"/>
      <c r="AA20" s="438">
        <f>MAX(Z20,Y20)</f>
        <v>0</v>
      </c>
    </row>
    <row r="21" spans="1:27" x14ac:dyDescent="0.25">
      <c r="A21" s="312" t="str">
        <f>PLANTILLA!A19</f>
        <v>#14</v>
      </c>
      <c r="B21" s="312" t="str">
        <f>PLANTILLA!D19</f>
        <v>W. Gelifini</v>
      </c>
      <c r="C21" s="312">
        <f>PLANTILLA!E19</f>
        <v>28</v>
      </c>
      <c r="D21" s="312">
        <f ca="1">PLANTILLA!F19</f>
        <v>91</v>
      </c>
      <c r="E21" s="163">
        <f>PLANTILLA!V19</f>
        <v>0</v>
      </c>
      <c r="F21" s="163">
        <f>PLANTILLA!W19</f>
        <v>5.6315555555555523</v>
      </c>
      <c r="G21" s="163">
        <f>PLANTILLA!X19</f>
        <v>9.8263388888888876</v>
      </c>
      <c r="H21" s="163">
        <f>PLANTILLA!Y19</f>
        <v>7.0526666666666671</v>
      </c>
      <c r="I21" s="163">
        <f>PLANTILLA!Z19</f>
        <v>9.2666666666666639</v>
      </c>
      <c r="J21" s="163">
        <f>PLANTILLA!AA19</f>
        <v>3.5417777777777766</v>
      </c>
      <c r="K21" s="163">
        <f>PLANTILLA!AB19</f>
        <v>12.450000000000001</v>
      </c>
      <c r="L21" s="363"/>
      <c r="M21" s="363">
        <f>L21/2</f>
        <v>0</v>
      </c>
      <c r="N21" s="363">
        <f>L21/8</f>
        <v>0</v>
      </c>
      <c r="O21" s="163">
        <v>0</v>
      </c>
      <c r="P21" s="159">
        <v>0</v>
      </c>
      <c r="Q21" s="159">
        <v>0</v>
      </c>
      <c r="R21" s="159">
        <f>L21*0.286</f>
        <v>0</v>
      </c>
      <c r="S21" s="159">
        <f>L21*(0.588*0.25+0.19*0)/(0.25+0.19)</f>
        <v>0</v>
      </c>
      <c r="T21" s="159">
        <v>0</v>
      </c>
      <c r="U21" s="159">
        <f>L21*(0.574*0.25+0.19*0)/(0.25+0.19)</f>
        <v>0</v>
      </c>
      <c r="V21" s="159">
        <f>L21*(0.864*0.25+0.19*0)/(0.25+0.19)</f>
        <v>0</v>
      </c>
      <c r="W21" s="159">
        <f>L21*(0.144*0.25+0.19*0)/(0.25+0.19)</f>
        <v>0</v>
      </c>
      <c r="X21" s="159">
        <f>L21*(0.221*0.25+0.19*0)/(0.25+0.19)</f>
        <v>0</v>
      </c>
      <c r="Y21" s="438"/>
      <c r="Z21" s="438"/>
      <c r="AA21" s="438">
        <f>MAX(Z21,Y21)</f>
        <v>0</v>
      </c>
    </row>
    <row r="22" spans="1:27" x14ac:dyDescent="0.25">
      <c r="A22" s="312" t="str">
        <f>PLANTILLA!A20</f>
        <v>#89</v>
      </c>
      <c r="B22" s="312" t="str">
        <f>PLANTILLA!D20</f>
        <v>M. Amico</v>
      </c>
      <c r="C22" s="312">
        <f>PLANTILLA!E20</f>
        <v>28</v>
      </c>
      <c r="D22" s="312">
        <f ca="1">PLANTILLA!F20</f>
        <v>98</v>
      </c>
      <c r="E22" s="163">
        <f>PLANTILLA!V20</f>
        <v>0</v>
      </c>
      <c r="F22" s="163">
        <f>PLANTILLA!W20</f>
        <v>2.47611111111111</v>
      </c>
      <c r="G22" s="163">
        <f>PLANTILLA!X20</f>
        <v>7.2899999999999983</v>
      </c>
      <c r="H22" s="163">
        <f>PLANTILLA!Y20</f>
        <v>4.1588235294117641</v>
      </c>
      <c r="I22" s="163">
        <f>PLANTILLA!Z20</f>
        <v>7.2649999999999988</v>
      </c>
      <c r="J22" s="163">
        <f>PLANTILLA!AA20</f>
        <v>4.3299999999999983</v>
      </c>
      <c r="K22" s="163">
        <f>PLANTILLA!AB20</f>
        <v>9.5</v>
      </c>
      <c r="L22" s="363"/>
      <c r="M22" s="363">
        <f>L22/2</f>
        <v>0</v>
      </c>
      <c r="N22" s="363">
        <f>L22/8</f>
        <v>0</v>
      </c>
      <c r="O22" s="163">
        <v>0</v>
      </c>
      <c r="P22" s="159">
        <v>0</v>
      </c>
      <c r="Q22" s="159">
        <v>0</v>
      </c>
      <c r="R22" s="159">
        <f>L22*0.286</f>
        <v>0</v>
      </c>
      <c r="S22" s="159">
        <f>L22*(0.588*0.25+0.19*0)/(0.25+0.19)</f>
        <v>0</v>
      </c>
      <c r="T22" s="159">
        <v>0</v>
      </c>
      <c r="U22" s="159">
        <f>L22*(0.574*0.25+0.19*0)/(0.25+0.19)</f>
        <v>0</v>
      </c>
      <c r="V22" s="159">
        <f>L22*(0.864*0.25+0.19*0)/(0.25+0.19)</f>
        <v>0</v>
      </c>
      <c r="W22" s="159">
        <f>L22*(0.144*0.25+0.19*0)/(0.25+0.19)</f>
        <v>0</v>
      </c>
      <c r="X22" s="159">
        <f>L22*(0.221*0.25+0.19*0)/(0.25+0.19)</f>
        <v>0</v>
      </c>
      <c r="Y22" s="438"/>
      <c r="Z22" s="438"/>
      <c r="AA22" s="438">
        <f>MAX(Z22,Y22)</f>
        <v>0</v>
      </c>
    </row>
    <row r="25" spans="1:27" x14ac:dyDescent="0.25">
      <c r="B25" s="317"/>
    </row>
  </sheetData>
  <sortState ref="A4:AA22">
    <sortCondition descending="1" ref="AA4:AA22"/>
    <sortCondition descending="1" ref="Y4:Y22"/>
    <sortCondition descending="1" ref="Z4:Z22"/>
  </sortState>
  <conditionalFormatting sqref="L4:X22">
    <cfRule type="colorScale" priority="2969">
      <colorScale>
        <cfvo type="min"/>
        <cfvo type="max"/>
        <color rgb="FFFFEF9C"/>
        <color rgb="FF63BE7B"/>
      </colorScale>
    </cfRule>
  </conditionalFormatting>
  <conditionalFormatting sqref="Y4:Y22">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2">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2">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Y4:Y22</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V36"/>
  <sheetViews>
    <sheetView zoomScale="90" zoomScaleNormal="90" workbookViewId="0">
      <selection activeCell="Q32" sqref="Q32"/>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19.85546875" bestFit="1" customWidth="1"/>
    <col min="5" max="5" width="4.5703125" customWidth="1"/>
    <col min="6" max="6" width="4.42578125" style="344" bestFit="1" customWidth="1"/>
    <col min="7" max="7" width="20.5703125" bestFit="1" customWidth="1"/>
    <col min="8" max="8" width="8.28515625" bestFit="1" customWidth="1"/>
    <col min="9" max="9" width="5.5703125" bestFit="1" customWidth="1"/>
    <col min="10" max="10" width="3.28515625" bestFit="1" customWidth="1"/>
    <col min="11" max="11" width="5" bestFit="1" customWidth="1"/>
    <col min="12" max="12" width="20.42578125" bestFit="1" customWidth="1"/>
    <col min="13" max="13" width="8.28515625" bestFit="1" customWidth="1"/>
    <col min="14" max="14" width="7.42578125" style="662" bestFit="1" customWidth="1"/>
    <col min="15" max="15" width="6.28515625" customWidth="1"/>
    <col min="16" max="16" width="3.28515625" bestFit="1" customWidth="1"/>
    <col min="17" max="17" width="5.5703125" bestFit="1" customWidth="1"/>
    <col min="18" max="18" width="20.42578125" bestFit="1" customWidth="1"/>
    <col min="19" max="19" width="8.28515625" bestFit="1" customWidth="1"/>
    <col min="20" max="20" width="5.5703125" bestFit="1" customWidth="1"/>
    <col min="21" max="21" width="3.28515625" bestFit="1" customWidth="1"/>
    <col min="22" max="22" width="4.42578125" bestFit="1" customWidth="1"/>
  </cols>
  <sheetData>
    <row r="1" spans="1:22" x14ac:dyDescent="0.25">
      <c r="A1" s="349" t="s">
        <v>516</v>
      </c>
    </row>
    <row r="2" spans="1:22" x14ac:dyDescent="0.25">
      <c r="A2" s="350">
        <v>43059</v>
      </c>
    </row>
    <row r="4" spans="1:22" s="318" customFormat="1" ht="18.75" x14ac:dyDescent="0.3">
      <c r="A4" s="318" t="s">
        <v>514</v>
      </c>
      <c r="F4" s="723" t="s">
        <v>517</v>
      </c>
      <c r="G4" s="723"/>
      <c r="H4"/>
      <c r="K4" s="723" t="s">
        <v>1030</v>
      </c>
      <c r="L4" s="723"/>
      <c r="M4" s="723"/>
      <c r="N4" s="663"/>
      <c r="O4" s="336"/>
      <c r="P4" s="336"/>
      <c r="Q4" s="723" t="s">
        <v>519</v>
      </c>
      <c r="R4" s="723"/>
      <c r="S4"/>
      <c r="T4" s="4" t="s">
        <v>642</v>
      </c>
      <c r="U4"/>
    </row>
    <row r="5" spans="1:22" x14ac:dyDescent="0.25">
      <c r="A5" s="180" t="s">
        <v>515</v>
      </c>
      <c r="B5" s="700" t="s">
        <v>1035</v>
      </c>
      <c r="C5" s="317">
        <v>43031</v>
      </c>
      <c r="D5" t="s">
        <v>1036</v>
      </c>
      <c r="E5">
        <v>1</v>
      </c>
      <c r="F5" s="3">
        <v>53</v>
      </c>
      <c r="G5" t="s">
        <v>209</v>
      </c>
      <c r="H5" s="317" t="s">
        <v>1</v>
      </c>
      <c r="J5" s="653">
        <v>1</v>
      </c>
      <c r="K5" s="3">
        <v>272</v>
      </c>
      <c r="L5" t="s">
        <v>534</v>
      </c>
      <c r="M5" t="s">
        <v>533</v>
      </c>
      <c r="N5" s="400">
        <f t="shared" ref="N5:N24" si="0">K5/$F$24</f>
        <v>0.88025889967637538</v>
      </c>
      <c r="P5" s="653">
        <v>1</v>
      </c>
      <c r="Q5" s="3">
        <v>184</v>
      </c>
      <c r="R5" t="s">
        <v>520</v>
      </c>
      <c r="S5" t="s">
        <v>215</v>
      </c>
      <c r="T5" s="159">
        <f>Q5/K9</f>
        <v>0.84792626728110598</v>
      </c>
    </row>
    <row r="6" spans="1:22" x14ac:dyDescent="0.25">
      <c r="A6" s="180" t="s">
        <v>1028</v>
      </c>
      <c r="B6" s="396" t="s">
        <v>1037</v>
      </c>
      <c r="C6" s="317">
        <v>43055</v>
      </c>
      <c r="D6" t="s">
        <v>1038</v>
      </c>
      <c r="E6">
        <v>1</v>
      </c>
      <c r="F6" s="3">
        <v>53</v>
      </c>
      <c r="G6" t="s">
        <v>931</v>
      </c>
      <c r="H6" t="s">
        <v>1</v>
      </c>
      <c r="J6" s="653">
        <v>2</v>
      </c>
      <c r="K6" s="3">
        <v>269</v>
      </c>
      <c r="L6" t="s">
        <v>548</v>
      </c>
      <c r="M6" s="317" t="s">
        <v>507</v>
      </c>
      <c r="N6" s="400">
        <f t="shared" si="0"/>
        <v>0.87055016181229772</v>
      </c>
      <c r="P6" s="653">
        <v>2</v>
      </c>
      <c r="Q6" s="3">
        <v>86</v>
      </c>
      <c r="R6" t="s">
        <v>640</v>
      </c>
      <c r="S6" t="s">
        <v>66</v>
      </c>
      <c r="T6" s="159">
        <f>Q6/K15</f>
        <v>0.47513812154696133</v>
      </c>
    </row>
    <row r="7" spans="1:22" x14ac:dyDescent="0.25">
      <c r="E7">
        <v>3</v>
      </c>
      <c r="F7" s="698">
        <v>46</v>
      </c>
      <c r="G7" s="696" t="s">
        <v>207</v>
      </c>
      <c r="H7" s="697" t="s">
        <v>1</v>
      </c>
      <c r="J7" s="665">
        <v>3</v>
      </c>
      <c r="K7" s="3">
        <v>241</v>
      </c>
      <c r="L7" t="s">
        <v>522</v>
      </c>
      <c r="M7" s="317" t="s">
        <v>65</v>
      </c>
      <c r="N7" s="400">
        <f t="shared" si="0"/>
        <v>0.7799352750809061</v>
      </c>
      <c r="P7" s="653">
        <v>3</v>
      </c>
      <c r="Q7" s="3">
        <v>79</v>
      </c>
      <c r="R7" t="s">
        <v>522</v>
      </c>
      <c r="S7" t="s">
        <v>65</v>
      </c>
      <c r="T7" s="159">
        <f>Q7/K7</f>
        <v>0.32780082987551867</v>
      </c>
    </row>
    <row r="8" spans="1:22" s="318" customFormat="1" ht="18.75" x14ac:dyDescent="0.3">
      <c r="A8" s="723" t="s">
        <v>1029</v>
      </c>
      <c r="B8" s="723"/>
      <c r="E8">
        <v>4</v>
      </c>
      <c r="F8" s="698">
        <v>2</v>
      </c>
      <c r="G8" s="696" t="s">
        <v>203</v>
      </c>
      <c r="H8" s="696" t="s">
        <v>1</v>
      </c>
      <c r="J8" s="665">
        <v>4</v>
      </c>
      <c r="K8" s="372">
        <v>224</v>
      </c>
      <c r="L8" t="s">
        <v>591</v>
      </c>
      <c r="M8" s="317" t="s">
        <v>65</v>
      </c>
      <c r="N8" s="400">
        <f>K8/$F$24</f>
        <v>0.72491909385113273</v>
      </c>
      <c r="P8" s="653">
        <v>4</v>
      </c>
      <c r="Q8" s="348">
        <v>70</v>
      </c>
      <c r="R8" t="s">
        <v>534</v>
      </c>
      <c r="S8" t="s">
        <v>533</v>
      </c>
      <c r="T8" s="159">
        <f>Q8/K5</f>
        <v>0.25735294117647056</v>
      </c>
      <c r="U8"/>
      <c r="V8"/>
    </row>
    <row r="9" spans="1:22" ht="18.75" x14ac:dyDescent="0.3">
      <c r="A9" s="693" t="s">
        <v>1032</v>
      </c>
      <c r="B9" t="s">
        <v>1026</v>
      </c>
      <c r="C9" s="317" t="s">
        <v>67</v>
      </c>
      <c r="E9">
        <v>5</v>
      </c>
      <c r="F9" s="3">
        <v>1</v>
      </c>
      <c r="G9" t="s">
        <v>521</v>
      </c>
      <c r="H9" t="s">
        <v>2</v>
      </c>
      <c r="J9" s="665">
        <v>5</v>
      </c>
      <c r="K9" s="372">
        <v>217</v>
      </c>
      <c r="L9" t="s">
        <v>589</v>
      </c>
      <c r="M9" s="317" t="s">
        <v>215</v>
      </c>
      <c r="N9" s="400">
        <f t="shared" si="0"/>
        <v>0.70226537216828477</v>
      </c>
      <c r="P9" s="653">
        <v>5</v>
      </c>
      <c r="Q9" s="410">
        <v>62</v>
      </c>
      <c r="R9" t="s">
        <v>590</v>
      </c>
      <c r="S9" s="317" t="s">
        <v>66</v>
      </c>
      <c r="T9" s="159">
        <f>Q9/K12</f>
        <v>0.29951690821256038</v>
      </c>
      <c r="V9" s="318"/>
    </row>
    <row r="10" spans="1:22" x14ac:dyDescent="0.25">
      <c r="A10" s="601" t="s">
        <v>1033</v>
      </c>
      <c r="B10" t="s">
        <v>931</v>
      </c>
      <c r="C10" t="s">
        <v>1</v>
      </c>
      <c r="E10">
        <v>5</v>
      </c>
      <c r="F10" s="698">
        <v>1</v>
      </c>
      <c r="G10" s="696" t="s">
        <v>536</v>
      </c>
      <c r="H10" s="696" t="s">
        <v>507</v>
      </c>
      <c r="J10" s="665">
        <v>6</v>
      </c>
      <c r="K10" s="344">
        <v>214</v>
      </c>
      <c r="L10" t="s">
        <v>531</v>
      </c>
      <c r="M10" s="317" t="s">
        <v>65</v>
      </c>
      <c r="N10" s="400">
        <f>K10/$F$24</f>
        <v>0.69255663430420711</v>
      </c>
      <c r="P10" s="653">
        <v>6</v>
      </c>
      <c r="Q10" s="348">
        <v>58</v>
      </c>
      <c r="R10" t="s">
        <v>548</v>
      </c>
      <c r="S10" s="317" t="s">
        <v>507</v>
      </c>
      <c r="T10" s="159">
        <f>Q10/K6</f>
        <v>0.21561338289962825</v>
      </c>
    </row>
    <row r="11" spans="1:22" ht="18.75" x14ac:dyDescent="0.3">
      <c r="A11" s="412" t="s">
        <v>939</v>
      </c>
      <c r="B11" t="s">
        <v>534</v>
      </c>
      <c r="C11" t="s">
        <v>533</v>
      </c>
      <c r="J11" s="665">
        <v>7</v>
      </c>
      <c r="K11" s="344">
        <v>213</v>
      </c>
      <c r="L11" t="s">
        <v>535</v>
      </c>
      <c r="M11" s="317" t="s">
        <v>507</v>
      </c>
      <c r="N11" s="400">
        <f>K11/$F$24</f>
        <v>0.68932038834951459</v>
      </c>
      <c r="P11" s="653">
        <v>7</v>
      </c>
      <c r="Q11" s="344">
        <v>52</v>
      </c>
      <c r="R11" t="s">
        <v>591</v>
      </c>
      <c r="S11" s="317" t="s">
        <v>65</v>
      </c>
      <c r="T11" s="159">
        <f>Q11/K8</f>
        <v>0.23214285714285715</v>
      </c>
      <c r="V11" s="318"/>
    </row>
    <row r="12" spans="1:22" s="318" customFormat="1" ht="18.75" x14ac:dyDescent="0.3">
      <c r="A12" s="412" t="s">
        <v>939</v>
      </c>
      <c r="B12" t="s">
        <v>591</v>
      </c>
      <c r="C12" s="317" t="s">
        <v>65</v>
      </c>
      <c r="F12" s="723" t="s">
        <v>518</v>
      </c>
      <c r="G12" s="723"/>
      <c r="H12"/>
      <c r="J12" s="665">
        <v>8</v>
      </c>
      <c r="K12" s="372">
        <v>207</v>
      </c>
      <c r="L12" t="s">
        <v>590</v>
      </c>
      <c r="M12" s="317" t="s">
        <v>66</v>
      </c>
      <c r="N12" s="400">
        <f>K12/$F$24</f>
        <v>0.66990291262135926</v>
      </c>
      <c r="P12" s="653">
        <v>8</v>
      </c>
      <c r="Q12" s="411">
        <v>50</v>
      </c>
      <c r="R12" t="s">
        <v>644</v>
      </c>
      <c r="S12" s="317" t="s">
        <v>215</v>
      </c>
      <c r="T12" s="159">
        <f>Q12/K19</f>
        <v>0.47169811320754718</v>
      </c>
      <c r="U12"/>
      <c r="V12"/>
    </row>
    <row r="13" spans="1:22" x14ac:dyDescent="0.25">
      <c r="A13" s="689" t="s">
        <v>939</v>
      </c>
      <c r="B13" t="s">
        <v>1023</v>
      </c>
      <c r="C13" t="s">
        <v>2</v>
      </c>
      <c r="E13">
        <v>1</v>
      </c>
      <c r="F13" s="476">
        <v>106</v>
      </c>
      <c r="G13" t="s">
        <v>931</v>
      </c>
      <c r="H13" t="s">
        <v>1</v>
      </c>
      <c r="J13" s="665">
        <v>9</v>
      </c>
      <c r="K13" s="344">
        <v>185</v>
      </c>
      <c r="L13" t="s">
        <v>551</v>
      </c>
      <c r="M13" s="317" t="s">
        <v>65</v>
      </c>
      <c r="N13" s="400">
        <f>K13/$F$24</f>
        <v>0.59870550161812297</v>
      </c>
      <c r="P13" s="653">
        <v>8</v>
      </c>
      <c r="Q13" s="390">
        <v>50</v>
      </c>
      <c r="R13" t="s">
        <v>551</v>
      </c>
      <c r="S13" s="317" t="s">
        <v>65</v>
      </c>
      <c r="T13" s="159">
        <f>Q13/K13</f>
        <v>0.27027027027027029</v>
      </c>
    </row>
    <row r="14" spans="1:22" x14ac:dyDescent="0.25">
      <c r="A14" s="412" t="s">
        <v>939</v>
      </c>
      <c r="B14" t="s">
        <v>522</v>
      </c>
      <c r="C14" s="317" t="s">
        <v>65</v>
      </c>
      <c r="E14">
        <v>2</v>
      </c>
      <c r="F14" s="698">
        <v>88</v>
      </c>
      <c r="G14" s="696" t="s">
        <v>207</v>
      </c>
      <c r="H14" s="697" t="s">
        <v>1</v>
      </c>
      <c r="J14" s="665">
        <v>10</v>
      </c>
      <c r="K14" s="348">
        <v>184</v>
      </c>
      <c r="L14" t="s">
        <v>209</v>
      </c>
      <c r="M14" s="317" t="s">
        <v>1</v>
      </c>
      <c r="N14" s="400">
        <f t="shared" si="0"/>
        <v>0.59546925566343045</v>
      </c>
      <c r="P14" s="653">
        <v>10</v>
      </c>
      <c r="Q14" s="344">
        <v>47</v>
      </c>
      <c r="R14" t="s">
        <v>521</v>
      </c>
      <c r="S14" t="s">
        <v>2</v>
      </c>
      <c r="T14" s="159">
        <f>Q14/K16</f>
        <v>0.28834355828220859</v>
      </c>
    </row>
    <row r="15" spans="1:22" x14ac:dyDescent="0.25">
      <c r="A15" s="412" t="s">
        <v>985</v>
      </c>
      <c r="B15" t="s">
        <v>590</v>
      </c>
      <c r="C15" s="317" t="s">
        <v>66</v>
      </c>
      <c r="E15">
        <v>3</v>
      </c>
      <c r="F15" s="344">
        <v>68</v>
      </c>
      <c r="G15" t="s">
        <v>548</v>
      </c>
      <c r="H15" s="317" t="s">
        <v>507</v>
      </c>
      <c r="J15" s="665">
        <v>11</v>
      </c>
      <c r="K15" s="476">
        <v>181</v>
      </c>
      <c r="L15" t="s">
        <v>640</v>
      </c>
      <c r="M15" t="s">
        <v>66</v>
      </c>
      <c r="N15" s="400">
        <f t="shared" si="0"/>
        <v>0.58576051779935279</v>
      </c>
      <c r="P15" s="653">
        <v>10</v>
      </c>
      <c r="Q15" s="348">
        <v>47</v>
      </c>
      <c r="R15" t="s">
        <v>535</v>
      </c>
      <c r="S15" s="317" t="s">
        <v>507</v>
      </c>
      <c r="T15" s="159">
        <f>Q15/K11</f>
        <v>0.22065727699530516</v>
      </c>
    </row>
    <row r="16" spans="1:22" x14ac:dyDescent="0.25">
      <c r="A16" s="410" t="s">
        <v>985</v>
      </c>
      <c r="B16" t="s">
        <v>548</v>
      </c>
      <c r="C16" s="317" t="s">
        <v>507</v>
      </c>
      <c r="E16">
        <v>4</v>
      </c>
      <c r="F16" s="695">
        <v>21</v>
      </c>
      <c r="G16" s="696" t="s">
        <v>193</v>
      </c>
      <c r="H16" s="696" t="s">
        <v>66</v>
      </c>
      <c r="J16" s="665">
        <v>12</v>
      </c>
      <c r="K16" s="344">
        <v>163</v>
      </c>
      <c r="L16" t="s">
        <v>521</v>
      </c>
      <c r="M16" s="317" t="s">
        <v>507</v>
      </c>
      <c r="N16" s="400">
        <f>K16/$F$24</f>
        <v>0.52750809061488668</v>
      </c>
      <c r="P16" s="653">
        <v>12</v>
      </c>
      <c r="Q16" s="348">
        <v>36</v>
      </c>
      <c r="R16" t="s">
        <v>531</v>
      </c>
      <c r="S16" t="s">
        <v>65</v>
      </c>
      <c r="T16" s="159">
        <f>Q16/K10</f>
        <v>0.16822429906542055</v>
      </c>
    </row>
    <row r="17" spans="1:22" x14ac:dyDescent="0.25">
      <c r="A17" s="412" t="s">
        <v>985</v>
      </c>
      <c r="B17" t="s">
        <v>551</v>
      </c>
      <c r="C17" s="317" t="s">
        <v>65</v>
      </c>
      <c r="E17">
        <v>5</v>
      </c>
      <c r="F17" s="476">
        <v>7</v>
      </c>
      <c r="G17" t="s">
        <v>522</v>
      </c>
      <c r="H17" s="317" t="s">
        <v>65</v>
      </c>
      <c r="J17" s="665">
        <v>13</v>
      </c>
      <c r="K17" s="695">
        <v>146</v>
      </c>
      <c r="L17" s="696" t="s">
        <v>207</v>
      </c>
      <c r="M17" s="697" t="s">
        <v>1</v>
      </c>
      <c r="N17" s="699">
        <f t="shared" si="0"/>
        <v>0.47249190938511326</v>
      </c>
      <c r="P17" s="653">
        <v>13</v>
      </c>
      <c r="Q17" s="476">
        <v>27</v>
      </c>
      <c r="R17" s="264" t="s">
        <v>1026</v>
      </c>
      <c r="S17" s="264" t="s">
        <v>67</v>
      </c>
      <c r="T17" s="159">
        <f>Q17/K25</f>
        <v>0.67500000000000004</v>
      </c>
      <c r="V17">
        <v>103</v>
      </c>
    </row>
    <row r="18" spans="1:22" x14ac:dyDescent="0.25">
      <c r="A18" s="410" t="s">
        <v>940</v>
      </c>
      <c r="B18" t="s">
        <v>640</v>
      </c>
      <c r="C18" s="317" t="s">
        <v>66</v>
      </c>
      <c r="E18">
        <v>6</v>
      </c>
      <c r="F18" s="695">
        <v>6</v>
      </c>
      <c r="G18" s="696" t="s">
        <v>197</v>
      </c>
      <c r="H18" s="697" t="s">
        <v>65</v>
      </c>
      <c r="J18" s="665">
        <v>14</v>
      </c>
      <c r="K18" s="476">
        <v>118</v>
      </c>
      <c r="L18" t="s">
        <v>931</v>
      </c>
      <c r="M18" t="s">
        <v>1</v>
      </c>
      <c r="N18" s="400">
        <f>K18/$F$24</f>
        <v>0.3818770226537217</v>
      </c>
      <c r="P18" s="653">
        <v>14</v>
      </c>
      <c r="Q18" s="344">
        <v>20</v>
      </c>
      <c r="R18" t="s">
        <v>606</v>
      </c>
      <c r="S18" t="s">
        <v>65</v>
      </c>
      <c r="T18" s="159">
        <f>Q18/K20</f>
        <v>0.21052631578947367</v>
      </c>
    </row>
    <row r="19" spans="1:22" x14ac:dyDescent="0.25">
      <c r="A19" s="410" t="s">
        <v>940</v>
      </c>
      <c r="B19" t="s">
        <v>589</v>
      </c>
      <c r="C19" s="317" t="s">
        <v>215</v>
      </c>
      <c r="E19">
        <v>7</v>
      </c>
      <c r="F19" s="698">
        <v>5</v>
      </c>
      <c r="G19" s="696" t="s">
        <v>196</v>
      </c>
      <c r="H19" s="697" t="s">
        <v>65</v>
      </c>
      <c r="J19" s="665">
        <v>15</v>
      </c>
      <c r="K19" s="476">
        <v>106</v>
      </c>
      <c r="L19" s="264" t="s">
        <v>768</v>
      </c>
      <c r="M19" s="486" t="s">
        <v>215</v>
      </c>
      <c r="N19" s="400">
        <f>K19/$F$24</f>
        <v>0.34304207119741098</v>
      </c>
      <c r="P19" s="653">
        <v>14</v>
      </c>
      <c r="Q19" s="695">
        <v>19</v>
      </c>
      <c r="R19" s="696" t="s">
        <v>208</v>
      </c>
      <c r="S19" s="697" t="s">
        <v>525</v>
      </c>
      <c r="T19" s="159"/>
    </row>
    <row r="20" spans="1:22" x14ac:dyDescent="0.25">
      <c r="A20" s="412" t="s">
        <v>940</v>
      </c>
      <c r="B20" t="s">
        <v>531</v>
      </c>
      <c r="C20" s="317" t="s">
        <v>65</v>
      </c>
      <c r="E20">
        <v>8</v>
      </c>
      <c r="F20" s="695">
        <v>4</v>
      </c>
      <c r="G20" s="696" t="s">
        <v>427</v>
      </c>
      <c r="H20" s="697" t="s">
        <v>215</v>
      </c>
      <c r="J20" s="665">
        <v>16</v>
      </c>
      <c r="K20" s="476">
        <v>95</v>
      </c>
      <c r="L20" t="s">
        <v>606</v>
      </c>
      <c r="M20" t="s">
        <v>65</v>
      </c>
      <c r="N20" s="400">
        <f>K20/$F$24</f>
        <v>0.30744336569579289</v>
      </c>
      <c r="P20" s="653">
        <v>16</v>
      </c>
      <c r="Q20" s="695">
        <v>15</v>
      </c>
      <c r="R20" s="696" t="s">
        <v>196</v>
      </c>
      <c r="S20" s="697" t="s">
        <v>65</v>
      </c>
      <c r="T20" s="159"/>
    </row>
    <row r="21" spans="1:22" x14ac:dyDescent="0.25">
      <c r="A21" s="412" t="s">
        <v>855</v>
      </c>
      <c r="B21" t="s">
        <v>644</v>
      </c>
      <c r="C21" s="317" t="s">
        <v>215</v>
      </c>
      <c r="E21">
        <v>9</v>
      </c>
      <c r="F21" s="638">
        <v>2</v>
      </c>
      <c r="G21" t="s">
        <v>209</v>
      </c>
      <c r="H21" s="317" t="s">
        <v>1</v>
      </c>
      <c r="J21" s="665">
        <v>17</v>
      </c>
      <c r="K21" s="695">
        <v>89</v>
      </c>
      <c r="L21" s="696" t="s">
        <v>536</v>
      </c>
      <c r="M21" s="697" t="s">
        <v>507</v>
      </c>
      <c r="N21" s="699">
        <f t="shared" si="0"/>
        <v>0.28802588996763756</v>
      </c>
      <c r="P21" s="653">
        <v>17</v>
      </c>
      <c r="Q21" s="344">
        <v>12</v>
      </c>
      <c r="R21" t="s">
        <v>626</v>
      </c>
      <c r="S21" t="s">
        <v>215</v>
      </c>
      <c r="T21" s="159">
        <f>Q21/K27</f>
        <v>0.375</v>
      </c>
    </row>
    <row r="22" spans="1:22" x14ac:dyDescent="0.25">
      <c r="A22" s="353" t="s">
        <v>1034</v>
      </c>
      <c r="B22" t="s">
        <v>535</v>
      </c>
      <c r="C22" s="317" t="s">
        <v>507</v>
      </c>
      <c r="E22">
        <v>10</v>
      </c>
      <c r="F22" s="698">
        <v>1</v>
      </c>
      <c r="G22" s="696" t="s">
        <v>208</v>
      </c>
      <c r="H22" s="697" t="s">
        <v>525</v>
      </c>
      <c r="J22" s="665">
        <v>18</v>
      </c>
      <c r="K22" s="476">
        <v>69</v>
      </c>
      <c r="L22" t="s">
        <v>1023</v>
      </c>
      <c r="M22" t="s">
        <v>2</v>
      </c>
      <c r="N22" s="400">
        <f>K22/$F$24</f>
        <v>0.22330097087378642</v>
      </c>
      <c r="P22" s="653">
        <v>18</v>
      </c>
      <c r="Q22" s="348">
        <v>11</v>
      </c>
      <c r="R22" t="s">
        <v>209</v>
      </c>
      <c r="S22" s="317" t="s">
        <v>1</v>
      </c>
      <c r="T22" s="159">
        <f>Q22/K14</f>
        <v>5.9782608695652176E-2</v>
      </c>
    </row>
    <row r="23" spans="1:22" x14ac:dyDescent="0.25">
      <c r="A23" s="412" t="s">
        <v>709</v>
      </c>
      <c r="B23" t="s">
        <v>209</v>
      </c>
      <c r="C23" s="317" t="s">
        <v>1</v>
      </c>
      <c r="E23">
        <v>10</v>
      </c>
      <c r="F23" s="3">
        <v>1</v>
      </c>
      <c r="G23" t="s">
        <v>521</v>
      </c>
      <c r="H23" t="s">
        <v>2</v>
      </c>
      <c r="J23" s="665">
        <v>19</v>
      </c>
      <c r="K23" s="638">
        <v>63</v>
      </c>
      <c r="L23" t="s">
        <v>771</v>
      </c>
      <c r="M23" t="s">
        <v>507</v>
      </c>
      <c r="N23" s="400">
        <f t="shared" si="0"/>
        <v>0.20388349514563106</v>
      </c>
      <c r="P23" s="653">
        <v>18</v>
      </c>
      <c r="Q23" s="344">
        <v>11</v>
      </c>
      <c r="R23" t="s">
        <v>771</v>
      </c>
      <c r="S23" t="s">
        <v>2</v>
      </c>
      <c r="T23" s="159">
        <f>Q23/K23</f>
        <v>0.17460317460317459</v>
      </c>
    </row>
    <row r="24" spans="1:22" x14ac:dyDescent="0.25">
      <c r="A24" s="695" t="s">
        <v>709</v>
      </c>
      <c r="B24" s="696" t="s">
        <v>207</v>
      </c>
      <c r="C24" s="697" t="s">
        <v>1</v>
      </c>
      <c r="F24" s="701">
        <f>SUM(F13:F23)</f>
        <v>309</v>
      </c>
      <c r="J24" s="665">
        <v>20</v>
      </c>
      <c r="K24" s="695">
        <v>55</v>
      </c>
      <c r="L24" s="696" t="s">
        <v>208</v>
      </c>
      <c r="M24" s="697" t="s">
        <v>525</v>
      </c>
      <c r="N24" s="699">
        <f t="shared" si="0"/>
        <v>0.17799352750809061</v>
      </c>
      <c r="P24" s="653">
        <v>20</v>
      </c>
      <c r="Q24" s="695">
        <v>10</v>
      </c>
      <c r="R24" s="696" t="s">
        <v>536</v>
      </c>
      <c r="S24" s="697" t="s">
        <v>507</v>
      </c>
      <c r="T24" s="159">
        <f>Q24/K21</f>
        <v>0.11235955056179775</v>
      </c>
    </row>
    <row r="25" spans="1:22" x14ac:dyDescent="0.25">
      <c r="A25" s="410" t="s">
        <v>709</v>
      </c>
      <c r="B25" t="s">
        <v>606</v>
      </c>
      <c r="C25" t="s">
        <v>65</v>
      </c>
      <c r="J25" s="665">
        <v>21</v>
      </c>
      <c r="K25" s="476">
        <v>40</v>
      </c>
      <c r="L25" t="s">
        <v>1026</v>
      </c>
      <c r="M25" t="s">
        <v>67</v>
      </c>
      <c r="N25" s="400">
        <f t="shared" ref="N25" si="1">K25/$F$24</f>
        <v>0.12944983818770225</v>
      </c>
      <c r="P25" s="653">
        <v>20</v>
      </c>
      <c r="Q25" s="695">
        <v>10</v>
      </c>
      <c r="R25" s="696" t="s">
        <v>641</v>
      </c>
      <c r="S25" s="697" t="s">
        <v>215</v>
      </c>
      <c r="T25" s="536"/>
      <c r="U25" s="345"/>
    </row>
    <row r="26" spans="1:22" x14ac:dyDescent="0.25">
      <c r="A26" s="695" t="s">
        <v>532</v>
      </c>
      <c r="B26" s="696" t="s">
        <v>427</v>
      </c>
      <c r="C26" s="697" t="s">
        <v>215</v>
      </c>
      <c r="J26" s="665"/>
      <c r="K26" s="638" t="s">
        <v>959</v>
      </c>
      <c r="L26" t="s">
        <v>959</v>
      </c>
      <c r="M26" t="s">
        <v>959</v>
      </c>
      <c r="N26" s="662" t="s">
        <v>959</v>
      </c>
      <c r="P26" s="653">
        <v>20</v>
      </c>
      <c r="Q26" s="627">
        <v>10</v>
      </c>
      <c r="R26" t="s">
        <v>1023</v>
      </c>
      <c r="S26" t="s">
        <v>2</v>
      </c>
      <c r="T26" s="159">
        <f>Q26/K25</f>
        <v>0.25</v>
      </c>
      <c r="V26">
        <v>56</v>
      </c>
    </row>
    <row r="27" spans="1:22" x14ac:dyDescent="0.25">
      <c r="A27" s="410" t="s">
        <v>532</v>
      </c>
      <c r="B27" t="s">
        <v>521</v>
      </c>
      <c r="C27" s="317" t="s">
        <v>2</v>
      </c>
      <c r="J27" s="665"/>
      <c r="K27" s="638">
        <v>32</v>
      </c>
      <c r="L27" t="s">
        <v>626</v>
      </c>
      <c r="M27" t="s">
        <v>215</v>
      </c>
      <c r="N27" s="400">
        <f>K27/$F$24</f>
        <v>0.10355987055016182</v>
      </c>
      <c r="P27" s="653">
        <v>23</v>
      </c>
      <c r="Q27" s="695">
        <v>9</v>
      </c>
      <c r="R27" s="696" t="s">
        <v>538</v>
      </c>
      <c r="S27" s="696" t="s">
        <v>215</v>
      </c>
      <c r="T27" s="159"/>
    </row>
    <row r="28" spans="1:22" x14ac:dyDescent="0.25">
      <c r="A28" s="488" t="s">
        <v>532</v>
      </c>
      <c r="B28" t="s">
        <v>771</v>
      </c>
      <c r="C28" t="s">
        <v>507</v>
      </c>
      <c r="P28" s="653">
        <v>23</v>
      </c>
      <c r="Q28" s="695">
        <v>9</v>
      </c>
      <c r="R28" s="696" t="s">
        <v>537</v>
      </c>
      <c r="S28" s="696" t="s">
        <v>215</v>
      </c>
      <c r="T28" s="159"/>
    </row>
    <row r="29" spans="1:22" x14ac:dyDescent="0.25">
      <c r="A29" s="695" t="s">
        <v>1025</v>
      </c>
      <c r="B29" s="696" t="s">
        <v>960</v>
      </c>
      <c r="C29" s="696" t="s">
        <v>67</v>
      </c>
      <c r="P29" s="653">
        <v>25</v>
      </c>
      <c r="Q29" s="695">
        <v>8</v>
      </c>
      <c r="R29" s="696" t="s">
        <v>202</v>
      </c>
      <c r="S29" s="696" t="s">
        <v>507</v>
      </c>
      <c r="T29" s="159"/>
    </row>
    <row r="30" spans="1:22" x14ac:dyDescent="0.25">
      <c r="A30" s="695" t="s">
        <v>605</v>
      </c>
      <c r="B30" s="696" t="s">
        <v>641</v>
      </c>
      <c r="C30" s="697" t="s">
        <v>215</v>
      </c>
      <c r="P30" s="653">
        <v>26</v>
      </c>
      <c r="Q30" s="695">
        <v>6</v>
      </c>
      <c r="R30" s="696" t="s">
        <v>207</v>
      </c>
      <c r="S30" s="697" t="s">
        <v>1</v>
      </c>
      <c r="T30" s="159"/>
    </row>
    <row r="31" spans="1:22" x14ac:dyDescent="0.25">
      <c r="A31" s="425" t="s">
        <v>605</v>
      </c>
      <c r="B31" t="s">
        <v>626</v>
      </c>
      <c r="C31" t="s">
        <v>215</v>
      </c>
      <c r="P31" s="667">
        <v>27</v>
      </c>
      <c r="Q31" s="695">
        <v>3</v>
      </c>
      <c r="R31" s="696" t="s">
        <v>960</v>
      </c>
      <c r="S31" s="696" t="s">
        <v>67</v>
      </c>
      <c r="T31" s="159">
        <f>Q31/K25</f>
        <v>7.4999999999999997E-2</v>
      </c>
    </row>
    <row r="32" spans="1:22" x14ac:dyDescent="0.25">
      <c r="A32" s="347"/>
      <c r="B32" s="345"/>
      <c r="C32" s="346"/>
      <c r="P32" s="693">
        <v>27</v>
      </c>
      <c r="Q32" s="695">
        <v>3</v>
      </c>
      <c r="R32" s="696" t="s">
        <v>779</v>
      </c>
      <c r="S32" s="696" t="s">
        <v>65</v>
      </c>
      <c r="T32" s="159"/>
    </row>
    <row r="33" spans="1:17" x14ac:dyDescent="0.25">
      <c r="A33" s="347"/>
      <c r="B33" s="345"/>
      <c r="C33" s="346"/>
      <c r="Q33" s="702">
        <f>SUM(Q5:Q32)</f>
        <v>1004</v>
      </c>
    </row>
    <row r="34" spans="1:17" x14ac:dyDescent="0.25">
      <c r="A34" s="347"/>
      <c r="B34" s="345"/>
      <c r="C34" s="346"/>
    </row>
    <row r="35" spans="1:17" x14ac:dyDescent="0.25">
      <c r="A35" s="347"/>
      <c r="B35" s="345"/>
      <c r="C35" s="345"/>
    </row>
    <row r="36" spans="1:17" x14ac:dyDescent="0.25">
      <c r="A36" s="690"/>
    </row>
  </sheetData>
  <mergeCells count="5">
    <mergeCell ref="F12:G12"/>
    <mergeCell ref="F4:G4"/>
    <mergeCell ref="Q4:R4"/>
    <mergeCell ref="A8:B8"/>
    <mergeCell ref="K4:M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08" t="s">
        <v>270</v>
      </c>
      <c r="C59" s="213" t="s">
        <v>179</v>
      </c>
      <c r="D59" s="709" t="s">
        <v>271</v>
      </c>
      <c r="E59" s="709" t="s">
        <v>271</v>
      </c>
      <c r="F59" s="214" t="s">
        <v>272</v>
      </c>
      <c r="H59" s="299" t="s">
        <v>273</v>
      </c>
    </row>
    <row r="60" spans="1:24" ht="23.25" x14ac:dyDescent="0.25">
      <c r="A60" s="215">
        <v>18</v>
      </c>
      <c r="B60" s="708"/>
      <c r="C60" s="213" t="s">
        <v>274</v>
      </c>
      <c r="D60" s="709"/>
      <c r="E60" s="709"/>
      <c r="F60" s="214" t="s">
        <v>275</v>
      </c>
      <c r="H60" s="298" t="s">
        <v>276</v>
      </c>
    </row>
    <row r="61" spans="1:24" x14ac:dyDescent="0.25">
      <c r="A61" s="212">
        <v>19</v>
      </c>
      <c r="B61" s="708"/>
      <c r="C61" s="216"/>
      <c r="D61" s="709"/>
      <c r="E61" s="709"/>
      <c r="F61" s="217"/>
      <c r="H61" s="298" t="s">
        <v>277</v>
      </c>
      <c r="I61" s="158"/>
    </row>
    <row r="62" spans="1:24" ht="23.25" x14ac:dyDescent="0.25">
      <c r="A62" s="215">
        <v>20</v>
      </c>
      <c r="B62" s="708"/>
      <c r="C62" s="214" t="s">
        <v>271</v>
      </c>
      <c r="D62" s="710" t="s">
        <v>272</v>
      </c>
      <c r="E62" s="214" t="s">
        <v>272</v>
      </c>
      <c r="F62" s="217"/>
      <c r="H62" s="298" t="s">
        <v>278</v>
      </c>
    </row>
    <row r="63" spans="1:24" ht="23.25" x14ac:dyDescent="0.25">
      <c r="A63" s="212">
        <v>21</v>
      </c>
      <c r="B63" s="711" t="s">
        <v>179</v>
      </c>
      <c r="C63" s="214" t="s">
        <v>279</v>
      </c>
      <c r="D63" s="710"/>
      <c r="E63" s="214" t="s">
        <v>275</v>
      </c>
      <c r="F63" s="217"/>
      <c r="H63" s="298" t="s">
        <v>280</v>
      </c>
    </row>
    <row r="64" spans="1:24" x14ac:dyDescent="0.25">
      <c r="A64" s="215">
        <v>22</v>
      </c>
      <c r="B64" s="711"/>
      <c r="C64" s="217"/>
      <c r="D64" s="710"/>
      <c r="E64" s="217"/>
      <c r="F64" s="217"/>
      <c r="H64" s="298" t="s">
        <v>281</v>
      </c>
    </row>
    <row r="65" spans="1:8" x14ac:dyDescent="0.25">
      <c r="A65" s="212">
        <v>23</v>
      </c>
      <c r="B65" s="711"/>
      <c r="C65" s="217"/>
      <c r="D65" s="710"/>
      <c r="E65" s="217"/>
      <c r="F65" s="217"/>
    </row>
    <row r="66" spans="1:8" x14ac:dyDescent="0.25">
      <c r="A66" s="215">
        <v>24</v>
      </c>
      <c r="B66" s="711"/>
      <c r="C66" s="217"/>
      <c r="D66" s="710"/>
      <c r="E66" s="217"/>
      <c r="F66" s="217"/>
      <c r="H66" s="298" t="s">
        <v>282</v>
      </c>
    </row>
    <row r="67" spans="1:8" x14ac:dyDescent="0.25">
      <c r="A67" s="212">
        <v>25</v>
      </c>
      <c r="B67" s="711"/>
      <c r="C67" s="217"/>
      <c r="D67" s="709" t="s">
        <v>271</v>
      </c>
      <c r="E67" s="217"/>
      <c r="F67" s="217"/>
      <c r="H67" s="298" t="s">
        <v>283</v>
      </c>
    </row>
    <row r="68" spans="1:8" x14ac:dyDescent="0.25">
      <c r="A68" s="215">
        <v>26</v>
      </c>
      <c r="B68" s="711"/>
      <c r="C68" s="709" t="s">
        <v>271</v>
      </c>
      <c r="D68" s="709"/>
      <c r="E68" s="217"/>
      <c r="F68" s="217"/>
    </row>
    <row r="69" spans="1:8" x14ac:dyDescent="0.25">
      <c r="A69" s="212">
        <v>27</v>
      </c>
      <c r="B69" s="708" t="s">
        <v>270</v>
      </c>
      <c r="C69" s="709"/>
      <c r="D69" s="709"/>
      <c r="E69" s="217"/>
      <c r="F69" s="217"/>
    </row>
    <row r="70" spans="1:8" x14ac:dyDescent="0.25">
      <c r="A70" s="215">
        <v>28</v>
      </c>
      <c r="B70" s="708"/>
      <c r="C70" s="711" t="s">
        <v>179</v>
      </c>
      <c r="D70" s="709"/>
      <c r="E70" s="217"/>
      <c r="F70" s="217"/>
      <c r="H70" s="298" t="s">
        <v>284</v>
      </c>
    </row>
    <row r="71" spans="1:8" x14ac:dyDescent="0.25">
      <c r="A71" s="212">
        <v>29</v>
      </c>
      <c r="B71" s="708"/>
      <c r="C71" s="711"/>
      <c r="D71" s="709"/>
      <c r="E71" s="217"/>
      <c r="F71" s="217"/>
    </row>
    <row r="72" spans="1:8" x14ac:dyDescent="0.25">
      <c r="A72" s="215">
        <v>30</v>
      </c>
      <c r="B72" s="708"/>
      <c r="C72" s="711"/>
      <c r="D72" s="711" t="s">
        <v>179</v>
      </c>
      <c r="E72" s="217"/>
      <c r="F72" s="217"/>
      <c r="H72" s="298" t="s">
        <v>285</v>
      </c>
    </row>
    <row r="73" spans="1:8" x14ac:dyDescent="0.25">
      <c r="A73" s="212">
        <v>31</v>
      </c>
      <c r="B73" s="708"/>
      <c r="C73" s="711"/>
      <c r="D73" s="711"/>
      <c r="E73" s="214" t="s">
        <v>271</v>
      </c>
      <c r="F73" s="217"/>
    </row>
    <row r="74" spans="1:8" ht="23.25" x14ac:dyDescent="0.25">
      <c r="A74" s="215">
        <v>32</v>
      </c>
      <c r="B74" s="708"/>
      <c r="C74" s="711"/>
      <c r="D74" s="711"/>
      <c r="E74" s="214" t="s">
        <v>279</v>
      </c>
      <c r="F74" s="217"/>
      <c r="H74" s="298" t="s">
        <v>286</v>
      </c>
    </row>
    <row r="75" spans="1:8" ht="23.25" x14ac:dyDescent="0.25">
      <c r="A75" s="212">
        <v>33</v>
      </c>
      <c r="B75" s="708"/>
      <c r="C75" s="708" t="s">
        <v>270</v>
      </c>
      <c r="D75" s="711"/>
      <c r="E75" s="213" t="s">
        <v>179</v>
      </c>
      <c r="F75" s="213" t="s">
        <v>179</v>
      </c>
    </row>
    <row r="76" spans="1:8" x14ac:dyDescent="0.25">
      <c r="A76" s="215">
        <v>34</v>
      </c>
      <c r="B76" s="712" t="s">
        <v>287</v>
      </c>
      <c r="C76" s="708"/>
      <c r="D76" s="711"/>
      <c r="E76" s="213" t="s">
        <v>274</v>
      </c>
      <c r="F76" s="213" t="s">
        <v>274</v>
      </c>
      <c r="H76" s="298" t="s">
        <v>288</v>
      </c>
    </row>
    <row r="77" spans="1:8" x14ac:dyDescent="0.25">
      <c r="A77" s="212">
        <v>35</v>
      </c>
      <c r="B77" s="712"/>
      <c r="C77" s="712" t="s">
        <v>287</v>
      </c>
      <c r="D77" s="708" t="s">
        <v>270</v>
      </c>
      <c r="E77" s="708" t="s">
        <v>270</v>
      </c>
      <c r="F77" s="216"/>
    </row>
    <row r="78" spans="1:8" ht="23.25" x14ac:dyDescent="0.25">
      <c r="A78" s="215">
        <v>36</v>
      </c>
      <c r="B78" s="712"/>
      <c r="C78" s="712"/>
      <c r="D78" s="708"/>
      <c r="E78" s="708"/>
      <c r="F78" s="218" t="s">
        <v>270</v>
      </c>
      <c r="H78" s="298" t="s">
        <v>289</v>
      </c>
    </row>
    <row r="79" spans="1:8" x14ac:dyDescent="0.25">
      <c r="A79" s="707" t="s">
        <v>290</v>
      </c>
      <c r="B79" s="707"/>
      <c r="C79" s="707"/>
      <c r="D79" s="707"/>
      <c r="E79" s="707"/>
      <c r="F79" s="707"/>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85" priority="3" operator="greaterThan">
      <formula>6.99</formula>
    </cfRule>
    <cfRule type="cellIs" dxfId="384"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24" t="s">
        <v>11</v>
      </c>
      <c r="E2" s="724"/>
      <c r="F2" s="725" t="s">
        <v>12</v>
      </c>
      <c r="G2" s="725"/>
      <c r="H2" s="726" t="s">
        <v>13</v>
      </c>
      <c r="I2" s="726"/>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278" priority="1" operator="lessThan">
      <formula>0</formula>
    </cfRule>
    <cfRule type="cellIs" dxfId="277" priority="2" operator="greaterThan">
      <formula>0</formula>
    </cfRule>
  </conditionalFormatting>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27" t="s">
        <v>461</v>
      </c>
      <c r="C1" s="727"/>
      <c r="D1" s="727"/>
      <c r="E1" s="727"/>
      <c r="F1" s="727"/>
      <c r="G1" s="727"/>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28"/>
      <c r="N27" s="716"/>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28"/>
      <c r="N29" s="716"/>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28"/>
      <c r="M27" s="716"/>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28"/>
      <c r="M29" s="716"/>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27" t="s">
        <v>461</v>
      </c>
      <c r="C1" s="727"/>
      <c r="D1" s="727"/>
      <c r="E1" s="727"/>
      <c r="F1" s="727"/>
      <c r="G1" s="727"/>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661</v>
      </c>
    </row>
    <row r="4" spans="1:15" x14ac:dyDescent="0.25">
      <c r="A4" s="360" t="s">
        <v>689</v>
      </c>
      <c r="B4" s="275" t="s">
        <v>670</v>
      </c>
      <c r="C4" s="275" t="s">
        <v>655</v>
      </c>
      <c r="D4" s="275" t="s">
        <v>64</v>
      </c>
      <c r="E4" s="185" t="s">
        <v>659</v>
      </c>
      <c r="F4" s="277">
        <v>39905</v>
      </c>
      <c r="G4" s="186">
        <v>69069</v>
      </c>
      <c r="H4" s="186">
        <v>2557</v>
      </c>
      <c r="I4" s="187" t="s">
        <v>690</v>
      </c>
      <c r="J4" s="188">
        <v>164826341</v>
      </c>
      <c r="K4" s="188">
        <v>16513898</v>
      </c>
      <c r="L4" s="275">
        <v>225</v>
      </c>
      <c r="M4" s="280">
        <v>1399174</v>
      </c>
    </row>
    <row r="5" spans="1:15" x14ac:dyDescent="0.25">
      <c r="A5" s="360" t="s">
        <v>683</v>
      </c>
      <c r="B5" s="275" t="s">
        <v>686</v>
      </c>
      <c r="C5" s="275" t="s">
        <v>464</v>
      </c>
      <c r="D5" s="275" t="s">
        <v>688</v>
      </c>
      <c r="E5" s="185" t="s">
        <v>685</v>
      </c>
      <c r="F5" s="277">
        <v>38131</v>
      </c>
      <c r="G5" s="186">
        <v>65100</v>
      </c>
      <c r="H5" s="186">
        <v>2785</v>
      </c>
      <c r="I5" s="187" t="s">
        <v>684</v>
      </c>
      <c r="J5" s="188">
        <v>102523605</v>
      </c>
      <c r="K5" s="188">
        <v>3299515</v>
      </c>
      <c r="L5" s="275">
        <v>374</v>
      </c>
      <c r="M5" s="280">
        <v>813312</v>
      </c>
    </row>
    <row r="6" spans="1:15" x14ac:dyDescent="0.25">
      <c r="A6" s="360" t="s">
        <v>679</v>
      </c>
      <c r="B6" s="275" t="s">
        <v>674</v>
      </c>
      <c r="C6" s="275" t="s">
        <v>225</v>
      </c>
      <c r="D6" s="275" t="s">
        <v>64</v>
      </c>
      <c r="E6" s="185" t="s">
        <v>474</v>
      </c>
      <c r="F6" s="278">
        <v>41153</v>
      </c>
      <c r="G6" s="186">
        <v>41940</v>
      </c>
      <c r="H6" s="186">
        <v>2528</v>
      </c>
      <c r="I6" s="187" t="s">
        <v>680</v>
      </c>
      <c r="J6" s="188">
        <v>10691000</v>
      </c>
      <c r="K6" s="188">
        <v>-6306765</v>
      </c>
      <c r="L6" s="275">
        <v>51</v>
      </c>
      <c r="M6" s="280">
        <v>515084</v>
      </c>
    </row>
    <row r="7" spans="1:15" x14ac:dyDescent="0.25">
      <c r="A7" s="184" t="s">
        <v>672</v>
      </c>
      <c r="B7" s="275" t="s">
        <v>674</v>
      </c>
      <c r="C7" s="275" t="s">
        <v>655</v>
      </c>
      <c r="D7" s="275" t="s">
        <v>677</v>
      </c>
      <c r="E7" s="185" t="s">
        <v>675</v>
      </c>
      <c r="F7" s="277">
        <v>37346</v>
      </c>
      <c r="G7" s="186">
        <v>44300</v>
      </c>
      <c r="H7" s="186">
        <v>2414</v>
      </c>
      <c r="I7" s="187" t="s">
        <v>673</v>
      </c>
      <c r="J7" s="188">
        <v>80114648</v>
      </c>
      <c r="K7" s="188">
        <v>18307648</v>
      </c>
      <c r="L7" s="275">
        <v>243</v>
      </c>
      <c r="M7" s="280">
        <v>1144574</v>
      </c>
    </row>
    <row r="8" spans="1:15" x14ac:dyDescent="0.25">
      <c r="A8" s="184" t="s">
        <v>664</v>
      </c>
      <c r="B8" s="275" t="s">
        <v>668</v>
      </c>
      <c r="C8" s="275" t="s">
        <v>465</v>
      </c>
      <c r="D8" s="275" t="s">
        <v>547</v>
      </c>
      <c r="E8" s="185" t="s">
        <v>666</v>
      </c>
      <c r="F8" s="277">
        <v>40475</v>
      </c>
      <c r="G8" s="186">
        <v>41840</v>
      </c>
      <c r="H8" s="186">
        <v>2621</v>
      </c>
      <c r="I8" s="187" t="s">
        <v>665</v>
      </c>
      <c r="J8" s="188">
        <v>26320922</v>
      </c>
      <c r="K8" s="188">
        <v>-11164498</v>
      </c>
      <c r="L8" s="275">
        <v>96</v>
      </c>
      <c r="M8" s="280">
        <v>833009</v>
      </c>
    </row>
    <row r="9" spans="1:15" x14ac:dyDescent="0.25">
      <c r="A9" s="184" t="s">
        <v>658</v>
      </c>
      <c r="B9" s="275" t="s">
        <v>674</v>
      </c>
      <c r="C9" s="275" t="s">
        <v>573</v>
      </c>
      <c r="D9" s="275" t="s">
        <v>581</v>
      </c>
      <c r="E9" s="185" t="s">
        <v>659</v>
      </c>
      <c r="F9" s="277">
        <v>38168</v>
      </c>
      <c r="G9" s="186">
        <v>70000</v>
      </c>
      <c r="H9" s="186">
        <v>2465</v>
      </c>
      <c r="I9" s="187" t="s">
        <v>660</v>
      </c>
      <c r="J9" s="188">
        <v>51949337</v>
      </c>
      <c r="K9" s="188">
        <v>-10514595</v>
      </c>
      <c r="L9" s="275">
        <v>174</v>
      </c>
      <c r="M9" s="280">
        <v>1452650</v>
      </c>
    </row>
    <row r="10" spans="1:15" x14ac:dyDescent="0.25">
      <c r="A10" s="184" t="s">
        <v>651</v>
      </c>
      <c r="B10" s="275" t="s">
        <v>692</v>
      </c>
      <c r="C10" s="275" t="s">
        <v>179</v>
      </c>
      <c r="D10" s="275" t="s">
        <v>547</v>
      </c>
      <c r="E10" s="185" t="s">
        <v>656</v>
      </c>
      <c r="F10" s="277">
        <v>40858</v>
      </c>
      <c r="G10" s="186">
        <v>52500</v>
      </c>
      <c r="H10" s="186">
        <v>2565</v>
      </c>
      <c r="I10" s="187" t="s">
        <v>657</v>
      </c>
      <c r="J10" s="188">
        <v>24509198</v>
      </c>
      <c r="K10" s="188">
        <v>7144948</v>
      </c>
      <c r="L10" s="275">
        <v>126</v>
      </c>
      <c r="M10" s="280">
        <v>267142</v>
      </c>
    </row>
    <row r="11" spans="1:15" x14ac:dyDescent="0.25">
      <c r="A11" s="197" t="s">
        <v>243</v>
      </c>
      <c r="B11" s="275" t="s">
        <v>670</v>
      </c>
      <c r="C11" s="275" t="s">
        <v>225</v>
      </c>
      <c r="D11" s="275" t="s">
        <v>677</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691</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682</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678</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667</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663</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652</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671</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687</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681</v>
      </c>
      <c r="M27" s="728"/>
      <c r="N27" s="716"/>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676</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654</v>
      </c>
      <c r="J29" s="279">
        <v>4</v>
      </c>
      <c r="K29" s="279" t="s">
        <v>654</v>
      </c>
      <c r="L29" s="275" t="s">
        <v>669</v>
      </c>
      <c r="M29" s="728"/>
      <c r="N29" s="716"/>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662</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654</v>
      </c>
      <c r="J31" s="279">
        <v>6</v>
      </c>
      <c r="K31" s="279" t="s">
        <v>654</v>
      </c>
      <c r="L31" s="275" t="s">
        <v>653</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27" t="s">
        <v>461</v>
      </c>
      <c r="C1" s="727"/>
      <c r="D1" s="727"/>
      <c r="E1" s="727"/>
      <c r="F1" s="727"/>
      <c r="G1" s="727"/>
      <c r="H1" s="482"/>
      <c r="I1" s="482"/>
      <c r="J1" s="482"/>
      <c r="K1" s="482"/>
      <c r="L1" s="482"/>
      <c r="M1" s="482"/>
    </row>
    <row r="2" spans="1:13" x14ac:dyDescent="0.25">
      <c r="A2" s="180"/>
      <c r="B2" s="482"/>
      <c r="C2" s="482"/>
      <c r="D2" s="482"/>
      <c r="E2" s="482"/>
      <c r="F2" s="482"/>
      <c r="G2" s="482"/>
      <c r="H2" s="482"/>
      <c r="I2" s="482"/>
      <c r="J2" s="482"/>
      <c r="K2" s="482"/>
      <c r="L2" s="482"/>
      <c r="M2" s="482"/>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661</v>
      </c>
    </row>
    <row r="4" spans="1:13" x14ac:dyDescent="0.25">
      <c r="A4" s="360" t="s">
        <v>942</v>
      </c>
      <c r="B4" s="275" t="s">
        <v>674</v>
      </c>
      <c r="C4" s="275" t="s">
        <v>655</v>
      </c>
      <c r="D4" s="275"/>
      <c r="E4" s="185" t="s">
        <v>943</v>
      </c>
      <c r="F4" s="277">
        <v>38857</v>
      </c>
      <c r="G4" s="186">
        <v>67641</v>
      </c>
      <c r="H4" s="186">
        <v>2838</v>
      </c>
      <c r="I4" s="187" t="s">
        <v>944</v>
      </c>
      <c r="J4" s="188">
        <v>138055793</v>
      </c>
      <c r="K4" s="188">
        <v>136696022</v>
      </c>
      <c r="L4" s="275">
        <v>370</v>
      </c>
      <c r="M4" s="280">
        <v>945588</v>
      </c>
    </row>
    <row r="5" spans="1:13" x14ac:dyDescent="0.25">
      <c r="A5" s="184" t="s">
        <v>460</v>
      </c>
      <c r="B5" s="275" t="s">
        <v>670</v>
      </c>
      <c r="C5" s="275" t="s">
        <v>179</v>
      </c>
      <c r="D5" s="275" t="s">
        <v>920</v>
      </c>
      <c r="E5" s="185" t="s">
        <v>466</v>
      </c>
      <c r="F5" s="277">
        <v>41400</v>
      </c>
      <c r="G5" s="186">
        <v>58157</v>
      </c>
      <c r="H5" s="186">
        <v>2845</v>
      </c>
      <c r="I5" s="187" t="s">
        <v>946</v>
      </c>
      <c r="J5" s="188">
        <v>1035350</v>
      </c>
      <c r="K5" s="188">
        <v>-12451970</v>
      </c>
      <c r="L5" s="275">
        <v>23</v>
      </c>
      <c r="M5" s="280">
        <v>4495773</v>
      </c>
    </row>
    <row r="6" spans="1:13" x14ac:dyDescent="0.25">
      <c r="A6" s="360" t="s">
        <v>916</v>
      </c>
      <c r="B6" s="275" t="s">
        <v>674</v>
      </c>
      <c r="C6" s="275" t="s">
        <v>470</v>
      </c>
      <c r="D6" s="275"/>
      <c r="E6" s="185" t="s">
        <v>559</v>
      </c>
      <c r="F6" s="277">
        <v>38075</v>
      </c>
      <c r="G6" s="186">
        <v>70525</v>
      </c>
      <c r="H6" s="186">
        <v>2758</v>
      </c>
      <c r="I6" s="187" t="s">
        <v>762</v>
      </c>
      <c r="J6" s="188">
        <v>143006593</v>
      </c>
      <c r="K6" s="188">
        <v>-7381552</v>
      </c>
      <c r="L6" s="275">
        <v>320</v>
      </c>
      <c r="M6" s="280">
        <v>1285369</v>
      </c>
    </row>
    <row r="7" spans="1:13" x14ac:dyDescent="0.25">
      <c r="A7" s="184" t="s">
        <v>921</v>
      </c>
      <c r="B7" s="275" t="s">
        <v>668</v>
      </c>
      <c r="C7" s="275" t="s">
        <v>465</v>
      </c>
      <c r="D7" s="275"/>
      <c r="E7" s="185" t="s">
        <v>559</v>
      </c>
      <c r="F7" s="277">
        <v>41067</v>
      </c>
      <c r="G7" s="186">
        <v>67347</v>
      </c>
      <c r="H7" s="186">
        <v>2969</v>
      </c>
      <c r="I7" s="187" t="s">
        <v>919</v>
      </c>
      <c r="J7" s="188">
        <v>30810000</v>
      </c>
      <c r="K7" s="188">
        <v>-808447</v>
      </c>
      <c r="L7" s="275">
        <v>101</v>
      </c>
      <c r="M7" s="280">
        <v>702632</v>
      </c>
    </row>
    <row r="8" spans="1:13" x14ac:dyDescent="0.25">
      <c r="A8" s="184" t="s">
        <v>948</v>
      </c>
      <c r="B8" s="275" t="s">
        <v>674</v>
      </c>
      <c r="C8" s="275" t="s">
        <v>949</v>
      </c>
      <c r="D8" s="275"/>
      <c r="E8" s="185" t="s">
        <v>917</v>
      </c>
      <c r="F8" s="277">
        <v>39793</v>
      </c>
      <c r="G8" s="186">
        <v>50000</v>
      </c>
      <c r="H8" s="186">
        <v>2891</v>
      </c>
      <c r="I8" s="187" t="s">
        <v>950</v>
      </c>
      <c r="J8" s="188">
        <v>43131941</v>
      </c>
      <c r="K8" s="188">
        <v>-19594079</v>
      </c>
      <c r="L8" s="275">
        <v>144</v>
      </c>
      <c r="M8" s="280">
        <v>1334596</v>
      </c>
    </row>
    <row r="9" spans="1:13" x14ac:dyDescent="0.25">
      <c r="A9" s="360" t="s">
        <v>795</v>
      </c>
      <c r="B9" s="275" t="s">
        <v>674</v>
      </c>
      <c r="C9" s="275" t="s">
        <v>464</v>
      </c>
      <c r="D9" s="275"/>
      <c r="E9" s="185" t="s">
        <v>952</v>
      </c>
      <c r="F9" s="278">
        <v>39361</v>
      </c>
      <c r="G9" s="186">
        <v>75255</v>
      </c>
      <c r="H9" s="186">
        <v>2959</v>
      </c>
      <c r="I9" s="187" t="s">
        <v>763</v>
      </c>
      <c r="J9" s="188">
        <v>155442840</v>
      </c>
      <c r="K9" s="188">
        <v>-11481107</v>
      </c>
      <c r="L9" s="275">
        <v>510</v>
      </c>
      <c r="M9" s="280">
        <v>596157</v>
      </c>
    </row>
    <row r="10" spans="1:13" x14ac:dyDescent="0.25">
      <c r="A10" s="184" t="s">
        <v>954</v>
      </c>
      <c r="B10" s="275" t="s">
        <v>674</v>
      </c>
      <c r="C10" s="275" t="s">
        <v>179</v>
      </c>
      <c r="D10" s="275"/>
      <c r="E10" s="185" t="s">
        <v>917</v>
      </c>
      <c r="F10" s="277">
        <v>41624</v>
      </c>
      <c r="G10" s="186">
        <v>48000</v>
      </c>
      <c r="H10" s="186">
        <v>2771</v>
      </c>
      <c r="I10" s="187" t="s">
        <v>955</v>
      </c>
      <c r="J10" s="188">
        <v>17487490</v>
      </c>
      <c r="K10" s="188">
        <v>-3320330</v>
      </c>
      <c r="L10" s="275">
        <v>94</v>
      </c>
      <c r="M10" s="280">
        <v>358756</v>
      </c>
    </row>
    <row r="11" spans="1:13" x14ac:dyDescent="0.25">
      <c r="A11" s="184" t="s">
        <v>956</v>
      </c>
      <c r="B11" s="275" t="s">
        <v>668</v>
      </c>
      <c r="C11" s="275" t="s">
        <v>179</v>
      </c>
      <c r="D11" s="275"/>
      <c r="E11" s="185" t="s">
        <v>659</v>
      </c>
      <c r="F11" s="277">
        <v>40117</v>
      </c>
      <c r="G11" s="186">
        <v>87000</v>
      </c>
      <c r="H11" s="186">
        <v>2987</v>
      </c>
      <c r="I11" s="187" t="s">
        <v>957</v>
      </c>
      <c r="J11" s="188">
        <v>6689603</v>
      </c>
      <c r="K11" s="188">
        <v>-12050288</v>
      </c>
      <c r="L11" s="275">
        <v>210</v>
      </c>
      <c r="M11" s="280">
        <v>173518</v>
      </c>
    </row>
    <row r="12" spans="1:13" x14ac:dyDescent="0.25">
      <c r="A12" s="180"/>
      <c r="B12" s="482"/>
      <c r="C12" s="482"/>
      <c r="D12" s="482"/>
      <c r="E12" s="482"/>
      <c r="F12" s="482"/>
      <c r="G12" s="482"/>
      <c r="H12" s="482"/>
      <c r="I12" s="482"/>
      <c r="J12" s="482"/>
      <c r="K12" s="482"/>
      <c r="L12" s="482"/>
      <c r="M12" s="482"/>
    </row>
    <row r="13" spans="1:13" x14ac:dyDescent="0.25">
      <c r="A13" s="180"/>
      <c r="B13" s="356">
        <f>AVERAGE(B15:B22)</f>
        <v>2815.5</v>
      </c>
      <c r="C13" s="356">
        <f>AVERAGE(C15:C22)</f>
        <v>2878.25</v>
      </c>
      <c r="D13" s="482"/>
      <c r="E13" s="482"/>
      <c r="F13" s="482"/>
      <c r="G13" s="482"/>
      <c r="H13" s="482"/>
      <c r="I13" s="482"/>
      <c r="J13" s="482"/>
      <c r="K13" s="482"/>
      <c r="L13" s="482"/>
      <c r="M13" s="482"/>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2"/>
      <c r="C23" s="482"/>
      <c r="D23" s="482"/>
      <c r="E23" s="482"/>
      <c r="F23" s="482"/>
      <c r="G23" s="482"/>
      <c r="H23" s="482"/>
      <c r="I23" s="482"/>
      <c r="J23" s="482"/>
      <c r="K23" s="482"/>
      <c r="L23" s="482"/>
      <c r="M23" s="482"/>
    </row>
    <row r="24" spans="1:17" x14ac:dyDescent="0.25">
      <c r="A24" s="181" t="s">
        <v>217</v>
      </c>
      <c r="B24" s="183" t="s">
        <v>232</v>
      </c>
      <c r="C24" s="183" t="s">
        <v>233</v>
      </c>
      <c r="D24" s="183" t="s">
        <v>759</v>
      </c>
      <c r="E24" s="183" t="s">
        <v>760</v>
      </c>
      <c r="F24" s="183" t="s">
        <v>761</v>
      </c>
      <c r="G24" s="276" t="s">
        <v>234</v>
      </c>
      <c r="H24" s="276" t="s">
        <v>235</v>
      </c>
      <c r="I24" s="276" t="s">
        <v>236</v>
      </c>
      <c r="J24" s="276" t="s">
        <v>237</v>
      </c>
      <c r="K24" s="276" t="s">
        <v>238</v>
      </c>
      <c r="P24" s="482"/>
      <c r="Q24" s="482"/>
    </row>
    <row r="25" spans="1:17" x14ac:dyDescent="0.25">
      <c r="A25" s="360" t="str">
        <f>A15</f>
        <v>Krushers</v>
      </c>
      <c r="B25" s="275">
        <v>1107700</v>
      </c>
      <c r="C25" s="275">
        <v>267788</v>
      </c>
      <c r="D25" s="192">
        <v>5.5</v>
      </c>
      <c r="E25" s="192">
        <v>6.75</v>
      </c>
      <c r="F25" s="275" t="s">
        <v>945</v>
      </c>
      <c r="G25" s="195">
        <f>B25/D15</f>
        <v>0.9396365980693212</v>
      </c>
      <c r="H25" s="195">
        <f>C25/E15</f>
        <v>0.91482020483598769</v>
      </c>
      <c r="I25" s="191">
        <f>B25/11</f>
        <v>100700</v>
      </c>
      <c r="J25" s="191">
        <f>C25/11</f>
        <v>24344.363636363636</v>
      </c>
      <c r="K25" s="192">
        <f>B25/C25</f>
        <v>4.1364810969871693</v>
      </c>
      <c r="P25" s="482"/>
      <c r="Q25" s="482"/>
    </row>
    <row r="26" spans="1:17" x14ac:dyDescent="0.25">
      <c r="A26" s="360" t="str">
        <f>A16</f>
        <v>Obiwan JC</v>
      </c>
      <c r="B26" s="275">
        <v>1026070</v>
      </c>
      <c r="C26" s="275">
        <v>132232</v>
      </c>
      <c r="D26" s="192">
        <v>6.75</v>
      </c>
      <c r="E26" s="192">
        <v>7</v>
      </c>
      <c r="F26" s="275" t="s">
        <v>941</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2"/>
      <c r="Q26" s="482"/>
    </row>
    <row r="27" spans="1:17" x14ac:dyDescent="0.25">
      <c r="A27" s="360" t="str">
        <f>A6</f>
        <v>FC Energie Cruces</v>
      </c>
      <c r="B27" s="275">
        <v>1130680</v>
      </c>
      <c r="C27" s="275">
        <v>174650</v>
      </c>
      <c r="D27" s="192">
        <v>5.25</v>
      </c>
      <c r="E27" s="192">
        <v>6.75</v>
      </c>
      <c r="F27" s="275" t="s">
        <v>918</v>
      </c>
      <c r="G27" s="195">
        <f>B27/D17</f>
        <v>0.80040775008317822</v>
      </c>
      <c r="H27" s="195">
        <f>C27/E17</f>
        <v>0.61713780918727912</v>
      </c>
      <c r="I27" s="191">
        <f>B27/11</f>
        <v>102789.09090909091</v>
      </c>
      <c r="J27" s="191">
        <f>C27/11</f>
        <v>15877.272727272728</v>
      </c>
      <c r="K27" s="192">
        <f>B27/C27</f>
        <v>6.4739765244775267</v>
      </c>
      <c r="P27" s="728"/>
      <c r="Q27" s="716"/>
    </row>
    <row r="28" spans="1:17" x14ac:dyDescent="0.25">
      <c r="A28" s="360" t="str">
        <f>A18</f>
        <v>Quasar FC</v>
      </c>
      <c r="B28" s="275">
        <v>1028560</v>
      </c>
      <c r="C28" s="275">
        <v>228106</v>
      </c>
      <c r="D28" s="275">
        <v>7</v>
      </c>
      <c r="E28" s="192">
        <v>6.25</v>
      </c>
      <c r="F28" s="275" t="s">
        <v>947</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2"/>
      <c r="Q28" s="482"/>
    </row>
    <row r="29" spans="1:17" x14ac:dyDescent="0.25">
      <c r="A29" s="360" t="str">
        <f>A19</f>
        <v>Concinnati Kids</v>
      </c>
      <c r="B29" s="275">
        <v>1113100</v>
      </c>
      <c r="C29" s="275">
        <v>220838</v>
      </c>
      <c r="D29" s="192">
        <v>5.75</v>
      </c>
      <c r="E29" s="192">
        <v>6.5</v>
      </c>
      <c r="F29" s="275" t="s">
        <v>951</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28"/>
      <c r="Q29" s="716"/>
    </row>
    <row r="30" spans="1:17" x14ac:dyDescent="0.25">
      <c r="A30" s="360" t="str">
        <f>A20</f>
        <v>The Fighting Philosophers</v>
      </c>
      <c r="B30" s="275">
        <v>2072420</v>
      </c>
      <c r="C30" s="275">
        <v>282550</v>
      </c>
      <c r="D30" s="192">
        <v>7.75</v>
      </c>
      <c r="E30" s="192">
        <v>6.25</v>
      </c>
      <c r="F30" s="275" t="s">
        <v>953</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2"/>
      <c r="Q30" s="482"/>
    </row>
    <row r="31" spans="1:17" x14ac:dyDescent="0.25">
      <c r="A31" s="360" t="str">
        <f>A21</f>
        <v>Stick Men 03</v>
      </c>
      <c r="B31" s="275">
        <v>851470</v>
      </c>
      <c r="C31" s="275">
        <v>231144</v>
      </c>
      <c r="D31" s="275">
        <v>4.25</v>
      </c>
      <c r="E31" s="192">
        <v>6.75</v>
      </c>
      <c r="F31" s="275" t="s">
        <v>879</v>
      </c>
      <c r="G31" s="195">
        <f t="shared" si="28"/>
        <v>0.88511315086435405</v>
      </c>
      <c r="H31" s="195">
        <f t="shared" si="28"/>
        <v>0.91033113834714385</v>
      </c>
      <c r="I31" s="191">
        <f t="shared" si="29"/>
        <v>77406.363636363632</v>
      </c>
      <c r="J31" s="191">
        <f t="shared" si="29"/>
        <v>21013.090909090908</v>
      </c>
      <c r="K31" s="192">
        <f t="shared" si="30"/>
        <v>3.6837209704772782</v>
      </c>
      <c r="P31" s="482"/>
      <c r="Q31" s="482"/>
    </row>
    <row r="32" spans="1:17" x14ac:dyDescent="0.25">
      <c r="A32" s="360" t="str">
        <f t="shared" ref="A32" si="36">A22</f>
        <v>The Old Rasputins</v>
      </c>
      <c r="B32" s="275">
        <v>1333310</v>
      </c>
      <c r="C32" s="275">
        <v>180416</v>
      </c>
      <c r="D32" s="192">
        <v>5.75</v>
      </c>
      <c r="E32" s="192">
        <v>6.75</v>
      </c>
      <c r="F32" s="275" t="s">
        <v>958</v>
      </c>
      <c r="G32" s="195">
        <f t="shared" si="28"/>
        <v>0.9129696455105073</v>
      </c>
      <c r="H32" s="195">
        <f t="shared" si="28"/>
        <v>0.86113312013746357</v>
      </c>
      <c r="I32" s="191">
        <f t="shared" si="29"/>
        <v>121210</v>
      </c>
      <c r="J32" s="191">
        <f t="shared" si="29"/>
        <v>16401.454545454544</v>
      </c>
      <c r="K32" s="192">
        <f t="shared" si="30"/>
        <v>7.3901982085846045</v>
      </c>
      <c r="P32" s="482"/>
      <c r="Q32" s="482"/>
    </row>
  </sheetData>
  <mergeCells count="3">
    <mergeCell ref="B1:G1"/>
    <mergeCell ref="P27:Q27"/>
    <mergeCell ref="P29:Q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35"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36"/>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37">
        <f>C13</f>
        <v>1504841</v>
      </c>
      <c r="AA14" s="738"/>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39" t="s">
        <v>94</v>
      </c>
      <c r="B26" s="739"/>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30" t="s">
        <v>95</v>
      </c>
      <c r="B27" s="730"/>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31" t="s">
        <v>96</v>
      </c>
      <c r="B28" s="731"/>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39" t="s">
        <v>97</v>
      </c>
      <c r="B29" s="739"/>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30" t="s">
        <v>98</v>
      </c>
      <c r="B30" s="730"/>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31" t="s">
        <v>99</v>
      </c>
      <c r="B31" s="731"/>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40"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32">
        <f>C23</f>
        <v>1482625</v>
      </c>
      <c r="AA33" s="733"/>
    </row>
    <row r="34" spans="1:27" x14ac:dyDescent="0.25">
      <c r="A34" s="57"/>
      <c r="B34" s="740"/>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40"/>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40"/>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40"/>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40"/>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34"/>
      <c r="I40" s="734"/>
      <c r="J40" s="734"/>
      <c r="K40" s="734"/>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29"/>
      <c r="I49" s="729"/>
      <c r="J49" s="729"/>
      <c r="K49" s="729"/>
    </row>
    <row r="50" spans="8:11" x14ac:dyDescent="0.25">
      <c r="H50" s="103"/>
      <c r="I50" s="103"/>
      <c r="J50" s="103"/>
      <c r="K50" s="103"/>
    </row>
    <row r="51" spans="8:11" x14ac:dyDescent="0.25">
      <c r="H51" s="729"/>
      <c r="I51" s="729"/>
      <c r="J51" s="729"/>
      <c r="K51" s="729"/>
    </row>
    <row r="52" spans="8:11" ht="15" customHeight="1" x14ac:dyDescent="0.25">
      <c r="H52" s="729"/>
      <c r="I52" s="729"/>
      <c r="J52" s="729"/>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211</v>
      </c>
      <c r="C2" s="742"/>
      <c r="D2" s="742"/>
      <c r="E2" s="742"/>
      <c r="F2" s="742"/>
      <c r="G2" s="743"/>
      <c r="I2" s="744" t="s">
        <v>102</v>
      </c>
      <c r="J2" s="744"/>
      <c r="K2" s="744"/>
      <c r="L2" s="744"/>
      <c r="M2" s="744"/>
      <c r="N2" s="744"/>
      <c r="O2" s="744"/>
      <c r="P2" s="744"/>
      <c r="Q2" s="744"/>
      <c r="R2" s="744"/>
      <c r="S2" s="744"/>
      <c r="T2" s="744"/>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76" priority="9" operator="lessThan">
      <formula>0</formula>
    </cfRule>
    <cfRule type="cellIs" dxfId="275" priority="10"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35"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36"/>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37">
        <f>C13</f>
        <v>2257672</v>
      </c>
      <c r="Z14" s="738"/>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39" t="s">
        <v>94</v>
      </c>
      <c r="B26" s="739"/>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30" t="s">
        <v>95</v>
      </c>
      <c r="B27" s="730"/>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31" t="s">
        <v>96</v>
      </c>
      <c r="B28" s="731"/>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39" t="s">
        <v>97</v>
      </c>
      <c r="B29" s="739"/>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30" t="s">
        <v>98</v>
      </c>
      <c r="B30" s="730"/>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31" t="s">
        <v>99</v>
      </c>
      <c r="B31" s="731"/>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299</v>
      </c>
      <c r="C33" s="174" t="s">
        <v>184</v>
      </c>
      <c r="D33" s="175"/>
      <c r="E33" s="175"/>
      <c r="F33" s="175"/>
      <c r="G33" s="175"/>
      <c r="H33" s="175"/>
      <c r="I33" s="175"/>
      <c r="J33" s="175"/>
      <c r="K33" s="175"/>
      <c r="L33" s="175"/>
      <c r="M33" s="175"/>
      <c r="N33" s="175"/>
      <c r="O33" s="175"/>
      <c r="P33" s="175"/>
      <c r="Q33" s="175"/>
      <c r="R33" s="175"/>
      <c r="S33" s="175">
        <v>49820</v>
      </c>
      <c r="Y33" s="732">
        <f>C23</f>
        <v>2470257</v>
      </c>
      <c r="Z33" s="733"/>
    </row>
    <row r="34" spans="1:26" x14ac:dyDescent="0.25">
      <c r="A34" s="57"/>
      <c r="B34" s="740"/>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40"/>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40"/>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40"/>
      <c r="C37" s="174" t="s">
        <v>214</v>
      </c>
      <c r="D37" s="177"/>
      <c r="E37" s="177"/>
      <c r="F37" s="177"/>
      <c r="G37" s="177"/>
      <c r="H37" s="177"/>
      <c r="I37" s="177"/>
      <c r="J37" s="177"/>
      <c r="K37" s="177"/>
      <c r="L37" s="177"/>
      <c r="M37" s="177"/>
      <c r="N37" s="177"/>
      <c r="O37" s="177"/>
      <c r="P37" s="177"/>
      <c r="Q37" s="177"/>
      <c r="R37" s="177"/>
      <c r="S37" s="177" t="s">
        <v>433</v>
      </c>
    </row>
    <row r="38" spans="1:26" x14ac:dyDescent="0.25">
      <c r="B38" s="740"/>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34"/>
      <c r="H40" s="734"/>
      <c r="I40" s="734"/>
      <c r="J40" s="734"/>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29"/>
      <c r="H49" s="729"/>
      <c r="I49" s="729"/>
      <c r="J49" s="729"/>
    </row>
    <row r="50" spans="7:10" x14ac:dyDescent="0.25">
      <c r="G50" s="234"/>
      <c r="H50" s="234"/>
      <c r="I50" s="234"/>
      <c r="J50" s="234"/>
    </row>
    <row r="51" spans="7:10" x14ac:dyDescent="0.25">
      <c r="G51" s="729"/>
      <c r="H51" s="729"/>
      <c r="I51" s="729"/>
      <c r="J51" s="729"/>
    </row>
    <row r="52" spans="7:10" ht="15" customHeight="1" x14ac:dyDescent="0.25">
      <c r="G52" s="729"/>
      <c r="H52" s="729"/>
      <c r="I52" s="729"/>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329</v>
      </c>
      <c r="C2" s="742"/>
      <c r="D2" s="742"/>
      <c r="E2" s="742"/>
      <c r="F2" s="742"/>
      <c r="G2" s="743"/>
      <c r="I2" s="744" t="s">
        <v>102</v>
      </c>
      <c r="J2" s="744"/>
      <c r="K2" s="744"/>
      <c r="L2" s="744"/>
      <c r="M2" s="744"/>
      <c r="N2" s="744"/>
      <c r="O2" s="744"/>
      <c r="P2" s="744"/>
      <c r="Q2" s="744"/>
      <c r="R2" s="744"/>
      <c r="S2" s="744"/>
      <c r="T2" s="744"/>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74" priority="1" operator="lessThan">
      <formula>0</formula>
    </cfRule>
    <cfRule type="cellIs" dxfId="273" priority="2"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35"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36"/>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37">
        <f>C13</f>
        <v>3165941</v>
      </c>
      <c r="Z14" s="738"/>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39" t="s">
        <v>94</v>
      </c>
      <c r="B26" s="739"/>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30" t="s">
        <v>95</v>
      </c>
      <c r="B27" s="730"/>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31" t="s">
        <v>96</v>
      </c>
      <c r="B28" s="731"/>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39" t="s">
        <v>97</v>
      </c>
      <c r="B29" s="739"/>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30" t="s">
        <v>98</v>
      </c>
      <c r="B30" s="730"/>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31" t="s">
        <v>99</v>
      </c>
      <c r="B31" s="731"/>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299</v>
      </c>
      <c r="C33" s="174" t="s">
        <v>184</v>
      </c>
      <c r="D33" s="175"/>
      <c r="E33" s="175"/>
      <c r="F33" s="175"/>
      <c r="G33" s="175"/>
      <c r="H33" s="175"/>
      <c r="I33" s="175"/>
      <c r="J33" s="175"/>
      <c r="K33" s="175"/>
      <c r="L33" s="175"/>
      <c r="M33" s="175"/>
      <c r="N33" s="175"/>
      <c r="O33" s="175"/>
      <c r="P33" s="175"/>
      <c r="Q33" s="175"/>
      <c r="R33" s="175"/>
      <c r="S33" s="175"/>
      <c r="Y33" s="732">
        <f>C23</f>
        <v>1505104</v>
      </c>
      <c r="Z33" s="733"/>
    </row>
    <row r="34" spans="1:26" x14ac:dyDescent="0.25">
      <c r="A34" s="57"/>
      <c r="B34" s="740"/>
      <c r="C34" s="174" t="s">
        <v>105</v>
      </c>
      <c r="D34" s="175"/>
      <c r="E34" s="175"/>
      <c r="F34" s="175"/>
      <c r="G34" s="175"/>
      <c r="H34" s="175"/>
      <c r="I34" s="175"/>
      <c r="J34" s="175"/>
      <c r="K34" s="175"/>
      <c r="L34" s="175"/>
      <c r="M34" s="175"/>
      <c r="N34" s="175"/>
      <c r="O34" s="175"/>
      <c r="P34" s="175"/>
      <c r="Q34" s="175"/>
      <c r="R34" s="175"/>
      <c r="S34" s="175"/>
    </row>
    <row r="35" spans="1:26" x14ac:dyDescent="0.25">
      <c r="A35" s="57"/>
      <c r="B35" s="740"/>
      <c r="C35" s="174" t="s">
        <v>62</v>
      </c>
      <c r="D35" s="176"/>
      <c r="E35" s="176"/>
      <c r="F35" s="176"/>
      <c r="G35" s="176"/>
      <c r="H35" s="176"/>
      <c r="I35" s="176"/>
      <c r="J35" s="176"/>
      <c r="K35" s="176"/>
      <c r="L35" s="176"/>
      <c r="M35" s="176"/>
      <c r="N35" s="176"/>
      <c r="O35" s="176"/>
      <c r="P35" s="176"/>
      <c r="Q35" s="176"/>
      <c r="R35" s="176"/>
      <c r="S35" s="176"/>
    </row>
    <row r="36" spans="1:26" x14ac:dyDescent="0.25">
      <c r="A36" s="57"/>
      <c r="B36" s="740"/>
      <c r="C36" s="174" t="s">
        <v>213</v>
      </c>
      <c r="D36" s="177"/>
      <c r="E36" s="177"/>
      <c r="F36" s="177"/>
      <c r="G36" s="177"/>
      <c r="H36" s="177"/>
      <c r="I36" s="177"/>
      <c r="J36" s="177"/>
      <c r="K36" s="177"/>
      <c r="L36" s="177"/>
      <c r="M36" s="177"/>
      <c r="N36" s="177"/>
      <c r="O36" s="177"/>
      <c r="P36" s="177"/>
      <c r="Q36" s="177"/>
      <c r="R36" s="177"/>
      <c r="S36" s="177"/>
    </row>
    <row r="37" spans="1:26" x14ac:dyDescent="0.25">
      <c r="B37" s="740"/>
      <c r="C37" s="174" t="s">
        <v>214</v>
      </c>
      <c r="D37" s="177"/>
      <c r="E37" s="177"/>
      <c r="F37" s="177"/>
      <c r="G37" s="177"/>
      <c r="H37" s="177"/>
      <c r="I37" s="177"/>
      <c r="J37" s="177"/>
      <c r="K37" s="177"/>
      <c r="L37" s="177"/>
      <c r="M37" s="177"/>
      <c r="N37" s="177"/>
      <c r="O37" s="177"/>
      <c r="P37" s="177"/>
      <c r="Q37" s="177"/>
      <c r="R37" s="177"/>
      <c r="S37" s="177"/>
    </row>
    <row r="38" spans="1:26" x14ac:dyDescent="0.25">
      <c r="B38" s="740"/>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34"/>
      <c r="H40" s="734"/>
      <c r="I40" s="734"/>
      <c r="J40" s="734"/>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29"/>
      <c r="H49" s="729"/>
      <c r="I49" s="729"/>
      <c r="J49" s="729"/>
    </row>
    <row r="50" spans="7:10" x14ac:dyDescent="0.25">
      <c r="G50" s="261"/>
      <c r="H50" s="261"/>
      <c r="I50" s="261"/>
      <c r="J50" s="261"/>
    </row>
    <row r="51" spans="7:10" x14ac:dyDescent="0.25">
      <c r="G51" s="729"/>
      <c r="H51" s="729"/>
      <c r="I51" s="729"/>
      <c r="J51" s="729"/>
    </row>
    <row r="52" spans="7:10" ht="15" customHeight="1" x14ac:dyDescent="0.25">
      <c r="G52" s="729"/>
      <c r="H52" s="729"/>
      <c r="I52" s="729"/>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K5" sqref="K5"/>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713</v>
      </c>
      <c r="D1" s="362" t="s">
        <v>714</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PLANTILLA!W7+1.5+PLANTILLA!J7</f>
        <v>17.268121678740911</v>
      </c>
      <c r="C2" s="159">
        <f>PLANTILLA!Z7+1.5+PLANTILLA!J7</f>
        <v>12.488121678740907</v>
      </c>
      <c r="D2" s="387">
        <f t="shared" ref="D2:D20" si="0">(C2*2+B2)/8</f>
        <v>5.2805456295278406</v>
      </c>
      <c r="E2" s="159">
        <f>D2*PLANTILLA!P7</f>
        <v>4.8888352815829759</v>
      </c>
      <c r="F2" s="159">
        <f>E2*PLANTILLA!Q7</f>
        <v>4.8853420083383687</v>
      </c>
      <c r="H2" t="str">
        <f>A2</f>
        <v>B. Pinczehelyi</v>
      </c>
      <c r="I2" s="159">
        <f>D2</f>
        <v>5.2805456295278406</v>
      </c>
      <c r="J2" s="159">
        <f t="shared" ref="J2:K2" si="1">E2</f>
        <v>4.8888352815829759</v>
      </c>
      <c r="K2" s="159">
        <f t="shared" si="1"/>
        <v>4.8853420083383687</v>
      </c>
      <c r="M2" t="str">
        <f>A2</f>
        <v>B. Pinczehelyi</v>
      </c>
      <c r="N2" s="159">
        <f>D2</f>
        <v>5.2805456295278406</v>
      </c>
      <c r="O2" s="159">
        <f t="shared" ref="O2:P2" si="2">E2</f>
        <v>4.8888352815829759</v>
      </c>
      <c r="P2" s="159">
        <f t="shared" si="2"/>
        <v>4.8853420083383687</v>
      </c>
    </row>
    <row r="3" spans="1:16" x14ac:dyDescent="0.25">
      <c r="A3" t="str">
        <f>PLANTILLA!D16</f>
        <v>C. Rojas</v>
      </c>
      <c r="B3" s="159">
        <f>PLANTILLA!W16+1.5+PLANTILLA!J16</f>
        <v>11.5416181707456</v>
      </c>
      <c r="C3" s="159">
        <f>PLANTILLA!Z16+1.5+PLANTILLA!J16</f>
        <v>13.02406261519004</v>
      </c>
      <c r="D3" s="387">
        <f t="shared" si="0"/>
        <v>4.6987179251407101</v>
      </c>
      <c r="E3" s="159">
        <f>D3*PLANTILLA!P16</f>
        <v>4.3501674982568481</v>
      </c>
      <c r="F3" s="159">
        <f>E3*PLANTILLA!Q16</f>
        <v>4.3470591252281086</v>
      </c>
      <c r="H3" s="159" t="str">
        <f>A7</f>
        <v>E. Toney</v>
      </c>
      <c r="I3" s="159">
        <f>D7</f>
        <v>5.0286356478278824</v>
      </c>
      <c r="J3" s="159">
        <f t="shared" ref="J3:K3" si="3">E7</f>
        <v>4.2499728132412251</v>
      </c>
      <c r="K3" s="159">
        <f t="shared" si="3"/>
        <v>3.9314299614154264</v>
      </c>
      <c r="M3" t="str">
        <f>A7</f>
        <v>E. Toney</v>
      </c>
      <c r="N3" s="159">
        <f>D7</f>
        <v>5.0286356478278824</v>
      </c>
      <c r="O3" s="159">
        <f t="shared" ref="O3:P3" si="4">E7</f>
        <v>4.2499728132412251</v>
      </c>
      <c r="P3" s="159">
        <f t="shared" si="4"/>
        <v>3.9314299614154264</v>
      </c>
    </row>
    <row r="4" spans="1:16" x14ac:dyDescent="0.25">
      <c r="A4" t="str">
        <f>PLANTILLA!D12</f>
        <v>E. Romweber</v>
      </c>
      <c r="B4" s="159">
        <f>PLANTILLA!W12+1.5+PLANTILLA!J12</f>
        <v>14.984098574941132</v>
      </c>
      <c r="C4" s="159">
        <f>PLANTILLA!Z12+1.5+PLANTILLA!J12</f>
        <v>13.904098574941134</v>
      </c>
      <c r="D4" s="387">
        <f t="shared" si="0"/>
        <v>5.3490369656029255</v>
      </c>
      <c r="E4" s="159">
        <f>D4*PLANTILLA!P12</f>
        <v>4.5207613501794262</v>
      </c>
      <c r="F4" s="159">
        <f>E4*PLANTILLA!Q12</f>
        <v>4.181922426687172</v>
      </c>
      <c r="H4" t="str">
        <f t="shared" ref="H3:H6" si="5">A4</f>
        <v>E. Romweber</v>
      </c>
      <c r="I4" s="159">
        <f t="shared" ref="I3:I6" si="6">D4</f>
        <v>5.3490369656029255</v>
      </c>
      <c r="J4" s="159">
        <f t="shared" ref="J4:J6" si="7">E4</f>
        <v>4.5207613501794262</v>
      </c>
      <c r="K4" s="159">
        <f t="shared" ref="K4:K6" si="8">F4</f>
        <v>4.181922426687172</v>
      </c>
      <c r="M4" t="str">
        <f t="shared" ref="M3:M5" si="9">A4</f>
        <v>E. Romweber</v>
      </c>
      <c r="N4" s="159">
        <f t="shared" ref="N3:N5" si="10">D4</f>
        <v>5.3490369656029255</v>
      </c>
      <c r="O4" s="159">
        <f t="shared" ref="O3:O5" si="11">E4</f>
        <v>4.5207613501794262</v>
      </c>
      <c r="P4" s="159">
        <f t="shared" ref="P3:P5" si="12">F4</f>
        <v>4.181922426687172</v>
      </c>
    </row>
    <row r="5" spans="1:16" x14ac:dyDescent="0.25">
      <c r="A5" t="str">
        <f>PLANTILLA!D8</f>
        <v>D. Toh</v>
      </c>
      <c r="B5" s="159">
        <f>PLANTILLA!W8+1.5+PLANTILLA!J8</f>
        <v>13.739225234285724</v>
      </c>
      <c r="C5" s="159">
        <f>PLANTILLA!Z8+1.5+PLANTILLA!J8</f>
        <v>10.462003012063503</v>
      </c>
      <c r="D5" s="387">
        <f t="shared" si="0"/>
        <v>4.3329039073015911</v>
      </c>
      <c r="E5" s="159">
        <f>D5*PLANTILLA!P8</f>
        <v>3.6619721725857537</v>
      </c>
      <c r="F5" s="159">
        <f>E5*PLANTILLA!Q8</f>
        <v>3.3875009911401106</v>
      </c>
      <c r="H5" s="159" t="str">
        <f>A12</f>
        <v>B. Bartolache</v>
      </c>
      <c r="I5" s="159">
        <f>D12</f>
        <v>4.7780500858809578</v>
      </c>
      <c r="J5" s="159">
        <f t="shared" ref="J5:K5" si="13">E12</f>
        <v>4.4236148072285566</v>
      </c>
      <c r="K5" s="159">
        <f t="shared" si="13"/>
        <v>4.4204539530863123</v>
      </c>
      <c r="M5" s="159" t="str">
        <f>H5</f>
        <v>B. Bartolache</v>
      </c>
      <c r="N5" s="159">
        <f t="shared" ref="N5:P5" si="14">I5</f>
        <v>4.7780500858809578</v>
      </c>
      <c r="O5" s="159">
        <f t="shared" si="14"/>
        <v>4.4236148072285566</v>
      </c>
      <c r="P5" s="159">
        <f t="shared" si="14"/>
        <v>4.4204539530863123</v>
      </c>
    </row>
    <row r="6" spans="1:16" x14ac:dyDescent="0.25">
      <c r="A6" t="str">
        <f>PLANTILLA!D17</f>
        <v>E. Gross</v>
      </c>
      <c r="B6" s="159">
        <f>PLANTILLA!W17+1.5+PLANTILLA!J17</f>
        <v>13.18333333333333</v>
      </c>
      <c r="C6" s="159">
        <f>PLANTILLA!Z17+1.5+PLANTILLA!J17</f>
        <v>12.073333333333334</v>
      </c>
      <c r="D6" s="387">
        <f t="shared" si="0"/>
        <v>4.6662499999999998</v>
      </c>
      <c r="E6" s="159">
        <f>D6*PLANTILLA!P17</f>
        <v>4.3201080405636683</v>
      </c>
      <c r="F6" s="159">
        <f>E6*PLANTILLA!Q17</f>
        <v>4.31702114624985</v>
      </c>
      <c r="H6" t="str">
        <f t="shared" si="5"/>
        <v>E. Gross</v>
      </c>
      <c r="I6" s="159">
        <f t="shared" si="6"/>
        <v>4.6662499999999998</v>
      </c>
      <c r="J6" s="159">
        <f t="shared" ref="J6" si="15">E6</f>
        <v>4.3201080405636683</v>
      </c>
      <c r="K6" s="159">
        <f t="shared" ref="K6" si="16">F6</f>
        <v>4.31702114624985</v>
      </c>
      <c r="N6" s="438"/>
      <c r="O6" s="438"/>
      <c r="P6" s="438"/>
    </row>
    <row r="7" spans="1:16" x14ac:dyDescent="0.25">
      <c r="A7" t="str">
        <f>PLANTILLA!D9</f>
        <v>E. Toney</v>
      </c>
      <c r="B7" s="159">
        <f>PLANTILLA!W9+1.5+PLANTILLA!J9</f>
        <v>15.049695060874356</v>
      </c>
      <c r="C7" s="159">
        <f>PLANTILLA!Z9+1.5+PLANTILLA!J9</f>
        <v>12.589695060874352</v>
      </c>
      <c r="D7" s="387">
        <f t="shared" si="0"/>
        <v>5.0286356478278824</v>
      </c>
      <c r="E7" s="159">
        <f>D7*PLANTILLA!P9</f>
        <v>4.2499728132412251</v>
      </c>
      <c r="F7" s="159">
        <f>E7*PLANTILLA!Q9</f>
        <v>3.9314299614154264</v>
      </c>
      <c r="I7" s="455">
        <f>SUM(I2:I6)</f>
        <v>25.102518328839608</v>
      </c>
      <c r="J7" s="455">
        <f t="shared" ref="J7:K7" si="17">SUM(J2:J6)</f>
        <v>22.40329229279585</v>
      </c>
      <c r="K7" s="455">
        <f t="shared" si="17"/>
        <v>21.73616949577713</v>
      </c>
      <c r="L7" s="455"/>
      <c r="M7" s="455"/>
      <c r="N7" s="455">
        <f>SUM(N2:N6)</f>
        <v>20.436268328839606</v>
      </c>
      <c r="O7" s="455">
        <f t="shared" ref="O7:P7" si="18">SUM(O2:O6)</f>
        <v>18.083184252232183</v>
      </c>
      <c r="P7" s="455">
        <f t="shared" si="18"/>
        <v>17.41914834952728</v>
      </c>
    </row>
    <row r="8" spans="1:16" x14ac:dyDescent="0.25">
      <c r="A8" t="str">
        <f>PLANTILLA!D24</f>
        <v>P .Trivadi</v>
      </c>
      <c r="B8" s="159">
        <f>PLANTILLA!W24+1.5+PLANTILLA!J24</f>
        <v>6.5657873992714419</v>
      </c>
      <c r="C8" s="159">
        <f>PLANTILLA!Z24+1.5+PLANTILLA!J24</f>
        <v>13.365787399271442</v>
      </c>
      <c r="D8" s="387">
        <f t="shared" si="0"/>
        <v>4.1621702747267904</v>
      </c>
      <c r="E8" s="159">
        <f>D8*PLANTILLA!P24</f>
        <v>3.5176759165899054</v>
      </c>
      <c r="F8" s="159">
        <f>E8*PLANTILLA!Q24</f>
        <v>3.2540199904206011</v>
      </c>
    </row>
    <row r="9" spans="1:16" x14ac:dyDescent="0.25">
      <c r="A9" t="str">
        <f>PLANTILLA!D13</f>
        <v>K. Helms</v>
      </c>
      <c r="B9" s="159">
        <f>PLANTILLA!W13+1.5+PLANTILLA!J13</f>
        <v>10.008957363560242</v>
      </c>
      <c r="C9" s="159">
        <f>PLANTILLA!Z13+1.5+PLANTILLA!J13</f>
        <v>13.25895736356024</v>
      </c>
      <c r="D9" s="387">
        <f t="shared" si="0"/>
        <v>4.5658590113350908</v>
      </c>
      <c r="E9" s="159">
        <f>D9*PLANTILLA!P13</f>
        <v>4.2271640454216568</v>
      </c>
      <c r="F9" s="159">
        <f>E9*PLANTILLA!Q13</f>
        <v>4.2241435634029507</v>
      </c>
    </row>
    <row r="10" spans="1:16" x14ac:dyDescent="0.25">
      <c r="A10" t="str">
        <f>PLANTILLA!D22</f>
        <v>J. Limon</v>
      </c>
      <c r="B10" s="159">
        <f>PLANTILLA!W22+1.5+PLANTILLA!J22</f>
        <v>9.7008543782065484</v>
      </c>
      <c r="C10" s="159">
        <f>PLANTILLA!Z22+1.5+PLANTILLA!J22</f>
        <v>12.573235330587499</v>
      </c>
      <c r="D10" s="387">
        <f t="shared" si="0"/>
        <v>4.3559156299226931</v>
      </c>
      <c r="E10" s="159">
        <f>D10*PLANTILLA!P22</f>
        <v>4.3559156299226931</v>
      </c>
      <c r="F10" s="159">
        <f>E10*PLANTILLA!Q22</f>
        <v>4.3559156299226931</v>
      </c>
      <c r="H10" s="159"/>
    </row>
    <row r="11" spans="1:16" x14ac:dyDescent="0.25">
      <c r="A11" t="str">
        <f>PLANTILLA!D23</f>
        <v>L. Calosso</v>
      </c>
      <c r="B11" s="159">
        <f>PLANTILLA!W23+1.5+PLANTILLA!J23</f>
        <v>4.8937639717155434</v>
      </c>
      <c r="C11" s="159">
        <f>PLANTILLA!Z23+1.5+PLANTILLA!J23</f>
        <v>17.913763971715543</v>
      </c>
      <c r="D11" s="387">
        <f t="shared" si="0"/>
        <v>5.0901614893933287</v>
      </c>
      <c r="E11" s="159">
        <f>D11*PLANTILLA!P23</f>
        <v>4.3019716400160144</v>
      </c>
      <c r="F11" s="159">
        <f>E11*PLANTILLA!Q23</f>
        <v>3.9795313857125265</v>
      </c>
    </row>
    <row r="12" spans="1:16" x14ac:dyDescent="0.25">
      <c r="A12" t="str">
        <f>PLANTILLA!D10</f>
        <v>B. Bartolache</v>
      </c>
      <c r="B12" s="159">
        <f>PLANTILLA!W10+1.5+PLANTILLA!J10</f>
        <v>14.494800229015887</v>
      </c>
      <c r="C12" s="159">
        <f>PLANTILLA!Z10+1.5+PLANTILLA!J10</f>
        <v>11.864800229015888</v>
      </c>
      <c r="D12" s="387">
        <f t="shared" si="0"/>
        <v>4.7780500858809578</v>
      </c>
      <c r="E12" s="159">
        <f>D12*PLANTILLA!P10</f>
        <v>4.4236148072285566</v>
      </c>
      <c r="F12" s="159">
        <f>E12*PLANTILLA!Q10</f>
        <v>4.4204539530863123</v>
      </c>
    </row>
    <row r="13" spans="1:16" x14ac:dyDescent="0.25">
      <c r="A13" t="str">
        <f>PLANTILLA!D14</f>
        <v>S. Zobbe</v>
      </c>
      <c r="B13" s="159">
        <f>PLANTILLA!W14+1.5+PLANTILLA!J14</f>
        <v>10.92969497738609</v>
      </c>
      <c r="C13" s="159">
        <f>PLANTILLA!Z14+1.5+PLANTILLA!J14</f>
        <v>13.049694977386091</v>
      </c>
      <c r="D13" s="387">
        <f t="shared" si="0"/>
        <v>4.6286356165197837</v>
      </c>
      <c r="E13" s="159">
        <f>D13*PLANTILLA!P14</f>
        <v>3.030153296724357</v>
      </c>
      <c r="F13" s="159">
        <f>E13*PLANTILLA!Q14</f>
        <v>2.2877155703758736</v>
      </c>
    </row>
    <row r="14" spans="1:16" x14ac:dyDescent="0.25">
      <c r="A14" t="str">
        <f>PLANTILLA!D15</f>
        <v>S. Buschelman</v>
      </c>
      <c r="B14" s="159">
        <f>PLANTILLA!W15+1.5+PLANTILLA!J15</f>
        <v>12.102873135115296</v>
      </c>
      <c r="C14" s="159">
        <f>PLANTILLA!Z15+1.5+PLANTILLA!J15</f>
        <v>12.582539801781966</v>
      </c>
      <c r="D14" s="387">
        <f t="shared" si="0"/>
        <v>4.6584940923349034</v>
      </c>
      <c r="E14" s="159">
        <f>D14*PLANTILLA!P15</f>
        <v>4.312927465355342</v>
      </c>
      <c r="F14" s="159">
        <f>E14*PLANTILLA!Q15</f>
        <v>4.3098457018569043</v>
      </c>
    </row>
    <row r="15" spans="1:16" x14ac:dyDescent="0.25">
      <c r="A15" t="str">
        <f>PLANTILLA!D6</f>
        <v>T. Hammond</v>
      </c>
      <c r="B15" s="159">
        <f>PLANTILLA!W6+1.5+PLANTILLA!J6</f>
        <v>13.554310229533556</v>
      </c>
      <c r="C15" s="159">
        <f>PLANTILLA!Z6+1.5+PLANTILLA!J6</f>
        <v>9.3037546739780019</v>
      </c>
      <c r="D15" s="387">
        <f t="shared" si="0"/>
        <v>4.020227447186195</v>
      </c>
      <c r="E15" s="159">
        <f>D15*PLANTILLA!P6</f>
        <v>3.3977123319657752</v>
      </c>
      <c r="F15" s="159">
        <f>E15*PLANTILLA!Q6</f>
        <v>3.1430478850460219</v>
      </c>
    </row>
    <row r="16" spans="1:16" x14ac:dyDescent="0.25">
      <c r="A16" t="str">
        <f>PLANTILLA!D11</f>
        <v>F. Lasprilla</v>
      </c>
      <c r="B16" s="159">
        <f>PLANTILLA!W11+1.5+PLANTILLA!J11</f>
        <v>12.107469348856192</v>
      </c>
      <c r="C16" s="159">
        <f>PLANTILLA!Z11+1.5+PLANTILLA!J11</f>
        <v>11.391136015522857</v>
      </c>
      <c r="D16" s="387">
        <f t="shared" si="0"/>
        <v>4.3612176724877383</v>
      </c>
      <c r="E16" s="159">
        <f>D16*PLANTILLA!P11</f>
        <v>3.68590167170021</v>
      </c>
      <c r="F16" s="159">
        <f>E16*PLANTILLA!Q11</f>
        <v>3.4096369326894616</v>
      </c>
    </row>
    <row r="17" spans="1:6" x14ac:dyDescent="0.25">
      <c r="A17" t="str">
        <f>PLANTILLA!D18</f>
        <v>L. Bauman</v>
      </c>
      <c r="B17" s="159">
        <f>PLANTILLA!W18+1.5+PLANTILLA!J18</f>
        <v>8.0534344570302121</v>
      </c>
      <c r="C17" s="159">
        <f>PLANTILLA!Z18+1.5+PLANTILLA!J18</f>
        <v>11.912323345919104</v>
      </c>
      <c r="D17" s="387">
        <f t="shared" si="0"/>
        <v>3.9847601436085522</v>
      </c>
      <c r="E17" s="159">
        <f>D17*PLANTILLA!P18</f>
        <v>3.9847601436085522</v>
      </c>
      <c r="F17" s="159">
        <f>E17*PLANTILLA!Q18</f>
        <v>3.9847601436085522</v>
      </c>
    </row>
    <row r="18" spans="1:6" x14ac:dyDescent="0.25">
      <c r="A18" t="str">
        <f>PLANTILLA!D19</f>
        <v>W. Gelifini</v>
      </c>
      <c r="B18" s="159">
        <f>PLANTILLA!W19+1.5+PLANTILLA!J19</f>
        <v>8.0635155613369101</v>
      </c>
      <c r="C18" s="159">
        <f>PLANTILLA!Z19+1.5+PLANTILLA!J19</f>
        <v>11.698626672448022</v>
      </c>
      <c r="D18" s="387">
        <f t="shared" si="0"/>
        <v>3.9325961132791192</v>
      </c>
      <c r="E18" s="159">
        <f>D18*PLANTILLA!P19</f>
        <v>3.3236503372666748</v>
      </c>
      <c r="F18" s="159">
        <f>E18*PLANTILLA!Q19</f>
        <v>3.0745369656220047</v>
      </c>
    </row>
    <row r="19" spans="1:6" x14ac:dyDescent="0.25">
      <c r="A19" t="str">
        <f>PLANTILLA!D20</f>
        <v>M. Amico</v>
      </c>
      <c r="B19" s="159">
        <f>PLANTILLA!W20+1.5+PLANTILLA!J20</f>
        <v>4.432674685540718</v>
      </c>
      <c r="C19" s="159">
        <f>PLANTILLA!Z20+1.5+PLANTILLA!J20</f>
        <v>9.2215635744296076</v>
      </c>
      <c r="D19" s="387">
        <f t="shared" si="0"/>
        <v>2.8594752292999916</v>
      </c>
      <c r="E19" s="159">
        <f>D19*PLANTILLA!P20</f>
        <v>2.4166976563336884</v>
      </c>
      <c r="F19" s="159">
        <f>E19*PLANTILLA!Q20</f>
        <v>2.2355619650533116</v>
      </c>
    </row>
    <row r="20" spans="1:6" x14ac:dyDescent="0.25">
      <c r="A20" t="str">
        <f>PLANTILLA!D5</f>
        <v>D. Gehmacher</v>
      </c>
      <c r="B20" s="159">
        <f>PLANTILLA!W5+1.5+PLANTILLA!J5</f>
        <v>15.037732073997715</v>
      </c>
      <c r="C20" s="159">
        <f>PLANTILLA!Z5+1.5+PLANTILLA!J5</f>
        <v>4.2450048012704382</v>
      </c>
      <c r="D20" s="387">
        <f t="shared" si="0"/>
        <v>2.9409677095673237</v>
      </c>
      <c r="E20" s="159">
        <f>D20*PLANTILLA!P5</f>
        <v>2.7228070182994717</v>
      </c>
      <c r="F20" s="159">
        <f>E20*PLANTILLA!Q5</f>
        <v>2.7208614610533344</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429</v>
      </c>
      <c r="C2" s="742"/>
      <c r="D2" s="742"/>
      <c r="E2" s="742"/>
      <c r="F2" s="742"/>
      <c r="G2" s="743"/>
      <c r="I2" s="744" t="s">
        <v>430</v>
      </c>
      <c r="J2" s="744"/>
      <c r="K2" s="744"/>
      <c r="L2" s="744"/>
      <c r="M2" s="744"/>
      <c r="N2" s="744"/>
      <c r="O2" s="744"/>
      <c r="P2" s="744"/>
      <c r="Q2" s="744"/>
      <c r="R2" s="744"/>
      <c r="S2" s="744"/>
      <c r="T2" s="744"/>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72" priority="1" operator="lessThan">
      <formula>0</formula>
    </cfRule>
    <cfRule type="cellIs" dxfId="271"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35"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36"/>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37">
        <f>C13</f>
        <v>3470401</v>
      </c>
      <c r="Z14" s="738"/>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39" t="s">
        <v>94</v>
      </c>
      <c r="B26" s="739"/>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30" t="s">
        <v>95</v>
      </c>
      <c r="B27" s="730"/>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31" t="s">
        <v>96</v>
      </c>
      <c r="B28" s="731"/>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39" t="s">
        <v>97</v>
      </c>
      <c r="B29" s="739"/>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30" t="s">
        <v>98</v>
      </c>
      <c r="B30" s="730"/>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31" t="s">
        <v>99</v>
      </c>
      <c r="B31" s="731"/>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32">
        <f>C23</f>
        <v>4347517</v>
      </c>
      <c r="Z33" s="733"/>
    </row>
    <row r="34" spans="1:26" x14ac:dyDescent="0.25">
      <c r="A34" s="57"/>
      <c r="B34" s="740"/>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40"/>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40"/>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40"/>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40"/>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34"/>
      <c r="H40" s="734"/>
      <c r="I40" s="734"/>
      <c r="J40" s="734"/>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29"/>
      <c r="H49" s="729"/>
      <c r="I49" s="729"/>
      <c r="J49" s="729"/>
    </row>
    <row r="50" spans="7:10" x14ac:dyDescent="0.25">
      <c r="G50" s="283"/>
      <c r="H50" s="283"/>
      <c r="I50" s="283"/>
      <c r="J50" s="283"/>
    </row>
    <row r="51" spans="7:10" x14ac:dyDescent="0.25">
      <c r="G51" s="729"/>
      <c r="H51" s="729"/>
      <c r="I51" s="729"/>
      <c r="J51" s="729"/>
    </row>
    <row r="52" spans="7:10" ht="15" customHeight="1" x14ac:dyDescent="0.25">
      <c r="G52" s="729"/>
      <c r="H52" s="729"/>
      <c r="I52" s="729"/>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490</v>
      </c>
      <c r="C2" s="742"/>
      <c r="D2" s="742"/>
      <c r="E2" s="742"/>
      <c r="F2" s="742"/>
      <c r="G2" s="743"/>
      <c r="I2" s="751" t="s">
        <v>491</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70" priority="1" operator="lessThan">
      <formula>0</formula>
    </cfRule>
    <cfRule type="cellIs" dxfId="269"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35"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36"/>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37">
        <f>C13</f>
        <v>3901063</v>
      </c>
      <c r="Z14" s="738"/>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39" t="s">
        <v>94</v>
      </c>
      <c r="B26" s="739"/>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30" t="s">
        <v>95</v>
      </c>
      <c r="B27" s="730"/>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31" t="s">
        <v>96</v>
      </c>
      <c r="B28" s="731"/>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39" t="s">
        <v>97</v>
      </c>
      <c r="B29" s="739"/>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30" t="s">
        <v>98</v>
      </c>
      <c r="B30" s="730"/>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31" t="s">
        <v>99</v>
      </c>
      <c r="B31" s="731"/>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40"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32">
        <f>C23</f>
        <v>2535782</v>
      </c>
      <c r="Z34" s="733"/>
    </row>
    <row r="35" spans="1:26" x14ac:dyDescent="0.25">
      <c r="A35" s="57"/>
      <c r="B35" s="740"/>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40"/>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40"/>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40"/>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40"/>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34"/>
      <c r="H41" s="734"/>
      <c r="I41" s="734"/>
      <c r="J41" s="734"/>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29"/>
      <c r="H46" s="729"/>
      <c r="I46" s="729"/>
      <c r="J46" s="729"/>
    </row>
    <row r="47" spans="1:26" x14ac:dyDescent="0.25">
      <c r="G47" s="358"/>
      <c r="H47" s="358"/>
      <c r="I47" s="358"/>
      <c r="J47" s="358"/>
    </row>
    <row r="48" spans="1:26" x14ac:dyDescent="0.25">
      <c r="G48" s="729"/>
      <c r="H48" s="729"/>
      <c r="I48" s="729"/>
      <c r="J48" s="729"/>
    </row>
    <row r="49" spans="7:10" ht="15" customHeight="1" x14ac:dyDescent="0.25">
      <c r="G49" s="729"/>
      <c r="H49" s="729"/>
      <c r="I49" s="72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586</v>
      </c>
      <c r="C2" s="742"/>
      <c r="D2" s="742"/>
      <c r="E2" s="742"/>
      <c r="F2" s="742"/>
      <c r="G2" s="743"/>
      <c r="I2" s="751" t="s">
        <v>587</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650</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68" priority="21" operator="lessThan">
      <formula>0</formula>
    </cfRule>
    <cfRule type="cellIs" dxfId="267" priority="22" operator="greaterThan">
      <formula>0</formula>
    </cfRule>
  </conditionalFormatting>
  <conditionalFormatting sqref="O4">
    <cfRule type="cellIs" dxfId="266" priority="19" operator="lessThan">
      <formula>0</formula>
    </cfRule>
    <cfRule type="cellIs" dxfId="265" priority="20" operator="greaterThan">
      <formula>0</formula>
    </cfRule>
  </conditionalFormatting>
  <conditionalFormatting sqref="T4">
    <cfRule type="cellIs" dxfId="264" priority="17" operator="lessThan">
      <formula>0</formula>
    </cfRule>
    <cfRule type="cellIs" dxfId="263" priority="18" operator="greaterThan">
      <formula>0</formula>
    </cfRule>
  </conditionalFormatting>
  <conditionalFormatting sqref="T4">
    <cfRule type="cellIs" dxfId="262" priority="15" operator="lessThan">
      <formula>0</formula>
    </cfRule>
    <cfRule type="cellIs" dxfId="261" priority="16" operator="greaterThan">
      <formula>0</formula>
    </cfRule>
  </conditionalFormatting>
  <conditionalFormatting sqref="O4 T4 Q4">
    <cfRule type="cellIs" dxfId="260" priority="13" operator="lessThan">
      <formula>0</formula>
    </cfRule>
    <cfRule type="cellIs" dxfId="259" priority="14" operator="greaterThan">
      <formula>0</formula>
    </cfRule>
  </conditionalFormatting>
  <conditionalFormatting sqref="T4">
    <cfRule type="cellIs" dxfId="258" priority="11" operator="lessThan">
      <formula>0</formula>
    </cfRule>
    <cfRule type="cellIs" dxfId="257" priority="12" operator="greaterThan">
      <formula>0</formula>
    </cfRule>
  </conditionalFormatting>
  <conditionalFormatting sqref="O5">
    <cfRule type="cellIs" dxfId="256" priority="9" operator="lessThan">
      <formula>0</formula>
    </cfRule>
    <cfRule type="cellIs" dxfId="255" priority="10" operator="greaterThan">
      <formula>0</formula>
    </cfRule>
  </conditionalFormatting>
  <conditionalFormatting sqref="T5">
    <cfRule type="cellIs" dxfId="254" priority="7" operator="lessThan">
      <formula>0</formula>
    </cfRule>
    <cfRule type="cellIs" dxfId="253" priority="8" operator="greaterThan">
      <formula>0</formula>
    </cfRule>
  </conditionalFormatting>
  <conditionalFormatting sqref="T5">
    <cfRule type="cellIs" dxfId="252" priority="5" operator="lessThan">
      <formula>0</formula>
    </cfRule>
    <cfRule type="cellIs" dxfId="251" priority="6" operator="greaterThan">
      <formula>0</formula>
    </cfRule>
  </conditionalFormatting>
  <conditionalFormatting sqref="O5 T5 Q5">
    <cfRule type="cellIs" dxfId="250" priority="3" operator="lessThan">
      <formula>0</formula>
    </cfRule>
    <cfRule type="cellIs" dxfId="249" priority="4" operator="greaterThan">
      <formula>0</formula>
    </cfRule>
  </conditionalFormatting>
  <conditionalFormatting sqref="T5">
    <cfRule type="cellIs" dxfId="248" priority="1" operator="lessThan">
      <formula>0</formula>
    </cfRule>
    <cfRule type="cellIs" dxfId="247"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35"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36"/>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37">
        <f>C13</f>
        <v>5218072</v>
      </c>
      <c r="Z14" s="738"/>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39" t="s">
        <v>94</v>
      </c>
      <c r="B26" s="739"/>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30" t="s">
        <v>95</v>
      </c>
      <c r="B27" s="730"/>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31" t="s">
        <v>96</v>
      </c>
      <c r="B28" s="731"/>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39" t="s">
        <v>97</v>
      </c>
      <c r="B29" s="739"/>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30" t="s">
        <v>98</v>
      </c>
      <c r="B30" s="730"/>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31" t="s">
        <v>99</v>
      </c>
      <c r="B31" s="731"/>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40"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32">
        <f>C23</f>
        <v>4415274</v>
      </c>
      <c r="Z34" s="733"/>
    </row>
    <row r="35" spans="1:26" x14ac:dyDescent="0.25">
      <c r="A35" s="57"/>
      <c r="B35" s="740"/>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40"/>
      <c r="C36" s="174" t="s">
        <v>62</v>
      </c>
      <c r="D36" s="176"/>
      <c r="E36" s="176" t="s">
        <v>592</v>
      </c>
      <c r="F36" s="176"/>
      <c r="G36" s="176"/>
      <c r="H36" s="176"/>
      <c r="I36" s="176"/>
      <c r="J36" s="176" t="s">
        <v>636</v>
      </c>
      <c r="K36" s="176" t="s">
        <v>639</v>
      </c>
      <c r="L36" s="176" t="s">
        <v>643</v>
      </c>
      <c r="M36" s="176" t="s">
        <v>636</v>
      </c>
      <c r="N36" s="176"/>
      <c r="O36" s="176"/>
      <c r="P36" s="176" t="s">
        <v>645</v>
      </c>
      <c r="Q36" s="176" t="s">
        <v>646</v>
      </c>
      <c r="R36" s="176" t="s">
        <v>647</v>
      </c>
      <c r="S36" s="176" t="s">
        <v>649</v>
      </c>
    </row>
    <row r="37" spans="1:26" x14ac:dyDescent="0.25">
      <c r="A37" s="57"/>
      <c r="B37" s="740"/>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40"/>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40"/>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34"/>
      <c r="H41" s="734"/>
      <c r="I41" s="734"/>
      <c r="J41" s="734"/>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row>
    <row r="47" spans="1:26" x14ac:dyDescent="0.25">
      <c r="G47" s="393"/>
      <c r="H47" s="393"/>
      <c r="I47" s="393"/>
      <c r="J47" s="393"/>
    </row>
    <row r="48" spans="1:26" x14ac:dyDescent="0.25">
      <c r="G48" s="729"/>
      <c r="H48" s="729"/>
      <c r="I48" s="729"/>
      <c r="J48" s="729"/>
      <c r="P48" s="413"/>
    </row>
    <row r="49" spans="7:10" ht="15" customHeight="1" x14ac:dyDescent="0.25">
      <c r="G49" s="729"/>
      <c r="H49" s="729"/>
      <c r="I49" s="72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694</v>
      </c>
      <c r="C2" s="742"/>
      <c r="D2" s="742"/>
      <c r="E2" s="742"/>
      <c r="F2" s="742"/>
      <c r="G2" s="743"/>
      <c r="I2" s="751" t="s">
        <v>587</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648</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693</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46" priority="71" operator="lessThan">
      <formula>0</formula>
    </cfRule>
    <cfRule type="cellIs" dxfId="245" priority="72" operator="greaterThan">
      <formula>0</formula>
    </cfRule>
  </conditionalFormatting>
  <conditionalFormatting sqref="O4">
    <cfRule type="cellIs" dxfId="244" priority="69" operator="lessThan">
      <formula>0</formula>
    </cfRule>
    <cfRule type="cellIs" dxfId="243" priority="70" operator="greaterThan">
      <formula>0</formula>
    </cfRule>
  </conditionalFormatting>
  <conditionalFormatting sqref="T4">
    <cfRule type="cellIs" dxfId="242" priority="67" operator="lessThan">
      <formula>0</formula>
    </cfRule>
    <cfRule type="cellIs" dxfId="241" priority="68" operator="greaterThan">
      <formula>0</formula>
    </cfRule>
  </conditionalFormatting>
  <conditionalFormatting sqref="T4">
    <cfRule type="cellIs" dxfId="240" priority="65" operator="lessThan">
      <formula>0</formula>
    </cfRule>
    <cfRule type="cellIs" dxfId="239" priority="66" operator="greaterThan">
      <formula>0</formula>
    </cfRule>
  </conditionalFormatting>
  <conditionalFormatting sqref="O4 T4 Q4">
    <cfRule type="cellIs" dxfId="238" priority="63" operator="lessThan">
      <formula>0</formula>
    </cfRule>
    <cfRule type="cellIs" dxfId="237" priority="64" operator="greaterThan">
      <formula>0</formula>
    </cfRule>
  </conditionalFormatting>
  <conditionalFormatting sqref="T4">
    <cfRule type="cellIs" dxfId="236" priority="61" operator="lessThan">
      <formula>0</formula>
    </cfRule>
    <cfRule type="cellIs" dxfId="235" priority="62" operator="greaterThan">
      <formula>0</formula>
    </cfRule>
  </conditionalFormatting>
  <conditionalFormatting sqref="O5">
    <cfRule type="cellIs" dxfId="234" priority="59" operator="lessThan">
      <formula>0</formula>
    </cfRule>
    <cfRule type="cellIs" dxfId="233" priority="60" operator="greaterThan">
      <formula>0</formula>
    </cfRule>
  </conditionalFormatting>
  <conditionalFormatting sqref="T5">
    <cfRule type="cellIs" dxfId="232" priority="57" operator="lessThan">
      <formula>0</formula>
    </cfRule>
    <cfRule type="cellIs" dxfId="231" priority="58" operator="greaterThan">
      <formula>0</formula>
    </cfRule>
  </conditionalFormatting>
  <conditionalFormatting sqref="T5">
    <cfRule type="cellIs" dxfId="230" priority="55" operator="lessThan">
      <formula>0</formula>
    </cfRule>
    <cfRule type="cellIs" dxfId="229" priority="56" operator="greaterThan">
      <formula>0</formula>
    </cfRule>
  </conditionalFormatting>
  <conditionalFormatting sqref="O5 T5 Q5">
    <cfRule type="cellIs" dxfId="228" priority="53" operator="lessThan">
      <formula>0</formula>
    </cfRule>
    <cfRule type="cellIs" dxfId="227" priority="54" operator="greaterThan">
      <formula>0</formula>
    </cfRule>
  </conditionalFormatting>
  <conditionalFormatting sqref="T5">
    <cfRule type="cellIs" dxfId="226" priority="51" operator="lessThan">
      <formula>0</formula>
    </cfRule>
    <cfRule type="cellIs" dxfId="225" priority="52" operator="greaterThan">
      <formula>0</formula>
    </cfRule>
  </conditionalFormatting>
  <conditionalFormatting sqref="O6">
    <cfRule type="cellIs" dxfId="224" priority="49" operator="lessThan">
      <formula>0</formula>
    </cfRule>
    <cfRule type="cellIs" dxfId="223" priority="50" operator="greaterThan">
      <formula>0</formula>
    </cfRule>
  </conditionalFormatting>
  <conditionalFormatting sqref="T6">
    <cfRule type="cellIs" dxfId="222" priority="47" operator="lessThan">
      <formula>0</formula>
    </cfRule>
    <cfRule type="cellIs" dxfId="221" priority="48" operator="greaterThan">
      <formula>0</formula>
    </cfRule>
  </conditionalFormatting>
  <conditionalFormatting sqref="T6">
    <cfRule type="cellIs" dxfId="220" priority="45" operator="lessThan">
      <formula>0</formula>
    </cfRule>
    <cfRule type="cellIs" dxfId="219" priority="46" operator="greaterThan">
      <formula>0</formula>
    </cfRule>
  </conditionalFormatting>
  <conditionalFormatting sqref="O6 T6 Q6">
    <cfRule type="cellIs" dxfId="218" priority="43" operator="lessThan">
      <formula>0</formula>
    </cfRule>
    <cfRule type="cellIs" dxfId="217" priority="44" operator="greaterThan">
      <formula>0</formula>
    </cfRule>
  </conditionalFormatting>
  <conditionalFormatting sqref="T6">
    <cfRule type="cellIs" dxfId="216" priority="41" operator="lessThan">
      <formula>0</formula>
    </cfRule>
    <cfRule type="cellIs" dxfId="215" priority="42" operator="greaterThan">
      <formula>0</formula>
    </cfRule>
  </conditionalFormatting>
  <conditionalFormatting sqref="O7">
    <cfRule type="cellIs" dxfId="214" priority="39" operator="lessThan">
      <formula>0</formula>
    </cfRule>
    <cfRule type="cellIs" dxfId="213" priority="40" operator="greaterThan">
      <formula>0</formula>
    </cfRule>
  </conditionalFormatting>
  <conditionalFormatting sqref="T7">
    <cfRule type="cellIs" dxfId="212" priority="37" operator="lessThan">
      <formula>0</formula>
    </cfRule>
    <cfRule type="cellIs" dxfId="211" priority="38" operator="greaterThan">
      <formula>0</formula>
    </cfRule>
  </conditionalFormatting>
  <conditionalFormatting sqref="T7">
    <cfRule type="cellIs" dxfId="210" priority="35" operator="lessThan">
      <formula>0</formula>
    </cfRule>
    <cfRule type="cellIs" dxfId="209" priority="36" operator="greaterThan">
      <formula>0</formula>
    </cfRule>
  </conditionalFormatting>
  <conditionalFormatting sqref="O7 T7 Q7">
    <cfRule type="cellIs" dxfId="208" priority="33" operator="lessThan">
      <formula>0</formula>
    </cfRule>
    <cfRule type="cellIs" dxfId="207" priority="34" operator="greaterThan">
      <formula>0</formula>
    </cfRule>
  </conditionalFormatting>
  <conditionalFormatting sqref="T7">
    <cfRule type="cellIs" dxfId="206" priority="31" operator="lessThan">
      <formula>0</formula>
    </cfRule>
    <cfRule type="cellIs" dxfId="205" priority="32" operator="greaterThan">
      <formula>0</formula>
    </cfRule>
  </conditionalFormatting>
  <conditionalFormatting sqref="O8">
    <cfRule type="cellIs" dxfId="204" priority="29" operator="lessThan">
      <formula>0</formula>
    </cfRule>
    <cfRule type="cellIs" dxfId="203" priority="30" operator="greaterThan">
      <formula>0</formula>
    </cfRule>
  </conditionalFormatting>
  <conditionalFormatting sqref="T8">
    <cfRule type="cellIs" dxfId="202" priority="27" operator="lessThan">
      <formula>0</formula>
    </cfRule>
    <cfRule type="cellIs" dxfId="201" priority="28" operator="greaterThan">
      <formula>0</formula>
    </cfRule>
  </conditionalFormatting>
  <conditionalFormatting sqref="T8">
    <cfRule type="cellIs" dxfId="200" priority="25" operator="lessThan">
      <formula>0</formula>
    </cfRule>
    <cfRule type="cellIs" dxfId="199" priority="26" operator="greaterThan">
      <formula>0</formula>
    </cfRule>
  </conditionalFormatting>
  <conditionalFormatting sqref="O8 T8 Q8">
    <cfRule type="cellIs" dxfId="198" priority="23" operator="lessThan">
      <formula>0</formula>
    </cfRule>
    <cfRule type="cellIs" dxfId="197" priority="24" operator="greaterThan">
      <formula>0</formula>
    </cfRule>
  </conditionalFormatting>
  <conditionalFormatting sqref="T8">
    <cfRule type="cellIs" dxfId="196" priority="21" operator="lessThan">
      <formula>0</formula>
    </cfRule>
    <cfRule type="cellIs" dxfId="195" priority="22" operator="greaterThan">
      <formula>0</formula>
    </cfRule>
  </conditionalFormatting>
  <conditionalFormatting sqref="O9">
    <cfRule type="cellIs" dxfId="194" priority="19" operator="lessThan">
      <formula>0</formula>
    </cfRule>
    <cfRule type="cellIs" dxfId="193" priority="20" operator="greaterThan">
      <formula>0</formula>
    </cfRule>
  </conditionalFormatting>
  <conditionalFormatting sqref="T9">
    <cfRule type="cellIs" dxfId="192" priority="17" operator="lessThan">
      <formula>0</formula>
    </cfRule>
    <cfRule type="cellIs" dxfId="191" priority="18" operator="greaterThan">
      <formula>0</formula>
    </cfRule>
  </conditionalFormatting>
  <conditionalFormatting sqref="T9">
    <cfRule type="cellIs" dxfId="190" priority="15" operator="lessThan">
      <formula>0</formula>
    </cfRule>
    <cfRule type="cellIs" dxfId="189" priority="16" operator="greaterThan">
      <formula>0</formula>
    </cfRule>
  </conditionalFormatting>
  <conditionalFormatting sqref="O9 T9 Q9">
    <cfRule type="cellIs" dxfId="188" priority="13" operator="lessThan">
      <formula>0</formula>
    </cfRule>
    <cfRule type="cellIs" dxfId="187" priority="14" operator="greaterThan">
      <formula>0</formula>
    </cfRule>
  </conditionalFormatting>
  <conditionalFormatting sqref="T9">
    <cfRule type="cellIs" dxfId="186" priority="11" operator="lessThan">
      <formula>0</formula>
    </cfRule>
    <cfRule type="cellIs" dxfId="185" priority="12" operator="greaterThan">
      <formula>0</formula>
    </cfRule>
  </conditionalFormatting>
  <conditionalFormatting sqref="O10">
    <cfRule type="cellIs" dxfId="184" priority="9" operator="lessThan">
      <formula>0</formula>
    </cfRule>
    <cfRule type="cellIs" dxfId="183" priority="10" operator="greaterThan">
      <formula>0</formula>
    </cfRule>
  </conditionalFormatting>
  <conditionalFormatting sqref="T10">
    <cfRule type="cellIs" dxfId="182" priority="7" operator="lessThan">
      <formula>0</formula>
    </cfRule>
    <cfRule type="cellIs" dxfId="181" priority="8" operator="greaterThan">
      <formula>0</formula>
    </cfRule>
  </conditionalFormatting>
  <conditionalFormatting sqref="T10">
    <cfRule type="cellIs" dxfId="180" priority="5" operator="lessThan">
      <formula>0</formula>
    </cfRule>
    <cfRule type="cellIs" dxfId="179" priority="6" operator="greaterThan">
      <formula>0</formula>
    </cfRule>
  </conditionalFormatting>
  <conditionalFormatting sqref="O10 T10 Q10">
    <cfRule type="cellIs" dxfId="178" priority="3" operator="lessThan">
      <formula>0</formula>
    </cfRule>
    <cfRule type="cellIs" dxfId="177" priority="4" operator="greaterThan">
      <formula>0</formula>
    </cfRule>
  </conditionalFormatting>
  <conditionalFormatting sqref="T10">
    <cfRule type="cellIs" dxfId="176" priority="1" operator="lessThan">
      <formula>0</formula>
    </cfRule>
    <cfRule type="cellIs" dxfId="175"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35"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36"/>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37">
        <f>C13</f>
        <v>6564204.3711659508</v>
      </c>
      <c r="Z14" s="738"/>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39" t="s">
        <v>94</v>
      </c>
      <c r="B26" s="739"/>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30" t="s">
        <v>95</v>
      </c>
      <c r="B27" s="730"/>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31" t="s">
        <v>96</v>
      </c>
      <c r="B28" s="731"/>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39" t="s">
        <v>97</v>
      </c>
      <c r="B29" s="739"/>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30" t="s">
        <v>98</v>
      </c>
      <c r="B30" s="730"/>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31" t="s">
        <v>99</v>
      </c>
      <c r="B31" s="731"/>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40"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32">
        <f>C23</f>
        <v>4502296</v>
      </c>
      <c r="Z34" s="733"/>
    </row>
    <row r="35" spans="1:26" x14ac:dyDescent="0.25">
      <c r="A35" s="57"/>
      <c r="B35" s="740"/>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40"/>
      <c r="C36" s="174" t="s">
        <v>62</v>
      </c>
      <c r="D36" s="176" t="s">
        <v>697</v>
      </c>
      <c r="E36" s="176" t="s">
        <v>698</v>
      </c>
      <c r="F36" s="176" t="s">
        <v>699</v>
      </c>
      <c r="G36" s="176" t="s">
        <v>701</v>
      </c>
      <c r="H36" s="176" t="s">
        <v>705</v>
      </c>
      <c r="I36" s="176" t="s">
        <v>707</v>
      </c>
      <c r="J36" s="176" t="s">
        <v>708</v>
      </c>
      <c r="K36" s="176" t="s">
        <v>710</v>
      </c>
      <c r="L36" s="176" t="s">
        <v>712</v>
      </c>
      <c r="M36" s="176" t="s">
        <v>715</v>
      </c>
      <c r="N36" s="176" t="s">
        <v>716</v>
      </c>
      <c r="O36" s="176" t="s">
        <v>722</v>
      </c>
      <c r="P36" s="176" t="s">
        <v>726</v>
      </c>
      <c r="Q36" s="176" t="s">
        <v>715</v>
      </c>
      <c r="R36" s="176" t="s">
        <v>753</v>
      </c>
      <c r="S36" s="176" t="s">
        <v>699</v>
      </c>
    </row>
    <row r="37" spans="1:26" x14ac:dyDescent="0.25">
      <c r="A37" s="57"/>
      <c r="B37" s="740"/>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40"/>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40"/>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34"/>
      <c r="H41" s="734"/>
      <c r="I41" s="734"/>
      <c r="J41" s="734"/>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735</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row>
    <row r="47" spans="1:26" x14ac:dyDescent="0.25">
      <c r="G47" s="424"/>
      <c r="H47" s="424"/>
      <c r="I47" s="424"/>
      <c r="J47" s="424"/>
    </row>
    <row r="48" spans="1:26" x14ac:dyDescent="0.25">
      <c r="G48" s="729"/>
      <c r="H48" s="729"/>
      <c r="I48" s="729"/>
      <c r="J48" s="729"/>
      <c r="P48" s="413"/>
    </row>
    <row r="49" spans="7:10" ht="15" customHeight="1" x14ac:dyDescent="0.25">
      <c r="G49" s="729"/>
      <c r="H49" s="729"/>
      <c r="I49" s="729"/>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41" t="s">
        <v>696</v>
      </c>
      <c r="C2" s="742"/>
      <c r="D2" s="742"/>
      <c r="E2" s="742"/>
      <c r="F2" s="742"/>
      <c r="G2" s="743"/>
      <c r="I2" s="751" t="s">
        <v>587</v>
      </c>
      <c r="J2" s="751"/>
      <c r="K2" s="751"/>
      <c r="L2" s="751"/>
      <c r="M2" s="751"/>
      <c r="N2" s="751"/>
      <c r="O2" s="751"/>
      <c r="P2" s="751"/>
      <c r="Q2" s="751"/>
      <c r="R2" s="751"/>
      <c r="S2" s="751"/>
      <c r="T2" s="751"/>
    </row>
    <row r="3" spans="2:21"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48" t="s">
        <v>114</v>
      </c>
      <c r="C4" s="749"/>
      <c r="D4" s="109"/>
      <c r="E4" s="750" t="s">
        <v>115</v>
      </c>
      <c r="F4" s="749"/>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706</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752</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74" priority="91" operator="lessThan">
      <formula>0</formula>
    </cfRule>
    <cfRule type="cellIs" dxfId="173" priority="92" operator="greaterThan">
      <formula>0</formula>
    </cfRule>
  </conditionalFormatting>
  <conditionalFormatting sqref="O4">
    <cfRule type="cellIs" dxfId="172" priority="59" operator="lessThan">
      <formula>0</formula>
    </cfRule>
    <cfRule type="cellIs" dxfId="171" priority="60" operator="greaterThan">
      <formula>0</formula>
    </cfRule>
  </conditionalFormatting>
  <conditionalFormatting sqref="T4">
    <cfRule type="cellIs" dxfId="170" priority="57" operator="lessThan">
      <formula>0</formula>
    </cfRule>
    <cfRule type="cellIs" dxfId="169" priority="58" operator="greaterThan">
      <formula>0</formula>
    </cfRule>
  </conditionalFormatting>
  <conditionalFormatting sqref="T4">
    <cfRule type="cellIs" dxfId="168" priority="55" operator="lessThan">
      <formula>0</formula>
    </cfRule>
    <cfRule type="cellIs" dxfId="167" priority="56" operator="greaterThan">
      <formula>0</formula>
    </cfRule>
  </conditionalFormatting>
  <conditionalFormatting sqref="O4 T4 Q4">
    <cfRule type="cellIs" dxfId="166" priority="53" operator="lessThan">
      <formula>0</formula>
    </cfRule>
    <cfRule type="cellIs" dxfId="165" priority="54" operator="greaterThan">
      <formula>0</formula>
    </cfRule>
  </conditionalFormatting>
  <conditionalFormatting sqref="T4">
    <cfRule type="cellIs" dxfId="164" priority="51" operator="lessThan">
      <formula>0</formula>
    </cfRule>
    <cfRule type="cellIs" dxfId="163" priority="52" operator="greaterThan">
      <formula>0</formula>
    </cfRule>
  </conditionalFormatting>
  <conditionalFormatting sqref="O5">
    <cfRule type="cellIs" dxfId="162" priority="19" operator="lessThan">
      <formula>0</formula>
    </cfRule>
    <cfRule type="cellIs" dxfId="161" priority="20" operator="greaterThan">
      <formula>0</formula>
    </cfRule>
  </conditionalFormatting>
  <conditionalFormatting sqref="T5">
    <cfRule type="cellIs" dxfId="160" priority="17" operator="lessThan">
      <formula>0</formula>
    </cfRule>
    <cfRule type="cellIs" dxfId="159" priority="18" operator="greaterThan">
      <formula>0</formula>
    </cfRule>
  </conditionalFormatting>
  <conditionalFormatting sqref="T5">
    <cfRule type="cellIs" dxfId="158" priority="15" operator="lessThan">
      <formula>0</formula>
    </cfRule>
    <cfRule type="cellIs" dxfId="157" priority="16" operator="greaterThan">
      <formula>0</formula>
    </cfRule>
  </conditionalFormatting>
  <conditionalFormatting sqref="O5 T5 Q5">
    <cfRule type="cellIs" dxfId="156" priority="13" operator="lessThan">
      <formula>0</formula>
    </cfRule>
    <cfRule type="cellIs" dxfId="155" priority="14" operator="greaterThan">
      <formula>0</formula>
    </cfRule>
  </conditionalFormatting>
  <conditionalFormatting sqref="T5">
    <cfRule type="cellIs" dxfId="154" priority="11" operator="lessThan">
      <formula>0</formula>
    </cfRule>
    <cfRule type="cellIs" dxfId="153" priority="12" operator="greaterThan">
      <formula>0</formula>
    </cfRule>
  </conditionalFormatting>
  <conditionalFormatting sqref="O6">
    <cfRule type="cellIs" dxfId="152" priority="9" operator="lessThan">
      <formula>0</formula>
    </cfRule>
    <cfRule type="cellIs" dxfId="151" priority="10" operator="greaterThan">
      <formula>0</formula>
    </cfRule>
  </conditionalFormatting>
  <conditionalFormatting sqref="T6">
    <cfRule type="cellIs" dxfId="150" priority="7" operator="lessThan">
      <formula>0</formula>
    </cfRule>
    <cfRule type="cellIs" dxfId="149" priority="8" operator="greaterThan">
      <formula>0</formula>
    </cfRule>
  </conditionalFormatting>
  <conditionalFormatting sqref="T6">
    <cfRule type="cellIs" dxfId="148" priority="5" operator="lessThan">
      <formula>0</formula>
    </cfRule>
    <cfRule type="cellIs" dxfId="147" priority="6" operator="greaterThan">
      <formula>0</formula>
    </cfRule>
  </conditionalFormatting>
  <conditionalFormatting sqref="O6 T6 Q6">
    <cfRule type="cellIs" dxfId="146" priority="3" operator="lessThan">
      <formula>0</formula>
    </cfRule>
    <cfRule type="cellIs" dxfId="145" priority="4" operator="greaterThan">
      <formula>0</formula>
    </cfRule>
  </conditionalFormatting>
  <conditionalFormatting sqref="T6">
    <cfRule type="cellIs" dxfId="144" priority="1" operator="lessThan">
      <formula>0</formula>
    </cfRule>
    <cfRule type="cellIs" dxfId="143"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0">
        <v>125000</v>
      </c>
      <c r="J6" s="490">
        <v>567000</v>
      </c>
      <c r="K6" s="490">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1">
        <f t="shared" ref="I7:K7" si="4">H7*(1+I43)</f>
        <v>132296.52871784955</v>
      </c>
      <c r="J7" s="491">
        <f t="shared" si="4"/>
        <v>133696.42525623669</v>
      </c>
      <c r="K7" s="491">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0"/>
      <c r="J8" s="490">
        <v>0</v>
      </c>
      <c r="K8" s="490"/>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0"/>
      <c r="J9" s="497">
        <v>95000</v>
      </c>
      <c r="K9" s="490"/>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1"/>
      <c r="J10" s="491">
        <v>0</v>
      </c>
      <c r="K10" s="491"/>
      <c r="L10" s="72">
        <v>0</v>
      </c>
      <c r="M10" s="72">
        <v>0</v>
      </c>
      <c r="N10" s="72">
        <v>7920</v>
      </c>
      <c r="O10" s="72">
        <v>0</v>
      </c>
      <c r="P10" s="72">
        <v>0</v>
      </c>
      <c r="Q10" s="72">
        <v>0</v>
      </c>
      <c r="R10" s="72">
        <v>0</v>
      </c>
      <c r="S10" s="70">
        <v>13520</v>
      </c>
      <c r="Y10" s="67" t="s">
        <v>77</v>
      </c>
      <c r="Z10" s="71">
        <f t="shared" si="5"/>
        <v>3.1039581409092768E-3</v>
      </c>
    </row>
    <row r="11" spans="1:26" x14ac:dyDescent="0.25">
      <c r="A11" s="735" t="s">
        <v>78</v>
      </c>
      <c r="B11" s="67" t="s">
        <v>79</v>
      </c>
      <c r="C11" s="68">
        <f t="shared" si="3"/>
        <v>82440</v>
      </c>
      <c r="D11" s="72">
        <v>270</v>
      </c>
      <c r="E11" s="72">
        <v>300</v>
      </c>
      <c r="F11" s="72">
        <v>240</v>
      </c>
      <c r="G11" s="72">
        <v>180</v>
      </c>
      <c r="H11" s="72">
        <v>180</v>
      </c>
      <c r="I11" s="491"/>
      <c r="J11" s="491"/>
      <c r="K11" s="491"/>
      <c r="L11" s="72"/>
      <c r="M11" s="72">
        <v>240</v>
      </c>
      <c r="N11" s="72">
        <v>300</v>
      </c>
      <c r="O11" s="72">
        <v>120</v>
      </c>
      <c r="P11" s="72">
        <v>0</v>
      </c>
      <c r="Q11" s="72">
        <v>0</v>
      </c>
      <c r="R11" s="72">
        <v>0</v>
      </c>
      <c r="S11" s="70">
        <f>80580+30</f>
        <v>80610</v>
      </c>
      <c r="Y11" s="67" t="s">
        <v>79</v>
      </c>
      <c r="Z11" s="71">
        <f t="shared" si="5"/>
        <v>1.1935182329130635E-2</v>
      </c>
    </row>
    <row r="12" spans="1:26" x14ac:dyDescent="0.25">
      <c r="A12" s="736"/>
      <c r="B12" s="67" t="s">
        <v>80</v>
      </c>
      <c r="C12" s="68">
        <f t="shared" si="3"/>
        <v>25000</v>
      </c>
      <c r="D12" s="72">
        <v>0</v>
      </c>
      <c r="E12" s="72">
        <v>0</v>
      </c>
      <c r="F12" s="72">
        <v>0</v>
      </c>
      <c r="G12" s="72">
        <v>0</v>
      </c>
      <c r="H12" s="72">
        <v>0</v>
      </c>
      <c r="I12" s="491"/>
      <c r="J12" s="491">
        <v>0</v>
      </c>
      <c r="K12" s="491"/>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2">
        <f t="shared" ref="I13:S13" si="7">SUM(I6:I12)</f>
        <v>257296.52871784955</v>
      </c>
      <c r="J13" s="492">
        <f t="shared" si="7"/>
        <v>795696.42525623669</v>
      </c>
      <c r="K13" s="492">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3">
        <f t="shared" ref="I14:J14" si="8">H14+200</f>
        <v>65470</v>
      </c>
      <c r="J14" s="493">
        <f t="shared" si="8"/>
        <v>65670</v>
      </c>
      <c r="K14" s="493">
        <v>66550</v>
      </c>
      <c r="L14" s="83">
        <v>66550</v>
      </c>
      <c r="M14" s="83">
        <v>68690</v>
      </c>
      <c r="N14" s="83">
        <v>68710</v>
      </c>
      <c r="O14" s="83">
        <v>69590</v>
      </c>
      <c r="P14" s="83">
        <v>69590</v>
      </c>
      <c r="Q14" s="83">
        <v>69710</v>
      </c>
      <c r="R14" s="83">
        <v>71090</v>
      </c>
      <c r="S14" s="70">
        <v>71850</v>
      </c>
      <c r="Y14" s="737">
        <f>C13</f>
        <v>6907309.643589247</v>
      </c>
      <c r="Z14" s="738"/>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3">
        <f t="shared" si="9"/>
        <v>34706</v>
      </c>
      <c r="J15" s="493">
        <f t="shared" si="9"/>
        <v>34706</v>
      </c>
      <c r="K15" s="493">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6">
        <f t="shared" si="10"/>
        <v>0</v>
      </c>
      <c r="J16" s="496">
        <f t="shared" si="10"/>
        <v>0</v>
      </c>
      <c r="K16" s="496">
        <f t="shared" si="10"/>
        <v>0</v>
      </c>
      <c r="L16" s="496">
        <f t="shared" si="10"/>
        <v>0</v>
      </c>
      <c r="M16" s="496">
        <f t="shared" si="10"/>
        <v>0</v>
      </c>
      <c r="N16" s="496">
        <f t="shared" si="10"/>
        <v>0</v>
      </c>
      <c r="O16" s="496">
        <v>112900</v>
      </c>
      <c r="P16" s="496">
        <v>0</v>
      </c>
      <c r="Q16" s="496">
        <f t="shared" si="10"/>
        <v>0</v>
      </c>
      <c r="R16" s="496">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6">
        <f t="shared" si="11"/>
        <v>120000</v>
      </c>
      <c r="J17" s="496">
        <f t="shared" si="11"/>
        <v>120000</v>
      </c>
      <c r="K17" s="496">
        <f t="shared" si="11"/>
        <v>120000</v>
      </c>
      <c r="L17" s="496">
        <f t="shared" si="11"/>
        <v>120000</v>
      </c>
      <c r="M17" s="496">
        <f t="shared" si="11"/>
        <v>120000</v>
      </c>
      <c r="N17" s="496">
        <f t="shared" si="11"/>
        <v>120000</v>
      </c>
      <c r="O17" s="496">
        <f t="shared" si="11"/>
        <v>120000</v>
      </c>
      <c r="P17" s="496">
        <f t="shared" si="11"/>
        <v>120000</v>
      </c>
      <c r="Q17" s="496">
        <f t="shared" si="11"/>
        <v>120000</v>
      </c>
      <c r="R17" s="496">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6">
        <f t="shared" si="11"/>
        <v>20000</v>
      </c>
      <c r="J18" s="496">
        <f t="shared" si="11"/>
        <v>20000</v>
      </c>
      <c r="K18" s="496">
        <f t="shared" si="11"/>
        <v>20000</v>
      </c>
      <c r="L18" s="496">
        <f t="shared" si="11"/>
        <v>20000</v>
      </c>
      <c r="M18" s="496">
        <f t="shared" si="11"/>
        <v>20000</v>
      </c>
      <c r="N18" s="496">
        <f t="shared" si="11"/>
        <v>20000</v>
      </c>
      <c r="O18" s="496">
        <f t="shared" si="11"/>
        <v>20000</v>
      </c>
      <c r="P18" s="496">
        <f t="shared" si="11"/>
        <v>20000</v>
      </c>
      <c r="Q18" s="496">
        <f t="shared" si="11"/>
        <v>20000</v>
      </c>
      <c r="R18" s="496">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3">
        <f t="shared" si="11"/>
        <v>0</v>
      </c>
      <c r="J19" s="493">
        <f t="shared" si="11"/>
        <v>0</v>
      </c>
      <c r="K19" s="493">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3">
        <f t="shared" si="11"/>
        <v>0</v>
      </c>
      <c r="J20" s="493">
        <f t="shared" si="11"/>
        <v>0</v>
      </c>
      <c r="K20" s="493">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3">
        <v>0</v>
      </c>
      <c r="J21" s="493">
        <v>4000</v>
      </c>
      <c r="K21" s="493">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3">
        <f t="shared" si="11"/>
        <v>0</v>
      </c>
      <c r="J22" s="493">
        <f t="shared" si="11"/>
        <v>0</v>
      </c>
      <c r="K22" s="493">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4">
        <f t="shared" si="12"/>
        <v>240176</v>
      </c>
      <c r="J23" s="494">
        <f t="shared" si="12"/>
        <v>244376</v>
      </c>
      <c r="K23" s="494">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5">
        <f t="shared" si="13"/>
        <v>5748972.8998837993</v>
      </c>
      <c r="J24" s="495">
        <f t="shared" si="13"/>
        <v>6300293.3251400357</v>
      </c>
      <c r="K24" s="495">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39" t="s">
        <v>94</v>
      </c>
      <c r="B26" s="739"/>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30" t="s">
        <v>95</v>
      </c>
      <c r="B27" s="730"/>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31" t="s">
        <v>96</v>
      </c>
      <c r="B28" s="731"/>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39" t="s">
        <v>97</v>
      </c>
      <c r="B29" s="739"/>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30" t="s">
        <v>98</v>
      </c>
      <c r="B30" s="730"/>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31" t="s">
        <v>99</v>
      </c>
      <c r="B31" s="731"/>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40"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32">
        <f>C23</f>
        <v>4106107</v>
      </c>
      <c r="Z34" s="733"/>
    </row>
    <row r="35" spans="1:26" x14ac:dyDescent="0.25">
      <c r="A35" s="57"/>
      <c r="B35" s="740"/>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40"/>
      <c r="C36" s="174" t="s">
        <v>62</v>
      </c>
      <c r="D36" s="176" t="s">
        <v>758</v>
      </c>
      <c r="E36" s="176"/>
      <c r="F36" s="176" t="s">
        <v>715</v>
      </c>
      <c r="G36" s="176" t="s">
        <v>769</v>
      </c>
      <c r="H36" s="176" t="s">
        <v>775</v>
      </c>
      <c r="I36" s="176"/>
      <c r="J36" s="176"/>
      <c r="K36" s="176"/>
      <c r="L36" s="176"/>
      <c r="M36" s="176" t="s">
        <v>777</v>
      </c>
      <c r="N36" s="176" t="s">
        <v>780</v>
      </c>
      <c r="O36" s="176" t="s">
        <v>782</v>
      </c>
      <c r="P36" s="176" t="s">
        <v>786</v>
      </c>
      <c r="Q36" s="176"/>
      <c r="R36" s="176" t="s">
        <v>793</v>
      </c>
      <c r="S36" s="176" t="s">
        <v>794</v>
      </c>
    </row>
    <row r="37" spans="1:26" x14ac:dyDescent="0.25">
      <c r="A37" s="57"/>
      <c r="B37" s="740"/>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40"/>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40"/>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3"/>
      <c r="G41" s="734"/>
      <c r="H41" s="734"/>
      <c r="I41" s="734"/>
      <c r="J41" s="734"/>
    </row>
    <row r="42" spans="1:26" x14ac:dyDescent="0.25">
      <c r="C42" s="4" t="s">
        <v>578</v>
      </c>
      <c r="D42" s="9">
        <v>85845</v>
      </c>
      <c r="E42" s="371">
        <v>92875</v>
      </c>
      <c r="F42" s="264">
        <v>97870</v>
      </c>
      <c r="G42" s="484">
        <v>101200</v>
      </c>
      <c r="H42" s="484">
        <v>103420</v>
      </c>
      <c r="I42" s="484">
        <v>104900</v>
      </c>
      <c r="J42" s="484">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c r="M46" s="413"/>
    </row>
    <row r="47" spans="1:26" x14ac:dyDescent="0.25">
      <c r="E47" s="106"/>
      <c r="G47" s="484"/>
      <c r="H47" s="484"/>
      <c r="I47" s="484"/>
      <c r="J47" s="484"/>
    </row>
    <row r="48" spans="1:26" x14ac:dyDescent="0.25">
      <c r="G48" s="729"/>
      <c r="H48" s="729"/>
      <c r="I48" s="729"/>
      <c r="J48" s="729"/>
      <c r="P48" s="413"/>
    </row>
    <row r="49" spans="7:10" ht="15" customHeight="1" x14ac:dyDescent="0.25">
      <c r="G49" s="729"/>
      <c r="H49" s="729"/>
      <c r="I49" s="72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19" t="str">
        <f>PLANTILLA!D4</f>
        <v>Jugador</v>
      </c>
      <c r="B1" s="619" t="s">
        <v>847</v>
      </c>
      <c r="C1" s="619" t="str">
        <f>PLANTILLA!AA4</f>
        <v>An</v>
      </c>
      <c r="D1" s="619" t="str">
        <f>PLANTILLA!AB4</f>
        <v>PA</v>
      </c>
      <c r="E1" s="619" t="str">
        <f>PLANTILLA!AG4</f>
        <v>TL</v>
      </c>
      <c r="F1" s="619" t="str">
        <f>PLANTILLA!AH4</f>
        <v>PEN</v>
      </c>
      <c r="G1" s="619" t="str">
        <f>PLANTILLA!AI4</f>
        <v>BPiA</v>
      </c>
      <c r="H1" s="619" t="str">
        <f>PLANTILLA!AJ4</f>
        <v>BPiD</v>
      </c>
    </row>
    <row r="2" spans="1:15" x14ac:dyDescent="0.25">
      <c r="A2" t="str">
        <f>PLANTILLA!D22</f>
        <v>J. Limon</v>
      </c>
      <c r="B2" s="159">
        <f>PLANTILLA!J22</f>
        <v>1.383235330587498</v>
      </c>
      <c r="C2" s="290">
        <f>PLANTILLA!AA22</f>
        <v>8.5625000000000018</v>
      </c>
      <c r="D2" s="290">
        <f>PLANTILLA!AB22</f>
        <v>18.639999999999993</v>
      </c>
      <c r="E2" s="159">
        <f>PLANTILLA!AG22</f>
        <v>23.237700080598373</v>
      </c>
      <c r="F2" s="159">
        <f>PLANTILLA!AH22</f>
        <v>15.616749999999996</v>
      </c>
      <c r="G2" s="159">
        <f>PLANTILLA!AI22</f>
        <v>1.2179838264469995</v>
      </c>
      <c r="H2" s="159">
        <f>PLANTILLA!AJ22</f>
        <v>1.0337312350458867</v>
      </c>
      <c r="K2" t="str">
        <f>A4</f>
        <v>L. Calosso</v>
      </c>
      <c r="L2" s="438">
        <f>B2</f>
        <v>1.383235330587498</v>
      </c>
      <c r="M2" s="438">
        <f t="shared" ref="M2:N2" si="0">C2</f>
        <v>8.5625000000000018</v>
      </c>
      <c r="N2" s="438">
        <f t="shared" si="0"/>
        <v>18.639999999999993</v>
      </c>
      <c r="O2" s="438"/>
    </row>
    <row r="3" spans="1:15" x14ac:dyDescent="0.25">
      <c r="A3" t="str">
        <f>PLANTILLA!D12</f>
        <v>E. Romweber</v>
      </c>
      <c r="B3" s="159">
        <f>PLANTILLA!J12</f>
        <v>1.4940985749411331</v>
      </c>
      <c r="C3" s="290">
        <f>PLANTILLA!AA12</f>
        <v>7.7700000000000005</v>
      </c>
      <c r="D3" s="290">
        <f>PLANTILLA!AB12</f>
        <v>17.13</v>
      </c>
      <c r="E3" s="159">
        <f>PLANTILLA!AG12</f>
        <v>18.032767164138022</v>
      </c>
      <c r="F3" s="159">
        <f>PLANTILLA!AH12</f>
        <v>12.104299236221813</v>
      </c>
      <c r="G3" s="159">
        <f>PLANTILLA!AI12</f>
        <v>1.1419278859952908</v>
      </c>
      <c r="H3" s="159">
        <f>PLANTILLA!AJ12</f>
        <v>1.2030869002458793</v>
      </c>
      <c r="K3" t="str">
        <f>A5</f>
        <v>L. Bauman</v>
      </c>
      <c r="L3" s="438">
        <f t="shared" ref="L3:L11" si="1">B3</f>
        <v>1.4940985749411331</v>
      </c>
      <c r="M3" s="438">
        <f t="shared" ref="M3:M11" si="2">C3</f>
        <v>7.7700000000000005</v>
      </c>
      <c r="N3" s="438">
        <f t="shared" ref="N3:N11" si="3">D3</f>
        <v>17.13</v>
      </c>
      <c r="O3" s="438"/>
    </row>
    <row r="4" spans="1:15" x14ac:dyDescent="0.25">
      <c r="A4" t="str">
        <f>PLANTILLA!D23</f>
        <v>L. Calosso</v>
      </c>
      <c r="B4" s="159">
        <f>PLANTILLA!J23</f>
        <v>1.3937639717155432</v>
      </c>
      <c r="C4" s="290">
        <f>PLANTILLA!AA23</f>
        <v>10</v>
      </c>
      <c r="D4" s="290">
        <f>PLANTILLA!AB23</f>
        <v>9.3000000000000007</v>
      </c>
      <c r="E4" s="159">
        <f>PLANTILLA!AG23</f>
        <v>17.334298327147824</v>
      </c>
      <c r="F4" s="159">
        <f>PLANTILLA!AH23</f>
        <v>8.0374169624681926</v>
      </c>
      <c r="G4" s="159">
        <f>PLANTILLA!AI23</f>
        <v>1.0105011177372434</v>
      </c>
      <c r="H4" s="159">
        <f>PLANTILLA!AJ23</f>
        <v>0.56156347802008799</v>
      </c>
      <c r="K4" t="str">
        <f>A6</f>
        <v>P .Trivadi</v>
      </c>
      <c r="L4" s="438">
        <f t="shared" si="1"/>
        <v>1.3937639717155432</v>
      </c>
      <c r="M4" s="438">
        <f t="shared" si="2"/>
        <v>10</v>
      </c>
      <c r="N4" s="438">
        <f t="shared" si="3"/>
        <v>9.3000000000000007</v>
      </c>
      <c r="O4" s="438"/>
    </row>
    <row r="5" spans="1:15" x14ac:dyDescent="0.25">
      <c r="A5" t="str">
        <f>PLANTILLA!D18</f>
        <v>L. Bauman</v>
      </c>
      <c r="B5" s="159">
        <f>PLANTILLA!J18</f>
        <v>1.2723233459190999</v>
      </c>
      <c r="C5" s="290">
        <f>PLANTILLA!AA18</f>
        <v>7.4318888888888894</v>
      </c>
      <c r="D5" s="290">
        <f>PLANTILLA!AB18</f>
        <v>16.07</v>
      </c>
      <c r="E5" s="159">
        <f>PLANTILLA!AG18</f>
        <v>19.702270150036767</v>
      </c>
      <c r="F5" s="159">
        <f>PLANTILLA!AH18</f>
        <v>13.478566666666666</v>
      </c>
      <c r="G5" s="159">
        <f>PLANTILLA!AI18</f>
        <v>1.0754803121179726</v>
      </c>
      <c r="H5" s="159">
        <f>PLANTILLA!AJ18</f>
        <v>0.88740707865878155</v>
      </c>
      <c r="K5" t="str">
        <f>A14</f>
        <v>D. Toh</v>
      </c>
      <c r="L5" s="438">
        <f t="shared" si="1"/>
        <v>1.2723233459190999</v>
      </c>
      <c r="M5" s="438">
        <f t="shared" si="2"/>
        <v>7.4318888888888894</v>
      </c>
      <c r="N5" s="438">
        <f t="shared" si="3"/>
        <v>16.07</v>
      </c>
      <c r="O5" s="438"/>
    </row>
    <row r="6" spans="1:15" x14ac:dyDescent="0.25">
      <c r="A6" t="str">
        <f>PLANTILLA!D24</f>
        <v>P .Trivadi</v>
      </c>
      <c r="B6" s="159">
        <f>PLANTILLA!J24</f>
        <v>1.0657873992714422</v>
      </c>
      <c r="C6" s="290">
        <f>PLANTILLA!AA24</f>
        <v>8.384500000000001</v>
      </c>
      <c r="D6" s="290">
        <f>PLANTILLA!AB24</f>
        <v>13.566666666666668</v>
      </c>
      <c r="E6" s="159">
        <f>PLANTILLA!AG24</f>
        <v>16.438526466985824</v>
      </c>
      <c r="F6" s="159">
        <f>PLANTILLA!AH24</f>
        <v>10.152006993703187</v>
      </c>
      <c r="G6" s="159">
        <f>PLANTILLA!AI24</f>
        <v>1.0314879919417155</v>
      </c>
      <c r="H6" s="159">
        <f>PLANTILLA!AJ24</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1.3096949773860913</v>
      </c>
      <c r="C7" s="290">
        <f>PLANTILLA!AA14</f>
        <v>7.4766666666666666</v>
      </c>
      <c r="D7" s="290">
        <f>PLANTILLA!AB14</f>
        <v>15.270000000000001</v>
      </c>
      <c r="E7" s="159">
        <f>PLANTILLA!AG14</f>
        <v>12.712845695968625</v>
      </c>
      <c r="F7" s="159">
        <f>PLANTILLA!AH14</f>
        <v>8.4659812695955594</v>
      </c>
      <c r="G7" s="159">
        <f>PLANTILLA!AI14</f>
        <v>1.0567089315242206</v>
      </c>
      <c r="H7" s="159">
        <f>PLANTILLA!AJ14</f>
        <v>0.97957864841702647</v>
      </c>
      <c r="K7" t="str">
        <f>A13</f>
        <v>E. Toney</v>
      </c>
      <c r="L7" s="438">
        <f t="shared" si="1"/>
        <v>1.3096949773860913</v>
      </c>
      <c r="M7" s="438">
        <f t="shared" si="2"/>
        <v>7.4766666666666666</v>
      </c>
      <c r="N7" s="438">
        <f t="shared" si="3"/>
        <v>15.270000000000001</v>
      </c>
      <c r="O7" s="438"/>
    </row>
    <row r="8" spans="1:15" x14ac:dyDescent="0.25">
      <c r="A8" t="str">
        <f>PLANTILLA!D13</f>
        <v>K. Helms</v>
      </c>
      <c r="B8" s="159">
        <f>PLANTILLA!J13</f>
        <v>1.3989573635602419</v>
      </c>
      <c r="C8" s="290">
        <f>PLANTILLA!AA13</f>
        <v>5.4050000000000002</v>
      </c>
      <c r="D8" s="290">
        <f>PLANTILLA!AB13</f>
        <v>17.300000000000004</v>
      </c>
      <c r="E8" s="159">
        <f>PLANTILLA!AG13</f>
        <v>16.011128892458355</v>
      </c>
      <c r="F8" s="159">
        <f>PLANTILLA!AH13</f>
        <v>12.712898700026791</v>
      </c>
      <c r="G8" s="159">
        <f>PLANTILLA!AI13</f>
        <v>1.0211665890848196</v>
      </c>
      <c r="H8" s="159">
        <f>PLANTILLA!AJ13</f>
        <v>1.0063270154492172</v>
      </c>
      <c r="K8" t="str">
        <f>A14</f>
        <v>D. Toh</v>
      </c>
      <c r="L8" s="438">
        <f t="shared" si="1"/>
        <v>1.3989573635602419</v>
      </c>
      <c r="M8" s="438">
        <f t="shared" si="2"/>
        <v>5.4050000000000002</v>
      </c>
      <c r="N8" s="438">
        <f t="shared" si="3"/>
        <v>17.300000000000004</v>
      </c>
      <c r="O8" s="438"/>
    </row>
    <row r="9" spans="1:15" x14ac:dyDescent="0.25">
      <c r="A9" t="str">
        <f>PLANTILLA!D15</f>
        <v>S. Buschelman</v>
      </c>
      <c r="B9" s="159">
        <f>PLANTILLA!J15</f>
        <v>1.4092064684486303</v>
      </c>
      <c r="C9" s="290">
        <f>PLANTILLA!AA15</f>
        <v>5.0296666666666656</v>
      </c>
      <c r="D9" s="290">
        <f>PLANTILLA!AB15</f>
        <v>15.2</v>
      </c>
      <c r="E9" s="159">
        <f>PLANTILLA!AG15</f>
        <v>14.385941686346632</v>
      </c>
      <c r="F9" s="159">
        <f>PLANTILLA!AH15</f>
        <v>11.247695810126748</v>
      </c>
      <c r="G9" s="159">
        <f>PLANTILLA!AI15</f>
        <v>0.94021985080922366</v>
      </c>
      <c r="H9" s="159">
        <f>PLANTILLA!AJ15</f>
        <v>1.0273911194580709</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1.4340626151900411</v>
      </c>
      <c r="C10" s="290">
        <f>PLANTILLA!AA16</f>
        <v>4.3999999999999995</v>
      </c>
      <c r="D10" s="290">
        <f>PLANTILLA!AB16</f>
        <v>16.544444444444441</v>
      </c>
      <c r="E10" s="159">
        <f>PLANTILLA!AG16</f>
        <v>14.153681070224152</v>
      </c>
      <c r="F10" s="159">
        <f>PLANTILLA!AH16</f>
        <v>11.944107976065657</v>
      </c>
      <c r="G10" s="159">
        <f>PLANTILLA!AI16</f>
        <v>0.9510583425485365</v>
      </c>
      <c r="H10" s="159">
        <f>PLANTILLA!AJ16</f>
        <v>1.0460199386188584</v>
      </c>
      <c r="K10" t="str">
        <f>A11</f>
        <v>B. Bartolache</v>
      </c>
      <c r="L10" s="438">
        <f t="shared" si="1"/>
        <v>1.4340626151900411</v>
      </c>
      <c r="M10" s="438">
        <f t="shared" si="2"/>
        <v>4.3999999999999995</v>
      </c>
      <c r="N10" s="438">
        <f t="shared" si="3"/>
        <v>16.544444444444441</v>
      </c>
      <c r="O10" s="438"/>
    </row>
    <row r="11" spans="1:15" x14ac:dyDescent="0.25">
      <c r="A11" t="str">
        <f>PLANTILLA!D10</f>
        <v>B. Bartolache</v>
      </c>
      <c r="B11" s="159">
        <f>PLANTILLA!J10</f>
        <v>1.34480022901589</v>
      </c>
      <c r="C11" s="290">
        <f>PLANTILLA!AA10</f>
        <v>4.6199999999999966</v>
      </c>
      <c r="D11" s="290">
        <f>PLANTILLA!AB10</f>
        <v>15.6</v>
      </c>
      <c r="E11" s="159">
        <f>PLANTILLA!AG10</f>
        <v>13.828242049364381</v>
      </c>
      <c r="F11" s="159">
        <f>PLANTILLA!AH10</f>
        <v>11.393142147801017</v>
      </c>
      <c r="G11" s="159">
        <f>PLANTILLA!AI10</f>
        <v>0.92658401832127102</v>
      </c>
      <c r="H11" s="159">
        <f>PLANTILLA!AJ10</f>
        <v>1.1331360160311121</v>
      </c>
      <c r="K11" t="str">
        <f>A12</f>
        <v>T. Hammond</v>
      </c>
      <c r="L11" s="438">
        <f t="shared" si="1"/>
        <v>1.34480022901589</v>
      </c>
      <c r="M11" s="438">
        <f t="shared" si="2"/>
        <v>4.6199999999999966</v>
      </c>
      <c r="N11" s="438">
        <f t="shared" si="3"/>
        <v>15.6</v>
      </c>
      <c r="O11" s="438"/>
    </row>
    <row r="12" spans="1:15" x14ac:dyDescent="0.25">
      <c r="A12" t="str">
        <f>PLANTILLA!D6</f>
        <v>T. Hammond</v>
      </c>
      <c r="B12" s="159">
        <f>PLANTILLA!J6</f>
        <v>1.2593102295335583</v>
      </c>
      <c r="C12" s="290">
        <f>PLANTILLA!AA6</f>
        <v>3.99</v>
      </c>
      <c r="D12" s="290">
        <f>PLANTILLA!AB6</f>
        <v>15.778888888888888</v>
      </c>
      <c r="E12" s="159">
        <f>PLANTILLA!AG6</f>
        <v>11.663014193604974</v>
      </c>
      <c r="F12" s="159">
        <f>PLANTILLA!AH6</f>
        <v>10.346566198443105</v>
      </c>
      <c r="G12" s="159">
        <f>PLANTILLA!AI6</f>
        <v>0.89361148502935117</v>
      </c>
      <c r="H12" s="159">
        <f>PLANTILLA!AJ6</f>
        <v>1.0983183827340155</v>
      </c>
      <c r="M12" s="620">
        <f>AVERAGE(M2:M11)</f>
        <v>6.9080222222222218</v>
      </c>
      <c r="N12" s="620">
        <f>AVERAGE(N2:N11)</f>
        <v>15.46211111111111</v>
      </c>
      <c r="O12" s="621">
        <f>1.66*(M12+1.5)+0.55*(N12+1.5)-7.6</f>
        <v>15.686477999999999</v>
      </c>
    </row>
    <row r="13" spans="1:15" x14ac:dyDescent="0.25">
      <c r="A13" t="str">
        <f>PLANTILLA!D9</f>
        <v>E. Toney</v>
      </c>
      <c r="B13" s="159">
        <f>PLANTILLA!J9</f>
        <v>1.4896950608743522</v>
      </c>
      <c r="C13" s="290">
        <f>PLANTILLA!AA9</f>
        <v>3.6816666666666658</v>
      </c>
      <c r="D13" s="290">
        <f>PLANTILLA!AB9</f>
        <v>16.627777777777773</v>
      </c>
      <c r="E13" s="159">
        <f>PLANTILLA!AG9</f>
        <v>12.055339897312352</v>
      </c>
      <c r="F13" s="159">
        <f>PLANTILLA!AH9</f>
        <v>10.77059886924606</v>
      </c>
      <c r="G13" s="159">
        <f>PLANTILLA!AI9</f>
        <v>0.92209227153661466</v>
      </c>
      <c r="H13" s="159">
        <f>PLANTILLA!AJ9</f>
        <v>1.190511987594538</v>
      </c>
    </row>
    <row r="14" spans="1:15" x14ac:dyDescent="0.25">
      <c r="A14" t="str">
        <f>PLANTILLA!D8</f>
        <v>D. Toh</v>
      </c>
      <c r="B14" s="159">
        <f>PLANTILLA!J8</f>
        <v>1.2392252342857237</v>
      </c>
      <c r="C14" s="290">
        <f>PLANTILLA!AA8</f>
        <v>4.383333333333332</v>
      </c>
      <c r="D14" s="290">
        <f>PLANTILLA!AB8</f>
        <v>15.349999999999998</v>
      </c>
      <c r="E14" s="159">
        <f>PLANTILLA!AG8</f>
        <v>11.977966508828384</v>
      </c>
      <c r="F14" s="159">
        <f>PLANTILLA!AH8</f>
        <v>10.192560312025908</v>
      </c>
      <c r="G14" s="159">
        <f>PLANTILLA!AI8</f>
        <v>0.89880468540952452</v>
      </c>
      <c r="H14" s="159">
        <f>PLANTILLA!AJ8</f>
        <v>1.0922457664000007</v>
      </c>
    </row>
    <row r="15" spans="1:15" x14ac:dyDescent="0.25">
      <c r="A15" t="str">
        <f>PLANTILLA!D17</f>
        <v>E. Gross</v>
      </c>
      <c r="B15" s="159">
        <f>PLANTILLA!J17</f>
        <v>1.3333333333333333</v>
      </c>
      <c r="C15" s="290">
        <f>PLANTILLA!AA17</f>
        <v>2.98</v>
      </c>
      <c r="D15" s="290">
        <f>PLANTILLA!AB17</f>
        <v>16.959999999999997</v>
      </c>
      <c r="E15" s="159">
        <f>PLANTILLA!AG17</f>
        <v>11.976840860037615</v>
      </c>
      <c r="F15" s="159">
        <f>PLANTILLA!AH17</f>
        <v>11.81901939369639</v>
      </c>
      <c r="G15" s="159">
        <f>PLANTILLA!AI17</f>
        <v>0.88446666666666651</v>
      </c>
      <c r="H15" s="159">
        <f>PLANTILLA!AJ17</f>
        <v>1.1211333333333333</v>
      </c>
    </row>
    <row r="16" spans="1:15" x14ac:dyDescent="0.25">
      <c r="A16" t="str">
        <f>PLANTILLA!D11</f>
        <v>F. Lasprilla</v>
      </c>
      <c r="B16" s="159">
        <f>PLANTILLA!J11</f>
        <v>1.0278026821895256</v>
      </c>
      <c r="C16" s="290">
        <f>PLANTILLA!AA11</f>
        <v>3.2566666666666673</v>
      </c>
      <c r="D16" s="290">
        <f>PLANTILLA!AB11</f>
        <v>13.238888888888889</v>
      </c>
      <c r="E16" s="159">
        <f>PLANTILLA!AG11</f>
        <v>9.0210915627662693</v>
      </c>
      <c r="F16" s="159">
        <f>PLANTILLA!AH11</f>
        <v>8.6579479974955298</v>
      </c>
      <c r="G16" s="159">
        <f>PLANTILLA!AI11</f>
        <v>0.7622242145751621</v>
      </c>
      <c r="H16" s="159">
        <f>PLANTILLA!AJ11</f>
        <v>0.9572995210866001</v>
      </c>
    </row>
    <row r="17" spans="1:8" x14ac:dyDescent="0.25">
      <c r="A17" t="str">
        <f>PLANTILLA!D19</f>
        <v>W. Gelifini</v>
      </c>
      <c r="B17" s="159">
        <f>PLANTILLA!J19</f>
        <v>0.93196000578135851</v>
      </c>
      <c r="C17" s="290">
        <f>PLANTILLA!AA19</f>
        <v>3.5417777777777766</v>
      </c>
      <c r="D17" s="290">
        <f>PLANTILLA!AB19</f>
        <v>12.450000000000001</v>
      </c>
      <c r="E17" s="159">
        <f>PLANTILLA!AG19</f>
        <v>8.8753728050518816</v>
      </c>
      <c r="F17" s="159">
        <f>PLANTILLA!AH19</f>
        <v>8.2635238974165617</v>
      </c>
      <c r="G17" s="159">
        <f>PLANTILLA!AI19</f>
        <v>0.74514568935139747</v>
      </c>
      <c r="H17" s="159">
        <f>PLANTILLA!AJ19</f>
        <v>0.76899942262691712</v>
      </c>
    </row>
    <row r="18" spans="1:8" x14ac:dyDescent="0.25">
      <c r="A18" t="str">
        <f>PLANTILLA!D5</f>
        <v>D. Gehmacher</v>
      </c>
      <c r="B18" s="159">
        <f>PLANTILLA!J5</f>
        <v>1.7050048012704384</v>
      </c>
      <c r="C18" s="290">
        <f>PLANTILLA!AA5</f>
        <v>0.14055555555555557</v>
      </c>
      <c r="D18" s="290">
        <f>PLANTILLA!AB5</f>
        <v>17.849999999999998</v>
      </c>
      <c r="E18" s="159">
        <f>PLANTILLA!AG5</f>
        <v>8.8266603556955481</v>
      </c>
      <c r="F18" s="159">
        <f>PLANTILLA!AH5</f>
        <v>11.607160894198437</v>
      </c>
      <c r="G18" s="159">
        <f>PLANTILLA!AI5</f>
        <v>0.79892816187941273</v>
      </c>
      <c r="H18" s="159">
        <f>PLANTILLA!AJ5</f>
        <v>1.2331594269980217</v>
      </c>
    </row>
    <row r="19" spans="1:8" x14ac:dyDescent="0.25">
      <c r="A19" t="str">
        <f>PLANTILLA!D20</f>
        <v>M. Amico</v>
      </c>
      <c r="B19" s="159">
        <f>PLANTILLA!J20</f>
        <v>0.45656357442960838</v>
      </c>
      <c r="C19" s="290">
        <f>PLANTILLA!AA20</f>
        <v>4.3299999999999983</v>
      </c>
      <c r="D19" s="290">
        <f>PLANTILLA!AB20</f>
        <v>9.5</v>
      </c>
      <c r="E19" s="159">
        <f>PLANTILLA!AG20</f>
        <v>7.7220100425204024</v>
      </c>
      <c r="F19" s="159">
        <f>PLANTILLA!AH20</f>
        <v>6.7181311708369771</v>
      </c>
      <c r="G19" s="159">
        <f>PLANTILLA!AI20</f>
        <v>0.65802508595436859</v>
      </c>
      <c r="H19" s="159">
        <f>PLANTILLA!AJ20</f>
        <v>0.52100389465451702</v>
      </c>
    </row>
    <row r="20" spans="1:8" x14ac:dyDescent="0.25">
      <c r="A20" t="str">
        <f>PLANTILLA!D7</f>
        <v>B. Pinczehelyi</v>
      </c>
      <c r="B20" s="159">
        <f>PLANTILLA!J7</f>
        <v>1.5681216787409085</v>
      </c>
      <c r="C20" s="290">
        <f>PLANTILLA!AA7</f>
        <v>1.1428571428571428</v>
      </c>
      <c r="D20" s="290">
        <f>PLANTILLA!AB7</f>
        <v>9.4</v>
      </c>
      <c r="E20" s="159">
        <f>PLANTILLA!AG7</f>
        <v>5.7842386152204632</v>
      </c>
      <c r="F20" s="159">
        <f>PLANTILLA!AH7</f>
        <v>6.4093202907111202</v>
      </c>
      <c r="G20" s="159">
        <f>PLANTILLA!AI7</f>
        <v>0.58459259144212983</v>
      </c>
      <c r="H20" s="159">
        <f>PLANTILLA!AJ7</f>
        <v>1.064768517511864</v>
      </c>
    </row>
  </sheetData>
  <sortState ref="A2:H20">
    <sortCondition descending="1" ref="E2:E20"/>
  </sortState>
  <conditionalFormatting sqref="E2:E20">
    <cfRule type="cellIs" dxfId="383" priority="4" operator="lessThan">
      <formula>11</formula>
    </cfRule>
    <cfRule type="cellIs" dxfId="382" priority="5" operator="between">
      <formula>11</formula>
      <formula>15</formula>
    </cfRule>
    <cfRule type="cellIs" dxfId="381"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756</v>
      </c>
      <c r="C2" s="742"/>
      <c r="D2" s="742"/>
      <c r="E2" s="742"/>
      <c r="F2" s="742"/>
      <c r="G2" s="743"/>
      <c r="I2" s="751" t="s">
        <v>757</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767</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776</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778</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781</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42" priority="71" operator="lessThan">
      <formula>0</formula>
    </cfRule>
    <cfRule type="cellIs" dxfId="141" priority="72" operator="greaterThan">
      <formula>0</formula>
    </cfRule>
  </conditionalFormatting>
  <conditionalFormatting sqref="O4">
    <cfRule type="cellIs" dxfId="140" priority="69" operator="lessThan">
      <formula>0</formula>
    </cfRule>
    <cfRule type="cellIs" dxfId="139" priority="70" operator="greaterThan">
      <formula>0</formula>
    </cfRule>
  </conditionalFormatting>
  <conditionalFormatting sqref="T4">
    <cfRule type="cellIs" dxfId="138" priority="67" operator="lessThan">
      <formula>0</formula>
    </cfRule>
    <cfRule type="cellIs" dxfId="137" priority="68" operator="greaterThan">
      <formula>0</formula>
    </cfRule>
  </conditionalFormatting>
  <conditionalFormatting sqref="T4">
    <cfRule type="cellIs" dxfId="136" priority="65" operator="lessThan">
      <formula>0</formula>
    </cfRule>
    <cfRule type="cellIs" dxfId="135" priority="66" operator="greaterThan">
      <formula>0</formula>
    </cfRule>
  </conditionalFormatting>
  <conditionalFormatting sqref="O4 T4 Q4">
    <cfRule type="cellIs" dxfId="134" priority="63" operator="lessThan">
      <formula>0</formula>
    </cfRule>
    <cfRule type="cellIs" dxfId="133" priority="64" operator="greaterThan">
      <formula>0</formula>
    </cfRule>
  </conditionalFormatting>
  <conditionalFormatting sqref="T4">
    <cfRule type="cellIs" dxfId="132" priority="61" operator="lessThan">
      <formula>0</formula>
    </cfRule>
    <cfRule type="cellIs" dxfId="131" priority="62" operator="greaterThan">
      <formula>0</formula>
    </cfRule>
  </conditionalFormatting>
  <conditionalFormatting sqref="O5">
    <cfRule type="cellIs" dxfId="130" priority="39" operator="lessThan">
      <formula>0</formula>
    </cfRule>
    <cfRule type="cellIs" dxfId="129" priority="40" operator="greaterThan">
      <formula>0</formula>
    </cfRule>
  </conditionalFormatting>
  <conditionalFormatting sqref="T5">
    <cfRule type="cellIs" dxfId="128" priority="37" operator="lessThan">
      <formula>0</formula>
    </cfRule>
    <cfRule type="cellIs" dxfId="127" priority="38" operator="greaterThan">
      <formula>0</formula>
    </cfRule>
  </conditionalFormatting>
  <conditionalFormatting sqref="T5">
    <cfRule type="cellIs" dxfId="126" priority="35" operator="lessThan">
      <formula>0</formula>
    </cfRule>
    <cfRule type="cellIs" dxfId="125" priority="36" operator="greaterThan">
      <formula>0</formula>
    </cfRule>
  </conditionalFormatting>
  <conditionalFormatting sqref="O5 T5 Q5">
    <cfRule type="cellIs" dxfId="124" priority="33" operator="lessThan">
      <formula>0</formula>
    </cfRule>
    <cfRule type="cellIs" dxfId="123" priority="34" operator="greaterThan">
      <formula>0</formula>
    </cfRule>
  </conditionalFormatting>
  <conditionalFormatting sqref="T5">
    <cfRule type="cellIs" dxfId="122" priority="31" operator="lessThan">
      <formula>0</formula>
    </cfRule>
    <cfRule type="cellIs" dxfId="121" priority="32" operator="greaterThan">
      <formula>0</formula>
    </cfRule>
  </conditionalFormatting>
  <conditionalFormatting sqref="O6">
    <cfRule type="cellIs" dxfId="120" priority="29" operator="lessThan">
      <formula>0</formula>
    </cfRule>
    <cfRule type="cellIs" dxfId="119" priority="30" operator="greaterThan">
      <formula>0</formula>
    </cfRule>
  </conditionalFormatting>
  <conditionalFormatting sqref="T6">
    <cfRule type="cellIs" dxfId="118" priority="27" operator="lessThan">
      <formula>0</formula>
    </cfRule>
    <cfRule type="cellIs" dxfId="117" priority="28" operator="greaterThan">
      <formula>0</formula>
    </cfRule>
  </conditionalFormatting>
  <conditionalFormatting sqref="T6">
    <cfRule type="cellIs" dxfId="116" priority="25" operator="lessThan">
      <formula>0</formula>
    </cfRule>
    <cfRule type="cellIs" dxfId="115" priority="26" operator="greaterThan">
      <formula>0</formula>
    </cfRule>
  </conditionalFormatting>
  <conditionalFormatting sqref="O6 T6 Q6">
    <cfRule type="cellIs" dxfId="114" priority="23" operator="lessThan">
      <formula>0</formula>
    </cfRule>
    <cfRule type="cellIs" dxfId="113" priority="24" operator="greaterThan">
      <formula>0</formula>
    </cfRule>
  </conditionalFormatting>
  <conditionalFormatting sqref="T6">
    <cfRule type="cellIs" dxfId="112" priority="21" operator="lessThan">
      <formula>0</formula>
    </cfRule>
    <cfRule type="cellIs" dxfId="111" priority="22" operator="greaterThan">
      <formula>0</formula>
    </cfRule>
  </conditionalFormatting>
  <conditionalFormatting sqref="O7">
    <cfRule type="cellIs" dxfId="110" priority="19" operator="lessThan">
      <formula>0</formula>
    </cfRule>
    <cfRule type="cellIs" dxfId="109" priority="20" operator="greaterThan">
      <formula>0</formula>
    </cfRule>
  </conditionalFormatting>
  <conditionalFormatting sqref="T7">
    <cfRule type="cellIs" dxfId="108" priority="17" operator="lessThan">
      <formula>0</formula>
    </cfRule>
    <cfRule type="cellIs" dxfId="107" priority="18" operator="greaterThan">
      <formula>0</formula>
    </cfRule>
  </conditionalFormatting>
  <conditionalFormatting sqref="T7">
    <cfRule type="cellIs" dxfId="106" priority="15" operator="lessThan">
      <formula>0</formula>
    </cfRule>
    <cfRule type="cellIs" dxfId="105" priority="16" operator="greaterThan">
      <formula>0</formula>
    </cfRule>
  </conditionalFormatting>
  <conditionalFormatting sqref="O7 T7 Q7">
    <cfRule type="cellIs" dxfId="104" priority="13" operator="lessThan">
      <formula>0</formula>
    </cfRule>
    <cfRule type="cellIs" dxfId="103" priority="14" operator="greaterThan">
      <formula>0</formula>
    </cfRule>
  </conditionalFormatting>
  <conditionalFormatting sqref="T7">
    <cfRule type="cellIs" dxfId="102" priority="11" operator="lessThan">
      <formula>0</formula>
    </cfRule>
    <cfRule type="cellIs" dxfId="101" priority="12" operator="greaterThan">
      <formula>0</formula>
    </cfRule>
  </conditionalFormatting>
  <conditionalFormatting sqref="O8">
    <cfRule type="cellIs" dxfId="100" priority="9" operator="lessThan">
      <formula>0</formula>
    </cfRule>
    <cfRule type="cellIs" dxfId="99" priority="10" operator="greaterThan">
      <formula>0</formula>
    </cfRule>
  </conditionalFormatting>
  <conditionalFormatting sqref="T8">
    <cfRule type="cellIs" dxfId="98" priority="7" operator="lessThan">
      <formula>0</formula>
    </cfRule>
    <cfRule type="cellIs" dxfId="97" priority="8" operator="greaterThan">
      <formula>0</formula>
    </cfRule>
  </conditionalFormatting>
  <conditionalFormatting sqref="T8">
    <cfRule type="cellIs" dxfId="96" priority="5" operator="lessThan">
      <formula>0</formula>
    </cfRule>
    <cfRule type="cellIs" dxfId="95" priority="6" operator="greaterThan">
      <formula>0</formula>
    </cfRule>
  </conditionalFormatting>
  <conditionalFormatting sqref="O8 T8 Q8">
    <cfRule type="cellIs" dxfId="94" priority="3" operator="lessThan">
      <formula>0</formula>
    </cfRule>
    <cfRule type="cellIs" dxfId="93" priority="4" operator="greaterThan">
      <formula>0</formula>
    </cfRule>
  </conditionalFormatting>
  <conditionalFormatting sqref="T8">
    <cfRule type="cellIs" dxfId="92" priority="1" operator="lessThan">
      <formula>0</formula>
    </cfRule>
    <cfRule type="cellIs" dxfId="91"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7">
        <v>8310</v>
      </c>
      <c r="N6" s="497">
        <v>461286</v>
      </c>
      <c r="O6" s="497">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1">
        <v>187500</v>
      </c>
      <c r="N7" s="592">
        <v>187965</v>
      </c>
      <c r="O7" s="592">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0">
        <v>0</v>
      </c>
      <c r="N8" s="497">
        <v>0</v>
      </c>
      <c r="O8" s="497">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0">
        <v>0</v>
      </c>
      <c r="N9" s="497">
        <v>0</v>
      </c>
      <c r="O9" s="497">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1">
        <v>0</v>
      </c>
      <c r="N10" s="592">
        <v>0</v>
      </c>
      <c r="O10" s="592">
        <v>0</v>
      </c>
      <c r="P10" s="70">
        <v>0</v>
      </c>
      <c r="Q10" s="72">
        <v>10000</v>
      </c>
      <c r="R10" s="72">
        <v>120</v>
      </c>
      <c r="S10" s="72">
        <v>0</v>
      </c>
      <c r="Y10" s="67" t="s">
        <v>77</v>
      </c>
      <c r="Z10" s="71">
        <f t="shared" si="4"/>
        <v>1.4744551340901927E-3</v>
      </c>
    </row>
    <row r="11" spans="1:26" x14ac:dyDescent="0.25">
      <c r="A11" s="735" t="s">
        <v>78</v>
      </c>
      <c r="B11" s="67" t="s">
        <v>79</v>
      </c>
      <c r="C11" s="68">
        <f t="shared" si="3"/>
        <v>84270</v>
      </c>
      <c r="D11" s="72">
        <v>120</v>
      </c>
      <c r="E11" s="72">
        <v>60</v>
      </c>
      <c r="F11" s="72">
        <v>90</v>
      </c>
      <c r="G11" s="72">
        <v>0</v>
      </c>
      <c r="H11" s="72">
        <v>0</v>
      </c>
      <c r="I11" s="72">
        <v>0</v>
      </c>
      <c r="J11" s="72">
        <v>120</v>
      </c>
      <c r="K11" s="72">
        <v>300</v>
      </c>
      <c r="L11" s="72">
        <v>60</v>
      </c>
      <c r="M11" s="592">
        <v>240</v>
      </c>
      <c r="N11" s="592">
        <v>300</v>
      </c>
      <c r="O11" s="592">
        <v>300</v>
      </c>
      <c r="P11" s="70">
        <v>60</v>
      </c>
      <c r="Q11" s="72">
        <v>0</v>
      </c>
      <c r="R11" s="72">
        <v>180</v>
      </c>
      <c r="S11" s="72">
        <v>82440</v>
      </c>
      <c r="Y11" s="67" t="s">
        <v>79</v>
      </c>
      <c r="Z11" s="71">
        <f t="shared" si="4"/>
        <v>1.1677850953926741E-2</v>
      </c>
    </row>
    <row r="12" spans="1:26" x14ac:dyDescent="0.25">
      <c r="A12" s="736"/>
      <c r="B12" s="67" t="s">
        <v>80</v>
      </c>
      <c r="C12" s="68">
        <f t="shared" si="3"/>
        <v>0</v>
      </c>
      <c r="D12" s="72">
        <v>0</v>
      </c>
      <c r="E12" s="72">
        <v>0</v>
      </c>
      <c r="F12" s="72">
        <v>0</v>
      </c>
      <c r="G12" s="72"/>
      <c r="H12" s="72">
        <v>0</v>
      </c>
      <c r="I12" s="72">
        <v>0</v>
      </c>
      <c r="J12" s="72">
        <v>0</v>
      </c>
      <c r="K12" s="72">
        <v>0</v>
      </c>
      <c r="L12" s="72"/>
      <c r="M12" s="491">
        <v>0</v>
      </c>
      <c r="N12" s="592">
        <v>0</v>
      </c>
      <c r="O12" s="592">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3">
        <v>82690</v>
      </c>
      <c r="N14" s="496">
        <v>82690</v>
      </c>
      <c r="O14" s="496">
        <v>83870</v>
      </c>
      <c r="P14" s="70">
        <f t="shared" si="7"/>
        <v>83870</v>
      </c>
      <c r="Q14" s="83">
        <f t="shared" si="7"/>
        <v>83870</v>
      </c>
      <c r="R14" s="83">
        <f t="shared" si="7"/>
        <v>83870</v>
      </c>
      <c r="S14" s="83">
        <v>85220</v>
      </c>
      <c r="Y14" s="737">
        <f>C13</f>
        <v>7216225</v>
      </c>
      <c r="Z14" s="738"/>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6">
        <f t="shared" si="8"/>
        <v>35776</v>
      </c>
      <c r="N15" s="496">
        <f t="shared" si="8"/>
        <v>35776</v>
      </c>
      <c r="O15" s="496">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6">
        <f t="shared" si="9"/>
        <v>0</v>
      </c>
      <c r="N16" s="496">
        <f t="shared" si="9"/>
        <v>0</v>
      </c>
      <c r="O16" s="496">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6">
        <f t="shared" si="9"/>
        <v>65280.000000000007</v>
      </c>
      <c r="N17" s="496">
        <f t="shared" si="9"/>
        <v>65280.000000000007</v>
      </c>
      <c r="O17" s="496">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6">
        <f t="shared" si="9"/>
        <v>20000</v>
      </c>
      <c r="N18" s="496">
        <f t="shared" si="9"/>
        <v>20000</v>
      </c>
      <c r="O18" s="496">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3">
        <f t="shared" si="9"/>
        <v>0</v>
      </c>
      <c r="N19" s="496">
        <f t="shared" si="9"/>
        <v>0</v>
      </c>
      <c r="O19" s="496">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3">
        <f t="shared" si="9"/>
        <v>0</v>
      </c>
      <c r="N20" s="496">
        <f t="shared" si="9"/>
        <v>0</v>
      </c>
      <c r="O20" s="496">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3">
        <f t="shared" si="9"/>
        <v>2000</v>
      </c>
      <c r="N21" s="496">
        <v>6000</v>
      </c>
      <c r="O21" s="496">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3">
        <f t="shared" si="9"/>
        <v>0</v>
      </c>
      <c r="N22" s="496">
        <f t="shared" si="9"/>
        <v>0</v>
      </c>
      <c r="O22" s="496">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39" t="s">
        <v>94</v>
      </c>
      <c r="B26" s="739"/>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30" t="s">
        <v>95</v>
      </c>
      <c r="B27" s="730"/>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31" t="s">
        <v>96</v>
      </c>
      <c r="B28" s="731"/>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39" t="s">
        <v>97</v>
      </c>
      <c r="B29" s="739"/>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30" t="s">
        <v>98</v>
      </c>
      <c r="B30" s="730"/>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31" t="s">
        <v>99</v>
      </c>
      <c r="B31" s="731"/>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40"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32">
        <f>C23</f>
        <v>5755973</v>
      </c>
      <c r="Z34" s="733"/>
    </row>
    <row r="35" spans="1:26" x14ac:dyDescent="0.25">
      <c r="A35" s="57"/>
      <c r="B35" s="740"/>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40"/>
      <c r="C36" s="174" t="s">
        <v>805</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40"/>
      <c r="C37" s="174" t="s">
        <v>806</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40"/>
      <c r="C38" s="174" t="s">
        <v>807</v>
      </c>
      <c r="D38" s="176" t="s">
        <v>811</v>
      </c>
      <c r="E38" s="176" t="s">
        <v>820</v>
      </c>
      <c r="F38" s="176" t="s">
        <v>848</v>
      </c>
      <c r="G38" s="176" t="s">
        <v>849</v>
      </c>
      <c r="H38" s="176" t="s">
        <v>854</v>
      </c>
      <c r="I38" s="176" t="s">
        <v>856</v>
      </c>
      <c r="J38" s="176" t="s">
        <v>879</v>
      </c>
      <c r="K38" s="176" t="s">
        <v>880</v>
      </c>
      <c r="L38" s="176" t="s">
        <v>794</v>
      </c>
      <c r="M38" s="176"/>
      <c r="N38" s="176"/>
      <c r="O38" s="176" t="s">
        <v>909</v>
      </c>
      <c r="P38" s="176" t="s">
        <v>910</v>
      </c>
      <c r="Q38" s="176"/>
      <c r="R38" s="176"/>
      <c r="S38" s="176"/>
    </row>
    <row r="39" spans="1:26" x14ac:dyDescent="0.25">
      <c r="A39" s="57"/>
      <c r="B39" s="740"/>
      <c r="C39" s="174" t="s">
        <v>808</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40"/>
      <c r="C40" s="174" t="s">
        <v>809</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40"/>
      <c r="C41" s="174" t="s">
        <v>810</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498"/>
      <c r="G43" s="734"/>
      <c r="H43" s="734"/>
      <c r="I43" s="734"/>
      <c r="J43" s="734"/>
    </row>
    <row r="44" spans="1:26" x14ac:dyDescent="0.25">
      <c r="C44" s="4" t="s">
        <v>578</v>
      </c>
      <c r="D44" s="9">
        <v>85845</v>
      </c>
      <c r="E44" s="371">
        <v>92875</v>
      </c>
      <c r="F44" s="264">
        <v>97870</v>
      </c>
      <c r="G44" s="499">
        <v>101200</v>
      </c>
      <c r="H44" s="499">
        <v>103420</v>
      </c>
      <c r="I44" s="499">
        <v>104900</v>
      </c>
      <c r="J44" s="499">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29"/>
      <c r="H48" s="729"/>
      <c r="I48" s="729"/>
      <c r="J48" s="729"/>
      <c r="M48" s="413"/>
    </row>
    <row r="49" spans="5:16" x14ac:dyDescent="0.25">
      <c r="E49" s="106"/>
      <c r="G49" s="499"/>
      <c r="H49" s="499"/>
      <c r="I49" s="499"/>
      <c r="J49" s="499"/>
    </row>
    <row r="50" spans="5:16" x14ac:dyDescent="0.25">
      <c r="G50" s="729"/>
      <c r="H50" s="729"/>
      <c r="I50" s="729"/>
      <c r="J50" s="729"/>
      <c r="P50" s="413"/>
    </row>
    <row r="51" spans="5:16" ht="15" customHeight="1" x14ac:dyDescent="0.25">
      <c r="G51" s="729"/>
      <c r="H51" s="729"/>
      <c r="I51" s="729"/>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1" t="s">
        <v>796</v>
      </c>
      <c r="C2" s="742"/>
      <c r="D2" s="742"/>
      <c r="E2" s="742"/>
      <c r="F2" s="742"/>
      <c r="G2" s="743"/>
      <c r="I2" s="752" t="s">
        <v>797</v>
      </c>
      <c r="J2" s="753"/>
      <c r="K2" s="753"/>
      <c r="L2" s="753"/>
      <c r="M2" s="753"/>
      <c r="N2" s="753"/>
      <c r="O2" s="753"/>
      <c r="P2" s="753"/>
      <c r="Q2" s="753"/>
      <c r="R2" s="753"/>
      <c r="S2" s="754"/>
    </row>
    <row r="3" spans="2:19" x14ac:dyDescent="0.25">
      <c r="B3" s="745" t="s">
        <v>103</v>
      </c>
      <c r="C3" s="746"/>
      <c r="D3" s="746"/>
      <c r="E3" s="746"/>
      <c r="F3" s="746"/>
      <c r="G3" s="747"/>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5" t="s">
        <v>114</v>
      </c>
      <c r="C4" s="756"/>
      <c r="D4" s="109"/>
      <c r="E4" s="757" t="s">
        <v>115</v>
      </c>
      <c r="F4" s="758"/>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850</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911</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4"/>
      <c r="J8" s="504"/>
      <c r="K8" s="504"/>
      <c r="L8" s="504"/>
      <c r="M8" s="504"/>
      <c r="N8" s="504"/>
      <c r="O8" s="504"/>
      <c r="P8" s="504"/>
      <c r="Q8" s="504"/>
      <c r="R8" s="504"/>
      <c r="S8" s="504"/>
    </row>
    <row r="9" spans="2:19" x14ac:dyDescent="0.25">
      <c r="B9" s="122" t="s">
        <v>120</v>
      </c>
      <c r="C9" s="123">
        <v>-2068800</v>
      </c>
      <c r="D9" s="220">
        <f>C9/C30</f>
        <v>-0.10308377332845778</v>
      </c>
      <c r="E9" s="221" t="s">
        <v>798</v>
      </c>
      <c r="F9" s="222">
        <f ca="1">'A-P_T47'!F11-EconomiaT47!C24+EconomiaT47!C5</f>
        <v>2985317.643589247</v>
      </c>
      <c r="G9" s="121">
        <f ca="1">F9/$F$30</f>
        <v>0.1487518403350733</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0</v>
      </c>
      <c r="D11" s="140">
        <f>C11/C30</f>
        <v>0</v>
      </c>
      <c r="E11" s="116" t="s">
        <v>799</v>
      </c>
      <c r="F11" s="117">
        <f>SUM(F12:F17)+C9</f>
        <v>2458112</v>
      </c>
      <c r="G11" s="118">
        <f t="shared" ref="G11:G17" ca="1" si="6">F11/$F$30</f>
        <v>0.12248233769526393</v>
      </c>
      <c r="I11" s="504"/>
      <c r="J11" s="504"/>
      <c r="K11" s="504"/>
      <c r="L11" s="504"/>
      <c r="M11" s="504"/>
      <c r="N11" s="504"/>
      <c r="O11" s="504"/>
      <c r="P11" s="504"/>
      <c r="Q11" s="504"/>
      <c r="R11" s="504"/>
      <c r="S11" s="504"/>
    </row>
    <row r="12" spans="2:19" x14ac:dyDescent="0.25">
      <c r="B12" s="129" t="s">
        <v>122</v>
      </c>
      <c r="C12" s="130">
        <f>SUMIF(I4:I516,"S",$P$4:$P$516)</f>
        <v>0</v>
      </c>
      <c r="D12" s="220">
        <f>C12/C30</f>
        <v>0</v>
      </c>
      <c r="E12" s="49" t="s">
        <v>123</v>
      </c>
      <c r="F12" s="131">
        <f>SUMIF(I4:I516,"J",$O$4:$O$516)</f>
        <v>-1052940</v>
      </c>
      <c r="G12" s="121">
        <f t="shared" ca="1" si="6"/>
        <v>-5.2465694261632993E-2</v>
      </c>
      <c r="I12" s="504"/>
      <c r="J12" s="504"/>
      <c r="K12" s="504"/>
      <c r="L12" s="504"/>
      <c r="M12" s="504"/>
      <c r="N12" s="504"/>
      <c r="O12" s="504"/>
      <c r="P12" s="504"/>
      <c r="Q12" s="504"/>
      <c r="R12" s="504"/>
      <c r="S12" s="504"/>
    </row>
    <row r="13" spans="2:19" x14ac:dyDescent="0.25">
      <c r="B13" s="129" t="s">
        <v>101</v>
      </c>
      <c r="C13" s="130">
        <f>SUMIF(I4:I516,"J",$P$4:$P$516)</f>
        <v>0</v>
      </c>
      <c r="D13" s="220">
        <f>C13/C30</f>
        <v>0</v>
      </c>
      <c r="E13" s="49" t="s">
        <v>124</v>
      </c>
      <c r="F13" s="131">
        <f>SUMIF(I4:I516,"S",$O$4:$O$516)</f>
        <v>0</v>
      </c>
      <c r="G13" s="121">
        <f t="shared" ca="1" si="6"/>
        <v>0</v>
      </c>
      <c r="I13" s="504"/>
      <c r="J13" s="504"/>
      <c r="K13" s="504"/>
      <c r="L13" s="504"/>
      <c r="M13" s="504"/>
      <c r="N13" s="504"/>
      <c r="O13" s="504"/>
      <c r="P13" s="504"/>
      <c r="Q13" s="504"/>
      <c r="R13" s="504"/>
      <c r="S13" s="504"/>
    </row>
    <row r="14" spans="2:19" x14ac:dyDescent="0.25">
      <c r="B14" s="129" t="s">
        <v>100</v>
      </c>
      <c r="C14" s="130">
        <f>SUMIF(I4:I516,"E",$P$4:$P$516)</f>
        <v>0</v>
      </c>
      <c r="D14" s="220">
        <f>C14/C30</f>
        <v>0</v>
      </c>
      <c r="E14" s="49" t="s">
        <v>125</v>
      </c>
      <c r="F14" s="131">
        <f>SUMIF(I4:I516,"C",$O$4:$O$516)</f>
        <v>476900</v>
      </c>
      <c r="G14" s="121">
        <f t="shared" ca="1" si="6"/>
        <v>2.3762882589105527E-2</v>
      </c>
      <c r="I14" s="504"/>
      <c r="J14" s="504"/>
      <c r="K14" s="504"/>
      <c r="L14" s="504"/>
      <c r="M14" s="504"/>
      <c r="N14" s="504"/>
      <c r="O14" s="504"/>
      <c r="P14" s="504"/>
      <c r="Q14" s="504"/>
      <c r="R14" s="504"/>
      <c r="S14" s="504"/>
    </row>
    <row r="15" spans="2:19" x14ac:dyDescent="0.25">
      <c r="B15" s="129" t="s">
        <v>126</v>
      </c>
      <c r="C15" s="130">
        <f>SUMIF(I4:I516,"M",$P$4:$P$516)</f>
        <v>0</v>
      </c>
      <c r="D15" s="220">
        <f>C15/C30</f>
        <v>0</v>
      </c>
      <c r="E15" s="49" t="s">
        <v>127</v>
      </c>
      <c r="F15" s="131">
        <f>SUMIF(I4:I516,"E",$O$4:$O$516)</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SUMIF(I4:I516,"M",$O$4:$O$516)</f>
        <v>0</v>
      </c>
      <c r="G16" s="121">
        <f t="shared" ca="1" si="6"/>
        <v>0</v>
      </c>
      <c r="I16" s="504"/>
      <c r="J16" s="504"/>
      <c r="K16" s="504"/>
      <c r="L16" s="504"/>
      <c r="M16" s="504"/>
      <c r="N16" s="504"/>
      <c r="O16" s="504"/>
      <c r="P16" s="504"/>
      <c r="Q16" s="504"/>
      <c r="R16" s="504"/>
      <c r="S16" s="504"/>
    </row>
    <row r="17" spans="2:11" x14ac:dyDescent="0.25">
      <c r="B17" s="116" t="s">
        <v>75</v>
      </c>
      <c r="C17" s="134">
        <f>C18+C19</f>
        <v>476900</v>
      </c>
      <c r="D17" s="140">
        <f>C17/C30</f>
        <v>2.3762882589105527E-2</v>
      </c>
      <c r="E17" s="135" t="s">
        <v>800</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801</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2"/>
      <c r="G22" s="503"/>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5" t="s">
        <v>91</v>
      </c>
      <c r="F29" s="506">
        <f>EconomiaT48!C22</f>
        <v>0</v>
      </c>
      <c r="G29" s="507">
        <f t="shared" ca="1" si="7"/>
        <v>0</v>
      </c>
    </row>
    <row r="30" spans="2:11" ht="18.75" x14ac:dyDescent="0.3">
      <c r="B30" s="146" t="s">
        <v>27</v>
      </c>
      <c r="C30" s="147">
        <f>C23+C21+C17+C11+C6</f>
        <v>20069114.014755197</v>
      </c>
      <c r="D30" s="508">
        <f>C30/C30</f>
        <v>1</v>
      </c>
      <c r="E30" s="146" t="s">
        <v>27</v>
      </c>
      <c r="F30" s="147">
        <f ca="1">F23+F19+F11+F6</f>
        <v>20069114.014755197</v>
      </c>
      <c r="G30" s="145">
        <f ca="1">F30/$F$30</f>
        <v>1</v>
      </c>
      <c r="J30" s="106"/>
    </row>
    <row r="31" spans="2:11" x14ac:dyDescent="0.25">
      <c r="C31" s="106"/>
      <c r="D31" s="509"/>
      <c r="E31" s="510" t="s">
        <v>740</v>
      </c>
      <c r="F31" s="511">
        <f ca="1">F30-C30</f>
        <v>0</v>
      </c>
      <c r="G31" s="106"/>
    </row>
    <row r="32" spans="2:11" x14ac:dyDescent="0.25">
      <c r="C32" s="106"/>
      <c r="D32" s="106"/>
      <c r="F32" s="106"/>
      <c r="G32" s="106"/>
      <c r="H32" s="106"/>
    </row>
    <row r="33" spans="2:7" ht="15.75" x14ac:dyDescent="0.25">
      <c r="B33" s="512" t="s">
        <v>802</v>
      </c>
      <c r="C33" s="513">
        <f>EconomiaT48!C24</f>
        <v>9386456.0147551969</v>
      </c>
      <c r="D33" s="106"/>
      <c r="E33" s="4" t="s">
        <v>803</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90" priority="164" operator="lessThan">
      <formula>0</formula>
    </cfRule>
    <cfRule type="cellIs" dxfId="89" priority="165" operator="greaterThan">
      <formula>0</formula>
    </cfRule>
  </conditionalFormatting>
  <conditionalFormatting sqref="F33">
    <cfRule type="cellIs" dxfId="88" priority="51" operator="lessThan">
      <formula>0</formula>
    </cfRule>
  </conditionalFormatting>
  <conditionalFormatting sqref="C34">
    <cfRule type="cellIs" dxfId="87" priority="29" operator="greaterThan">
      <formula>0</formula>
    </cfRule>
    <cfRule type="cellIs" dxfId="86" priority="50" operator="lessThan">
      <formula>0</formula>
    </cfRule>
  </conditionalFormatting>
  <conditionalFormatting sqref="O4">
    <cfRule type="cellIs" dxfId="85" priority="27" operator="lessThan">
      <formula>0</formula>
    </cfRule>
    <cfRule type="cellIs" dxfId="84" priority="28" operator="greaterThan">
      <formula>0</formula>
    </cfRule>
  </conditionalFormatting>
  <conditionalFormatting sqref="O4 Q4">
    <cfRule type="cellIs" dxfId="83" priority="21" operator="lessThan">
      <formula>0</formula>
    </cfRule>
    <cfRule type="cellIs" dxfId="82" priority="22" operator="greaterThan">
      <formula>0</formula>
    </cfRule>
  </conditionalFormatting>
  <conditionalFormatting sqref="O5">
    <cfRule type="cellIs" dxfId="81" priority="17" operator="lessThan">
      <formula>0</formula>
    </cfRule>
    <cfRule type="cellIs" dxfId="80" priority="18" operator="greaterThan">
      <formula>0</formula>
    </cfRule>
  </conditionalFormatting>
  <conditionalFormatting sqref="O5 Q5">
    <cfRule type="cellIs" dxfId="79" priority="11" operator="lessThan">
      <formula>0</formula>
    </cfRule>
    <cfRule type="cellIs" dxfId="78" priority="12" operator="greaterThan">
      <formula>0</formula>
    </cfRule>
  </conditionalFormatting>
  <conditionalFormatting sqref="O6">
    <cfRule type="cellIs" dxfId="77" priority="7" operator="lessThan">
      <formula>0</formula>
    </cfRule>
    <cfRule type="cellIs" dxfId="76" priority="8" operator="greaterThan">
      <formula>0</formula>
    </cfRule>
  </conditionalFormatting>
  <conditionalFormatting sqref="O6 Q6">
    <cfRule type="cellIs" dxfId="75" priority="5" operator="lessThan">
      <formula>0</formula>
    </cfRule>
    <cfRule type="cellIs" dxfId="74" priority="6" operator="greaterThan">
      <formula>0</formula>
    </cfRule>
  </conditionalFormatting>
  <conditionalFormatting sqref="O7">
    <cfRule type="cellIs" dxfId="73" priority="3" operator="lessThan">
      <formula>0</formula>
    </cfRule>
    <cfRule type="cellIs" dxfId="72" priority="4" operator="greaterThan">
      <formula>0</formula>
    </cfRule>
  </conditionalFormatting>
  <conditionalFormatting sqref="O7 Q7">
    <cfRule type="cellIs" dxfId="71" priority="1" operator="lessThan">
      <formula>0</formula>
    </cfRule>
    <cfRule type="cellIs" dxfId="70" priority="2" operator="greaterThan">
      <formula>0</formula>
    </cfRule>
  </conditionalFormatting>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7">
        <v>21921</v>
      </c>
      <c r="N6" s="497">
        <v>633023</v>
      </c>
      <c r="O6" s="497">
        <v>19414</v>
      </c>
      <c r="P6" s="497">
        <f>609647+15477</f>
        <v>625124</v>
      </c>
      <c r="Q6" s="497">
        <v>18667</v>
      </c>
      <c r="R6" s="497">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2">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0">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0">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1">
        <v>0</v>
      </c>
      <c r="N10" s="72">
        <v>0</v>
      </c>
      <c r="O10" s="72">
        <v>0</v>
      </c>
      <c r="P10" s="72">
        <v>0</v>
      </c>
      <c r="Q10" s="72">
        <v>39020</v>
      </c>
      <c r="R10" s="72">
        <v>0</v>
      </c>
      <c r="S10" s="70">
        <v>0</v>
      </c>
      <c r="Y10" s="67" t="s">
        <v>77</v>
      </c>
      <c r="Z10" s="71">
        <f t="shared" si="4"/>
        <v>1.2443392560305147E-2</v>
      </c>
    </row>
    <row r="11" spans="1:26" x14ac:dyDescent="0.25">
      <c r="A11" s="735" t="s">
        <v>78</v>
      </c>
      <c r="B11" s="67" t="s">
        <v>79</v>
      </c>
      <c r="C11" s="68">
        <f t="shared" si="3"/>
        <v>88230</v>
      </c>
      <c r="D11" s="72">
        <v>210</v>
      </c>
      <c r="E11" s="72">
        <v>300</v>
      </c>
      <c r="F11" s="72">
        <v>300</v>
      </c>
      <c r="G11" s="72">
        <v>270</v>
      </c>
      <c r="H11" s="72">
        <v>240</v>
      </c>
      <c r="I11" s="72">
        <v>120</v>
      </c>
      <c r="J11" s="72">
        <v>0</v>
      </c>
      <c r="K11" s="72">
        <v>60</v>
      </c>
      <c r="L11" s="72">
        <v>120</v>
      </c>
      <c r="M11" s="592">
        <v>120</v>
      </c>
      <c r="N11" s="72">
        <v>240</v>
      </c>
      <c r="O11" s="72">
        <v>240</v>
      </c>
      <c r="P11" s="72">
        <v>240</v>
      </c>
      <c r="Q11" s="72">
        <v>60</v>
      </c>
      <c r="R11" s="72">
        <v>240</v>
      </c>
      <c r="S11" s="70">
        <f>85230+240</f>
        <v>85470</v>
      </c>
      <c r="Y11" s="67" t="s">
        <v>79</v>
      </c>
      <c r="Z11" s="71">
        <f t="shared" si="4"/>
        <v>9.1067339565161966E-3</v>
      </c>
    </row>
    <row r="12" spans="1:26" x14ac:dyDescent="0.25">
      <c r="A12" s="736"/>
      <c r="B12" s="67" t="s">
        <v>80</v>
      </c>
      <c r="C12" s="68">
        <f t="shared" si="3"/>
        <v>1105000</v>
      </c>
      <c r="D12" s="72">
        <v>0</v>
      </c>
      <c r="E12" s="72">
        <v>0</v>
      </c>
      <c r="F12" s="72">
        <v>0</v>
      </c>
      <c r="G12" s="72">
        <v>0</v>
      </c>
      <c r="H12" s="72">
        <v>0</v>
      </c>
      <c r="I12" s="72">
        <v>0</v>
      </c>
      <c r="J12" s="72">
        <v>180000</v>
      </c>
      <c r="K12" s="72">
        <v>0</v>
      </c>
      <c r="L12" s="72">
        <v>0</v>
      </c>
      <c r="M12" s="491">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6">
        <v>147606</v>
      </c>
      <c r="N14" s="83">
        <v>147606</v>
      </c>
      <c r="O14" s="83">
        <v>147886</v>
      </c>
      <c r="P14" s="83">
        <f t="shared" ref="M14:S15" si="7">O14</f>
        <v>147886</v>
      </c>
      <c r="Q14" s="83">
        <v>148566</v>
      </c>
      <c r="R14" s="83">
        <v>150696</v>
      </c>
      <c r="S14" s="70">
        <v>153622</v>
      </c>
      <c r="Y14" s="737">
        <f>C13</f>
        <v>9688435</v>
      </c>
      <c r="Z14" s="738"/>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6">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6">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6">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6">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6">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6">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6">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6">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39" t="s">
        <v>94</v>
      </c>
      <c r="B26" s="739"/>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30" t="s">
        <v>95</v>
      </c>
      <c r="B27" s="730"/>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31" t="s">
        <v>96</v>
      </c>
      <c r="B28" s="731"/>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39" t="s">
        <v>97</v>
      </c>
      <c r="B29" s="739"/>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30" t="s">
        <v>98</v>
      </c>
      <c r="B30" s="730"/>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31" t="s">
        <v>99</v>
      </c>
      <c r="B31" s="731"/>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40"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32">
        <f>C23</f>
        <v>16032490</v>
      </c>
      <c r="Z34" s="733"/>
    </row>
    <row r="35" spans="1:26" x14ac:dyDescent="0.25">
      <c r="A35" s="57"/>
      <c r="B35" s="740"/>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40"/>
      <c r="C36" s="174" t="s">
        <v>805</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40"/>
      <c r="C37" s="174" t="s">
        <v>806</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40"/>
      <c r="C38" s="174" t="s">
        <v>807</v>
      </c>
      <c r="D38" s="176" t="s">
        <v>915</v>
      </c>
      <c r="E38" s="176" t="s">
        <v>922</v>
      </c>
      <c r="F38" s="176" t="s">
        <v>923</v>
      </c>
      <c r="G38" s="176"/>
      <c r="H38" s="176" t="s">
        <v>924</v>
      </c>
      <c r="I38" s="176"/>
      <c r="J38" s="176" t="s">
        <v>927</v>
      </c>
      <c r="K38" s="176" t="s">
        <v>929</v>
      </c>
      <c r="L38" s="176" t="s">
        <v>932</v>
      </c>
      <c r="M38" s="176"/>
      <c r="N38" s="176"/>
      <c r="O38" s="176" t="s">
        <v>936</v>
      </c>
      <c r="P38" s="176" t="s">
        <v>937</v>
      </c>
      <c r="Q38" s="176"/>
      <c r="R38" s="176" t="s">
        <v>938</v>
      </c>
      <c r="S38" s="176" t="s">
        <v>941</v>
      </c>
    </row>
    <row r="39" spans="1:26" x14ac:dyDescent="0.25">
      <c r="A39" s="57"/>
      <c r="B39" s="740"/>
      <c r="C39" s="174" t="s">
        <v>808</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40"/>
      <c r="C40" s="174" t="s">
        <v>809</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40"/>
      <c r="C41" s="174" t="s">
        <v>810</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3"/>
      <c r="G43" s="734"/>
      <c r="H43" s="734"/>
      <c r="I43" s="734"/>
      <c r="J43" s="734"/>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c r="M46" s="413"/>
    </row>
    <row r="47" spans="1:26" x14ac:dyDescent="0.25">
      <c r="E47" s="106"/>
      <c r="G47" s="594"/>
      <c r="H47" s="594"/>
      <c r="I47" s="594"/>
      <c r="J47" s="594"/>
    </row>
    <row r="48" spans="1:26" x14ac:dyDescent="0.25">
      <c r="G48" s="729"/>
      <c r="H48" s="729"/>
      <c r="I48" s="729"/>
      <c r="J48" s="729"/>
      <c r="P48" s="413"/>
    </row>
    <row r="49" spans="7:10" ht="15" customHeight="1" x14ac:dyDescent="0.25">
      <c r="G49" s="729"/>
      <c r="H49" s="729"/>
      <c r="I49" s="729"/>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1" t="s">
        <v>912</v>
      </c>
      <c r="C2" s="742"/>
      <c r="D2" s="742"/>
      <c r="E2" s="742"/>
      <c r="F2" s="742"/>
      <c r="G2" s="743"/>
      <c r="I2" s="752" t="s">
        <v>913</v>
      </c>
      <c r="J2" s="753"/>
      <c r="K2" s="753"/>
      <c r="L2" s="753"/>
      <c r="M2" s="753"/>
      <c r="N2" s="753"/>
      <c r="O2" s="753"/>
      <c r="P2" s="753"/>
      <c r="Q2" s="753"/>
      <c r="R2" s="753"/>
      <c r="S2" s="754"/>
    </row>
    <row r="3" spans="2:19" x14ac:dyDescent="0.25">
      <c r="B3" s="745" t="s">
        <v>103</v>
      </c>
      <c r="C3" s="746"/>
      <c r="D3" s="746"/>
      <c r="E3" s="746"/>
      <c r="F3" s="746"/>
      <c r="G3" s="747"/>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5" t="s">
        <v>114</v>
      </c>
      <c r="C4" s="756"/>
      <c r="D4" s="109"/>
      <c r="E4" s="757" t="s">
        <v>115</v>
      </c>
      <c r="F4" s="758"/>
      <c r="G4" s="109"/>
      <c r="I4" s="429" t="s">
        <v>584</v>
      </c>
      <c r="J4" s="430" t="s">
        <v>934</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935</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2" t="s">
        <v>116</v>
      </c>
      <c r="J6" s="110" t="s">
        <v>931</v>
      </c>
      <c r="K6" s="602">
        <v>11662680</v>
      </c>
      <c r="L6" s="602">
        <v>53436</v>
      </c>
      <c r="M6" s="602">
        <v>0</v>
      </c>
      <c r="N6" s="602">
        <v>0</v>
      </c>
      <c r="O6" s="111">
        <f t="shared" ref="O6" si="4">IF(M6=0,0,M6-K6)-N6</f>
        <v>0</v>
      </c>
      <c r="P6" s="111">
        <f t="shared" ref="P6" si="5">IF(M6=0,K6,0)</f>
        <v>11662680</v>
      </c>
      <c r="Q6" s="603"/>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4"/>
      <c r="J7" s="504"/>
      <c r="K7" s="504"/>
      <c r="L7" s="504"/>
      <c r="M7" s="504"/>
      <c r="N7" s="504"/>
      <c r="O7" s="504"/>
      <c r="P7" s="504"/>
      <c r="Q7" s="504"/>
      <c r="R7" s="504"/>
      <c r="S7" s="504"/>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4"/>
      <c r="J8" s="504"/>
      <c r="K8" s="504"/>
      <c r="L8" s="504"/>
      <c r="M8" s="504"/>
      <c r="N8" s="504"/>
      <c r="O8" s="504"/>
      <c r="P8" s="504"/>
      <c r="Q8" s="504"/>
      <c r="R8" s="504"/>
      <c r="S8" s="504"/>
    </row>
    <row r="9" spans="2:19" x14ac:dyDescent="0.25">
      <c r="B9" s="122" t="s">
        <v>120</v>
      </c>
      <c r="C9" s="123">
        <v>0</v>
      </c>
      <c r="D9" s="220">
        <f>C9/C34</f>
        <v>0</v>
      </c>
      <c r="E9" s="221" t="s">
        <v>914</v>
      </c>
      <c r="F9" s="222">
        <f>'A-P_T48'!F11-2059800</f>
        <v>398312</v>
      </c>
      <c r="G9" s="121">
        <f ca="1">F9/$F$34</f>
        <v>1.1111642386177878E-2</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11662680</v>
      </c>
      <c r="D11" s="140">
        <f>C11/C34</f>
        <v>0.32535180819164122</v>
      </c>
      <c r="E11" s="116" t="s">
        <v>799</v>
      </c>
      <c r="F11" s="117">
        <f>SUM(F12:F17)</f>
        <v>5554171</v>
      </c>
      <c r="G11" s="118">
        <f t="shared" ref="G11:G17" ca="1" si="6">F11/$F$34</f>
        <v>0.15494376745787214</v>
      </c>
      <c r="I11" s="504"/>
      <c r="J11" s="504"/>
      <c r="K11" s="504"/>
      <c r="L11" s="504"/>
      <c r="M11" s="504"/>
      <c r="N11" s="504"/>
      <c r="O11" s="504"/>
      <c r="P11" s="504"/>
      <c r="Q11" s="504"/>
      <c r="R11" s="504"/>
      <c r="S11" s="504"/>
    </row>
    <row r="12" spans="2:19" x14ac:dyDescent="0.25">
      <c r="B12" s="129" t="s">
        <v>122</v>
      </c>
      <c r="C12" s="130">
        <f>SUMIF(I4:I520,"S",$P$4:$P$520)</f>
        <v>0</v>
      </c>
      <c r="D12" s="220">
        <f>C12/C34</f>
        <v>0</v>
      </c>
      <c r="E12" s="49" t="s">
        <v>123</v>
      </c>
      <c r="F12" s="131">
        <f>SUMIF(I4:I520,"J",$O$4:$O$520)</f>
        <v>0</v>
      </c>
      <c r="G12" s="121">
        <f t="shared" ca="1" si="6"/>
        <v>0</v>
      </c>
      <c r="I12" s="504"/>
      <c r="J12" s="504"/>
      <c r="K12" s="504"/>
      <c r="L12" s="504"/>
      <c r="M12" s="504"/>
      <c r="N12" s="504"/>
      <c r="O12" s="504"/>
      <c r="P12" s="504"/>
      <c r="Q12" s="504"/>
      <c r="R12" s="504"/>
      <c r="S12" s="504"/>
    </row>
    <row r="13" spans="2:19" x14ac:dyDescent="0.25">
      <c r="B13" s="129" t="s">
        <v>101</v>
      </c>
      <c r="C13" s="130">
        <f>SUMIF(I4:I520,"J",$P$4:$P$520)</f>
        <v>11662680</v>
      </c>
      <c r="D13" s="220">
        <f>C13/C34</f>
        <v>0.32535180819164122</v>
      </c>
      <c r="E13" s="49" t="s">
        <v>124</v>
      </c>
      <c r="F13" s="131">
        <f>SUMIF(I4:I520,"S",$O$4:$O$520)</f>
        <v>0</v>
      </c>
      <c r="G13" s="121">
        <f t="shared" ca="1" si="6"/>
        <v>0</v>
      </c>
      <c r="I13" s="504"/>
      <c r="J13" s="504"/>
      <c r="K13" s="504"/>
      <c r="L13" s="504"/>
      <c r="M13" s="504"/>
      <c r="N13" s="504"/>
      <c r="O13" s="504"/>
      <c r="P13" s="504"/>
      <c r="Q13" s="504"/>
      <c r="R13" s="504"/>
      <c r="S13" s="504"/>
    </row>
    <row r="14" spans="2:19" x14ac:dyDescent="0.25">
      <c r="B14" s="129" t="s">
        <v>100</v>
      </c>
      <c r="C14" s="130">
        <f>SUMIF(I4:I520,"E",$P$4:$P$520)</f>
        <v>0</v>
      </c>
      <c r="D14" s="220">
        <f>C14/C34</f>
        <v>0</v>
      </c>
      <c r="E14" s="49" t="s">
        <v>125</v>
      </c>
      <c r="F14" s="131">
        <f>SUMIF(I4:I520,"C",$O$4:$O$520)</f>
        <v>80181</v>
      </c>
      <c r="G14" s="121">
        <f t="shared" ca="1" si="6"/>
        <v>2.236795773579828E-3</v>
      </c>
      <c r="I14" s="504"/>
      <c r="J14" s="504"/>
      <c r="K14" s="504"/>
      <c r="L14" s="504"/>
      <c r="M14" s="504"/>
      <c r="N14" s="504"/>
      <c r="O14" s="504"/>
      <c r="P14" s="504"/>
      <c r="Q14" s="504"/>
      <c r="R14" s="504"/>
      <c r="S14" s="504"/>
    </row>
    <row r="15" spans="2:19" x14ac:dyDescent="0.25">
      <c r="B15" s="129" t="s">
        <v>126</v>
      </c>
      <c r="C15" s="130">
        <f>SUMIF(I4:I520,"M",$P$4:$P$520)</f>
        <v>0</v>
      </c>
      <c r="D15" s="220">
        <f>C15/C34</f>
        <v>0</v>
      </c>
      <c r="E15" s="49" t="s">
        <v>127</v>
      </c>
      <c r="F15" s="131">
        <f>SUMIF(I4:I520,"E",$O$4:$O$520)</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SUMIF(I4:I520,"M",$O$4:$O$520)</f>
        <v>0</v>
      </c>
      <c r="G16" s="121">
        <f t="shared" ca="1" si="6"/>
        <v>0</v>
      </c>
      <c r="I16" s="504"/>
      <c r="J16" s="504"/>
      <c r="K16" s="504"/>
      <c r="L16" s="504"/>
      <c r="M16" s="504"/>
      <c r="N16" s="504"/>
      <c r="O16" s="504"/>
      <c r="P16" s="504"/>
      <c r="Q16" s="504"/>
      <c r="R16" s="504"/>
      <c r="S16" s="504"/>
    </row>
    <row r="17" spans="2:11" x14ac:dyDescent="0.25">
      <c r="B17" s="116" t="s">
        <v>75</v>
      </c>
      <c r="C17" s="134">
        <f>C18+C19</f>
        <v>80181</v>
      </c>
      <c r="D17" s="140">
        <f>C17/C34</f>
        <v>2.236795773579828E-3</v>
      </c>
      <c r="E17" s="135" t="s">
        <v>800</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801</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2"/>
      <c r="G22" s="503"/>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4"/>
      <c r="C26" s="605"/>
      <c r="D26" s="606"/>
      <c r="E26" s="607"/>
      <c r="F26" s="608"/>
      <c r="G26" s="609"/>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5" t="s">
        <v>91</v>
      </c>
      <c r="F33" s="506">
        <f>EconomiaT49!C22</f>
        <v>0</v>
      </c>
      <c r="G33" s="507">
        <f t="shared" ca="1" si="7"/>
        <v>0</v>
      </c>
    </row>
    <row r="34" spans="2:10" ht="18.75" x14ac:dyDescent="0.3">
      <c r="B34" s="146" t="s">
        <v>27</v>
      </c>
      <c r="C34" s="147">
        <f>C27+C21+C17+C11+C6</f>
        <v>35846366.014755197</v>
      </c>
      <c r="D34" s="508">
        <f>C34/C34</f>
        <v>1</v>
      </c>
      <c r="E34" s="146" t="s">
        <v>27</v>
      </c>
      <c r="F34" s="147">
        <f ca="1">F27+F19+F11+F6+F23</f>
        <v>35846366.014755197</v>
      </c>
      <c r="G34" s="145">
        <f ca="1">F34/$F$34</f>
        <v>1</v>
      </c>
      <c r="J34" s="106"/>
    </row>
    <row r="35" spans="2:10" x14ac:dyDescent="0.25">
      <c r="C35" s="106"/>
      <c r="D35" s="509"/>
      <c r="E35" s="510" t="s">
        <v>740</v>
      </c>
      <c r="F35" s="511">
        <f ca="1">F34-C34</f>
        <v>0</v>
      </c>
      <c r="G35" s="106"/>
    </row>
    <row r="36" spans="2:10" x14ac:dyDescent="0.25">
      <c r="C36" s="106"/>
      <c r="D36" s="106"/>
      <c r="F36" s="106"/>
      <c r="G36" s="106"/>
      <c r="H36" s="106"/>
    </row>
    <row r="37" spans="2:10" ht="15.75" x14ac:dyDescent="0.25">
      <c r="B37" s="512" t="s">
        <v>802</v>
      </c>
      <c r="C37" s="513">
        <f>EconomiaT48!C24</f>
        <v>9386456.0147551969</v>
      </c>
      <c r="D37" s="106"/>
      <c r="E37" s="4" t="s">
        <v>803</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69" priority="32" operator="lessThan">
      <formula>0</formula>
    </cfRule>
    <cfRule type="cellIs" dxfId="68" priority="33" operator="greaterThan">
      <formula>0</formula>
    </cfRule>
  </conditionalFormatting>
  <conditionalFormatting sqref="F37">
    <cfRule type="cellIs" dxfId="67" priority="31" operator="lessThan">
      <formula>0</formula>
    </cfRule>
  </conditionalFormatting>
  <conditionalFormatting sqref="C38">
    <cfRule type="cellIs" dxfId="66" priority="29" operator="greaterThan">
      <formula>0</formula>
    </cfRule>
    <cfRule type="cellIs" dxfId="65" priority="30" operator="lessThan">
      <formula>0</formula>
    </cfRule>
  </conditionalFormatting>
  <conditionalFormatting sqref="O4">
    <cfRule type="cellIs" dxfId="64" priority="11" operator="lessThan">
      <formula>0</formula>
    </cfRule>
    <cfRule type="cellIs" dxfId="63" priority="12" operator="greaterThan">
      <formula>0</formula>
    </cfRule>
  </conditionalFormatting>
  <conditionalFormatting sqref="O4 Q4">
    <cfRule type="cellIs" dxfId="62" priority="9" operator="lessThan">
      <formula>0</formula>
    </cfRule>
    <cfRule type="cellIs" dxfId="61" priority="10" operator="greaterThan">
      <formula>0</formula>
    </cfRule>
  </conditionalFormatting>
  <conditionalFormatting sqref="O5">
    <cfRule type="cellIs" dxfId="60" priority="7" operator="lessThan">
      <formula>0</formula>
    </cfRule>
    <cfRule type="cellIs" dxfId="59" priority="8" operator="greaterThan">
      <formula>0</formula>
    </cfRule>
  </conditionalFormatting>
  <conditionalFormatting sqref="O5 Q5">
    <cfRule type="cellIs" dxfId="58" priority="5" operator="lessThan">
      <formula>0</formula>
    </cfRule>
    <cfRule type="cellIs" dxfId="57" priority="6" operator="greaterThan">
      <formula>0</formula>
    </cfRule>
  </conditionalFormatting>
  <conditionalFormatting sqref="O6">
    <cfRule type="cellIs" dxfId="56" priority="3" operator="lessThan">
      <formula>0</formula>
    </cfRule>
    <cfRule type="cellIs" dxfId="55" priority="4" operator="greaterThan">
      <formula>0</formula>
    </cfRule>
  </conditionalFormatting>
  <conditionalFormatting sqref="O6 Q6">
    <cfRule type="cellIs" dxfId="54" priority="1" operator="lessThan">
      <formula>0</formula>
    </cfRule>
    <cfRule type="cellIs" dxfId="53" priority="2" operator="greaterThan">
      <formula>0</formula>
    </cfRule>
  </conditionalFormatting>
  <pageMargins left="0.7" right="0.7" top="0.75" bottom="0.75" header="0.3" footer="0.3"/>
  <pageSetup paperSize="9" orientation="portrait"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7">
        <f>25483+550584</f>
        <v>576067</v>
      </c>
      <c r="N6" s="497">
        <f>14126+59043</f>
        <v>73169</v>
      </c>
      <c r="O6" s="497">
        <v>21707</v>
      </c>
      <c r="P6" s="497">
        <f>22579+394156</f>
        <v>416735</v>
      </c>
      <c r="Q6" s="497">
        <v>21824</v>
      </c>
      <c r="R6" s="497">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35"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36"/>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37">
        <f>C13</f>
        <v>10943703</v>
      </c>
      <c r="Z14" s="738"/>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39" t="s">
        <v>94</v>
      </c>
      <c r="B26" s="739"/>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30" t="s">
        <v>95</v>
      </c>
      <c r="B27" s="730"/>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31" t="s">
        <v>96</v>
      </c>
      <c r="B28" s="731"/>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39" t="s">
        <v>97</v>
      </c>
      <c r="B29" s="739"/>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30" t="s">
        <v>98</v>
      </c>
      <c r="B30" s="730"/>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31" t="s">
        <v>99</v>
      </c>
      <c r="B31" s="731"/>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40"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32">
        <f>C23</f>
        <v>7143175</v>
      </c>
      <c r="Z34" s="733"/>
    </row>
    <row r="35" spans="1:26" x14ac:dyDescent="0.25">
      <c r="A35" s="57"/>
      <c r="B35" s="740"/>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40"/>
      <c r="C36" s="174" t="s">
        <v>805</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40"/>
      <c r="C37" s="174" t="s">
        <v>806</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40"/>
      <c r="C38" s="174" t="s">
        <v>807</v>
      </c>
      <c r="D38" s="176" t="s">
        <v>964</v>
      </c>
      <c r="E38" s="176" t="s">
        <v>968</v>
      </c>
      <c r="F38" s="176"/>
      <c r="G38" s="176" t="s">
        <v>986</v>
      </c>
      <c r="H38" s="176" t="s">
        <v>987</v>
      </c>
      <c r="I38" s="176" t="s">
        <v>988</v>
      </c>
      <c r="J38" s="176" t="s">
        <v>992</v>
      </c>
      <c r="K38" s="176" t="s">
        <v>998</v>
      </c>
      <c r="L38" s="176" t="s">
        <v>1008</v>
      </c>
      <c r="M38" s="176"/>
      <c r="N38" s="176"/>
      <c r="O38" s="176"/>
      <c r="P38" s="176"/>
      <c r="Q38" s="176"/>
      <c r="R38" s="176" t="s">
        <v>1014</v>
      </c>
      <c r="S38" s="176" t="s">
        <v>1017</v>
      </c>
    </row>
    <row r="39" spans="1:26" x14ac:dyDescent="0.25">
      <c r="A39" s="57"/>
      <c r="B39" s="740"/>
      <c r="C39" s="174" t="s">
        <v>808</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40"/>
      <c r="C40" s="174" t="s">
        <v>809</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40"/>
      <c r="C41" s="174" t="s">
        <v>810</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2"/>
      <c r="G43" s="734"/>
      <c r="H43" s="734"/>
      <c r="I43" s="734"/>
      <c r="J43" s="734"/>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c r="M46" s="413"/>
    </row>
    <row r="47" spans="1:26" x14ac:dyDescent="0.25">
      <c r="E47" s="106"/>
      <c r="G47" s="623"/>
      <c r="H47" s="623"/>
      <c r="I47" s="623"/>
      <c r="J47" s="623"/>
    </row>
    <row r="48" spans="1:26" x14ac:dyDescent="0.25">
      <c r="G48" s="729"/>
      <c r="H48" s="729"/>
      <c r="I48" s="729"/>
      <c r="J48" s="729"/>
      <c r="P48" s="413"/>
    </row>
    <row r="49" spans="7:10" ht="15" customHeight="1" x14ac:dyDescent="0.25">
      <c r="G49" s="729"/>
      <c r="H49" s="729"/>
      <c r="I49" s="729"/>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1" t="s">
        <v>961</v>
      </c>
      <c r="C2" s="742"/>
      <c r="D2" s="742"/>
      <c r="E2" s="742"/>
      <c r="F2" s="742"/>
      <c r="G2" s="743"/>
      <c r="I2" s="752" t="s">
        <v>962</v>
      </c>
      <c r="J2" s="753"/>
      <c r="K2" s="753"/>
      <c r="L2" s="753"/>
      <c r="M2" s="753"/>
      <c r="N2" s="753"/>
      <c r="O2" s="753"/>
      <c r="P2" s="753"/>
      <c r="Q2" s="753"/>
      <c r="R2" s="753"/>
      <c r="S2" s="754"/>
    </row>
    <row r="3" spans="2:19" x14ac:dyDescent="0.25">
      <c r="B3" s="745" t="s">
        <v>103</v>
      </c>
      <c r="C3" s="746"/>
      <c r="D3" s="746"/>
      <c r="E3" s="746"/>
      <c r="F3" s="746"/>
      <c r="G3" s="747"/>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5" t="s">
        <v>114</v>
      </c>
      <c r="C4" s="756"/>
      <c r="D4" s="109"/>
      <c r="E4" s="757" t="s">
        <v>115</v>
      </c>
      <c r="F4" s="758"/>
      <c r="G4" s="109"/>
      <c r="I4" s="602" t="s">
        <v>116</v>
      </c>
      <c r="J4" s="110" t="s">
        <v>931</v>
      </c>
      <c r="K4" s="658">
        <f>11662680+53436</f>
        <v>11716116</v>
      </c>
      <c r="L4" s="658">
        <v>0</v>
      </c>
      <c r="M4" s="658">
        <v>0</v>
      </c>
      <c r="N4" s="658">
        <v>0</v>
      </c>
      <c r="O4" s="111">
        <f t="shared" ref="O4:O5" si="0">IF(M4=0,0,M4-K4)-N4</f>
        <v>0</v>
      </c>
      <c r="P4" s="111">
        <f t="shared" ref="P4:P5" si="1">IF(M4=0,K4,0)</f>
        <v>11716116</v>
      </c>
      <c r="Q4" s="603"/>
      <c r="R4" s="112">
        <v>42468</v>
      </c>
      <c r="S4" s="112"/>
    </row>
    <row r="5" spans="2:19" x14ac:dyDescent="0.25">
      <c r="B5" s="113"/>
      <c r="C5" s="114"/>
      <c r="D5" s="219"/>
      <c r="E5" s="113"/>
      <c r="F5" s="114"/>
      <c r="G5" s="115"/>
      <c r="I5" s="429" t="s">
        <v>584</v>
      </c>
      <c r="J5" s="430" t="s">
        <v>989</v>
      </c>
      <c r="K5" s="659">
        <v>0</v>
      </c>
      <c r="L5" s="659">
        <v>0</v>
      </c>
      <c r="M5" s="659">
        <v>2000</v>
      </c>
      <c r="N5" s="659">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990</v>
      </c>
      <c r="K6" s="659">
        <v>0</v>
      </c>
      <c r="L6" s="659">
        <v>0</v>
      </c>
      <c r="M6" s="659">
        <v>59000</v>
      </c>
      <c r="N6" s="659">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995</v>
      </c>
      <c r="K7" s="659">
        <v>0</v>
      </c>
      <c r="L7" s="659">
        <v>0</v>
      </c>
      <c r="M7" s="659">
        <v>261000</v>
      </c>
      <c r="N7" s="659">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997</v>
      </c>
      <c r="K8" s="659">
        <v>0</v>
      </c>
      <c r="L8" s="659">
        <v>0</v>
      </c>
      <c r="M8" s="659">
        <v>84660</v>
      </c>
      <c r="N8" s="659">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963</v>
      </c>
      <c r="F9" s="222">
        <f>'A-P_T49'!F11+192375</f>
        <v>5746546</v>
      </c>
      <c r="G9" s="121">
        <f ca="1">F9/$F$34</f>
        <v>0.17223117405929145</v>
      </c>
      <c r="I9" s="429" t="s">
        <v>584</v>
      </c>
      <c r="J9" s="430" t="s">
        <v>1011</v>
      </c>
      <c r="K9" s="659">
        <v>0</v>
      </c>
      <c r="L9" s="659">
        <v>0</v>
      </c>
      <c r="M9" s="659">
        <v>84000</v>
      </c>
      <c r="N9" s="659">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1012</v>
      </c>
      <c r="K10" s="659">
        <v>0</v>
      </c>
      <c r="L10" s="659">
        <v>0</v>
      </c>
      <c r="M10" s="659">
        <v>10000</v>
      </c>
      <c r="N10" s="659">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799</v>
      </c>
      <c r="F11" s="117">
        <f>SUM(F12:F17)</f>
        <v>6162445</v>
      </c>
      <c r="G11" s="118">
        <f t="shared" ref="G11:G17" ca="1" si="12">F11/$F$34</f>
        <v>0.18469618748824254</v>
      </c>
      <c r="I11" s="429" t="s">
        <v>584</v>
      </c>
      <c r="J11" s="430" t="s">
        <v>1013</v>
      </c>
      <c r="K11" s="659">
        <v>0</v>
      </c>
      <c r="L11" s="659">
        <v>0</v>
      </c>
      <c r="M11" s="659">
        <v>116000</v>
      </c>
      <c r="N11" s="659">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2" t="s">
        <v>502</v>
      </c>
      <c r="J12" s="110" t="s">
        <v>1016</v>
      </c>
      <c r="K12" s="658">
        <v>1916000</v>
      </c>
      <c r="L12" s="658">
        <v>372</v>
      </c>
      <c r="M12" s="658">
        <v>0</v>
      </c>
      <c r="N12" s="658">
        <v>0</v>
      </c>
      <c r="O12" s="111">
        <f t="shared" si="13"/>
        <v>0</v>
      </c>
      <c r="P12" s="111">
        <f t="shared" si="14"/>
        <v>1916000</v>
      </c>
      <c r="Q12" s="603"/>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4"/>
      <c r="J13" s="504"/>
      <c r="K13" s="504"/>
      <c r="L13" s="504"/>
      <c r="M13" s="504"/>
      <c r="N13" s="504"/>
      <c r="O13" s="504"/>
      <c r="P13" s="504"/>
      <c r="Q13" s="504"/>
      <c r="R13" s="504"/>
      <c r="S13" s="504"/>
    </row>
    <row r="14" spans="2:19" x14ac:dyDescent="0.25">
      <c r="B14" s="129" t="s">
        <v>100</v>
      </c>
      <c r="C14" s="130">
        <f>SUMIF(I4:I518,"E",$P$4:$P$518)</f>
        <v>0</v>
      </c>
      <c r="D14" s="220">
        <f>C14/C34</f>
        <v>0</v>
      </c>
      <c r="E14" s="49" t="s">
        <v>125</v>
      </c>
      <c r="F14" s="131">
        <f>SUMIF(I4:I518,"C",$O$4:$O$518)</f>
        <v>588577</v>
      </c>
      <c r="G14" s="121">
        <f t="shared" ca="1" si="12"/>
        <v>1.764038915451048E-2</v>
      </c>
      <c r="I14" s="504"/>
      <c r="J14" s="504"/>
      <c r="K14" s="504"/>
      <c r="L14" s="504"/>
      <c r="M14" s="504"/>
      <c r="N14" s="504"/>
      <c r="O14" s="504"/>
      <c r="P14" s="504"/>
      <c r="Q14" s="504"/>
      <c r="R14" s="504"/>
      <c r="S14" s="504"/>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800</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801</v>
      </c>
      <c r="C21" s="117">
        <f>EconomiaT50!C5</f>
        <v>3042401.0147551969</v>
      </c>
      <c r="D21" s="140">
        <f>C21/C34</f>
        <v>9.1184565255453834E-2</v>
      </c>
      <c r="E21" s="122" t="s">
        <v>131</v>
      </c>
      <c r="F21" s="226">
        <v>0</v>
      </c>
      <c r="G21" s="121">
        <f ca="1">F21/$F$34</f>
        <v>0</v>
      </c>
    </row>
    <row r="22" spans="2:10" x14ac:dyDescent="0.25">
      <c r="B22" s="116"/>
      <c r="C22" s="117"/>
      <c r="D22" s="140"/>
      <c r="E22" s="132"/>
      <c r="F22" s="502"/>
      <c r="G22" s="503"/>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4"/>
      <c r="C26" s="605"/>
      <c r="D26" s="606"/>
      <c r="E26" s="607"/>
      <c r="F26" s="608"/>
      <c r="G26" s="609"/>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5" t="s">
        <v>91</v>
      </c>
      <c r="F33" s="506">
        <f>EconomiaT50!C22</f>
        <v>0</v>
      </c>
      <c r="G33" s="507">
        <f t="shared" ca="1" si="15"/>
        <v>0</v>
      </c>
    </row>
    <row r="34" spans="2:8" ht="18.75" x14ac:dyDescent="0.3">
      <c r="B34" s="146" t="s">
        <v>27</v>
      </c>
      <c r="C34" s="147">
        <f>C27+C21+C17+C11+C6</f>
        <v>33365307.014755197</v>
      </c>
      <c r="D34" s="508">
        <f>C34/C34</f>
        <v>1</v>
      </c>
      <c r="E34" s="146" t="s">
        <v>27</v>
      </c>
      <c r="F34" s="147">
        <f ca="1">F27+F19+F11+F6+F23</f>
        <v>33365307.014755197</v>
      </c>
      <c r="G34" s="145">
        <f ca="1">F34/$F$34</f>
        <v>1</v>
      </c>
    </row>
    <row r="35" spans="2:8" x14ac:dyDescent="0.25">
      <c r="C35" s="106"/>
      <c r="D35" s="509"/>
      <c r="E35" s="510" t="s">
        <v>740</v>
      </c>
      <c r="F35" s="511">
        <f ca="1">F34-C34</f>
        <v>0</v>
      </c>
      <c r="G35" s="106"/>
    </row>
    <row r="36" spans="2:8" x14ac:dyDescent="0.25">
      <c r="C36" s="106"/>
      <c r="D36" s="106"/>
      <c r="F36" s="106"/>
      <c r="G36" s="106"/>
      <c r="H36" s="106"/>
    </row>
    <row r="37" spans="2:8" ht="15.75" x14ac:dyDescent="0.25">
      <c r="B37" s="512" t="s">
        <v>802</v>
      </c>
      <c r="C37" s="513">
        <f>EconomiaT48!C24</f>
        <v>9386456.0147551969</v>
      </c>
      <c r="D37" s="106"/>
      <c r="E37" s="4" t="s">
        <v>803</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52" priority="48" operator="lessThan">
      <formula>0</formula>
    </cfRule>
    <cfRule type="cellIs" dxfId="51" priority="49" operator="greaterThan">
      <formula>0</formula>
    </cfRule>
  </conditionalFormatting>
  <conditionalFormatting sqref="F37">
    <cfRule type="cellIs" dxfId="50" priority="47" operator="lessThan">
      <formula>0</formula>
    </cfRule>
  </conditionalFormatting>
  <conditionalFormatting sqref="C38">
    <cfRule type="cellIs" dxfId="49" priority="45" operator="greaterThan">
      <formula>0</formula>
    </cfRule>
    <cfRule type="cellIs" dxfId="48" priority="46" operator="lessThan">
      <formula>0</formula>
    </cfRule>
  </conditionalFormatting>
  <conditionalFormatting sqref="O4">
    <cfRule type="cellIs" dxfId="47" priority="35" operator="lessThan">
      <formula>0</formula>
    </cfRule>
    <cfRule type="cellIs" dxfId="46" priority="36" operator="greaterThan">
      <formula>0</formula>
    </cfRule>
  </conditionalFormatting>
  <conditionalFormatting sqref="O4 Q4">
    <cfRule type="cellIs" dxfId="45" priority="33" operator="lessThan">
      <formula>0</formula>
    </cfRule>
    <cfRule type="cellIs" dxfId="44" priority="34" operator="greaterThan">
      <formula>0</formula>
    </cfRule>
  </conditionalFormatting>
  <conditionalFormatting sqref="O5">
    <cfRule type="cellIs" dxfId="43" priority="31" operator="lessThan">
      <formula>0</formula>
    </cfRule>
    <cfRule type="cellIs" dxfId="42" priority="32" operator="greaterThan">
      <formula>0</formula>
    </cfRule>
  </conditionalFormatting>
  <conditionalFormatting sqref="O5 Q5">
    <cfRule type="cellIs" dxfId="41" priority="29" operator="lessThan">
      <formula>0</formula>
    </cfRule>
    <cfRule type="cellIs" dxfId="40" priority="30" operator="greaterThan">
      <formula>0</formula>
    </cfRule>
  </conditionalFormatting>
  <conditionalFormatting sqref="O6">
    <cfRule type="cellIs" dxfId="39" priority="27" operator="lessThan">
      <formula>0</formula>
    </cfRule>
    <cfRule type="cellIs" dxfId="38" priority="28" operator="greaterThan">
      <formula>0</formula>
    </cfRule>
  </conditionalFormatting>
  <conditionalFormatting sqref="O6 Q6">
    <cfRule type="cellIs" dxfId="37" priority="25" operator="lessThan">
      <formula>0</formula>
    </cfRule>
    <cfRule type="cellIs" dxfId="36" priority="26" operator="greaterThan">
      <formula>0</formula>
    </cfRule>
  </conditionalFormatting>
  <conditionalFormatting sqref="O7">
    <cfRule type="cellIs" dxfId="35" priority="23" operator="lessThan">
      <formula>0</formula>
    </cfRule>
    <cfRule type="cellIs" dxfId="34" priority="24" operator="greaterThan">
      <formula>0</formula>
    </cfRule>
  </conditionalFormatting>
  <conditionalFormatting sqref="O7 Q7">
    <cfRule type="cellIs" dxfId="33" priority="21" operator="lessThan">
      <formula>0</formula>
    </cfRule>
    <cfRule type="cellIs" dxfId="32" priority="22" operator="greaterThan">
      <formula>0</formula>
    </cfRule>
  </conditionalFormatting>
  <conditionalFormatting sqref="O8">
    <cfRule type="cellIs" dxfId="31" priority="19" operator="lessThan">
      <formula>0</formula>
    </cfRule>
    <cfRule type="cellIs" dxfId="30" priority="20" operator="greaterThan">
      <formula>0</formula>
    </cfRule>
  </conditionalFormatting>
  <conditionalFormatting sqref="O8 Q8">
    <cfRule type="cellIs" dxfId="29" priority="17" operator="lessThan">
      <formula>0</formula>
    </cfRule>
    <cfRule type="cellIs" dxfId="28" priority="18" operator="greaterThan">
      <formula>0</formula>
    </cfRule>
  </conditionalFormatting>
  <conditionalFormatting sqref="O9">
    <cfRule type="cellIs" dxfId="27" priority="15" operator="lessThan">
      <formula>0</formula>
    </cfRule>
    <cfRule type="cellIs" dxfId="26" priority="16" operator="greaterThan">
      <formula>0</formula>
    </cfRule>
  </conditionalFormatting>
  <conditionalFormatting sqref="O9 Q9">
    <cfRule type="cellIs" dxfId="25" priority="13" operator="lessThan">
      <formula>0</formula>
    </cfRule>
    <cfRule type="cellIs" dxfId="24" priority="14" operator="greaterThan">
      <formula>0</formula>
    </cfRule>
  </conditionalFormatting>
  <conditionalFormatting sqref="O10">
    <cfRule type="cellIs" dxfId="23" priority="11" operator="lessThan">
      <formula>0</formula>
    </cfRule>
    <cfRule type="cellIs" dxfId="22" priority="12" operator="greaterThan">
      <formula>0</formula>
    </cfRule>
  </conditionalFormatting>
  <conditionalFormatting sqref="O10 Q10">
    <cfRule type="cellIs" dxfId="21" priority="9" operator="lessThan">
      <formula>0</formula>
    </cfRule>
    <cfRule type="cellIs" dxfId="20" priority="10" operator="greaterThan">
      <formula>0</formula>
    </cfRule>
  </conditionalFormatting>
  <conditionalFormatting sqref="O11">
    <cfRule type="cellIs" dxfId="19" priority="7" operator="lessThan">
      <formula>0</formula>
    </cfRule>
    <cfRule type="cellIs" dxfId="18" priority="8" operator="greaterThan">
      <formula>0</formula>
    </cfRule>
  </conditionalFormatting>
  <conditionalFormatting sqref="O11 Q11">
    <cfRule type="cellIs" dxfId="17" priority="5" operator="lessThan">
      <formula>0</formula>
    </cfRule>
    <cfRule type="cellIs" dxfId="16" priority="6" operator="greaterThan">
      <formula>0</formula>
    </cfRule>
  </conditionalFormatting>
  <conditionalFormatting sqref="O12">
    <cfRule type="cellIs" dxfId="15" priority="3" operator="lessThan">
      <formula>0</formula>
    </cfRule>
    <cfRule type="cellIs" dxfId="14" priority="4" operator="greaterThan">
      <formula>0</formula>
    </cfRule>
  </conditionalFormatting>
  <conditionalFormatting sqref="O12 Q12">
    <cfRule type="cellIs" dxfId="13" priority="1" operator="lessThan">
      <formula>0</formula>
    </cfRule>
    <cfRule type="cellIs" dxfId="12" priority="2" operator="greaterThan">
      <formula>0</formula>
    </cfRule>
  </conditionalFormatting>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720</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721</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770</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851</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933</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991</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59" t="s">
        <v>148</v>
      </c>
      <c r="B6" s="150" t="s">
        <v>149</v>
      </c>
      <c r="C6" s="150" t="s">
        <v>150</v>
      </c>
      <c r="D6" s="2">
        <v>0</v>
      </c>
      <c r="E6" s="2">
        <v>22</v>
      </c>
      <c r="F6" s="2">
        <v>0</v>
      </c>
      <c r="G6" s="2">
        <v>0</v>
      </c>
      <c r="H6" s="155">
        <f>H4*2</f>
        <v>8.8000000000000007</v>
      </c>
      <c r="I6" s="2">
        <f t="shared" si="0"/>
        <v>35.200000000000003</v>
      </c>
    </row>
    <row r="7" spans="1:9" x14ac:dyDescent="0.25">
      <c r="A7" s="759"/>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13" t="s">
        <v>366</v>
      </c>
      <c r="B30" s="713"/>
      <c r="C30" s="713"/>
      <c r="D30" s="713"/>
      <c r="F30" s="258" t="s">
        <v>377</v>
      </c>
      <c r="G30" s="253"/>
      <c r="H30" s="246">
        <v>4210500</v>
      </c>
      <c r="I30" s="252"/>
      <c r="J30" s="106"/>
    </row>
    <row r="31" spans="1:14" x14ac:dyDescent="0.25">
      <c r="A31" s="714" t="s">
        <v>297</v>
      </c>
      <c r="B31" s="715" t="s">
        <v>367</v>
      </c>
      <c r="C31" s="715" t="s">
        <v>368</v>
      </c>
      <c r="D31" s="715" t="s">
        <v>369</v>
      </c>
      <c r="F31" s="259" t="s">
        <v>381</v>
      </c>
      <c r="G31" s="254"/>
      <c r="H31" s="246">
        <v>3750000</v>
      </c>
      <c r="I31" s="252"/>
      <c r="J31" s="106"/>
    </row>
    <row r="32" spans="1:14" x14ac:dyDescent="0.25">
      <c r="A32" s="714"/>
      <c r="B32" s="715"/>
      <c r="C32" s="715"/>
      <c r="D32" s="715"/>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J3" sqref="J3"/>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1.7109375" bestFit="1" customWidth="1"/>
    <col min="16" max="17" width="5.5703125" bestFit="1" customWidth="1"/>
    <col min="18"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18</v>
      </c>
      <c r="E3" s="384">
        <f>D3</f>
        <v>18</v>
      </c>
      <c r="F3" s="384">
        <f>E3+0.1</f>
        <v>18.100000000000001</v>
      </c>
      <c r="G3" s="384">
        <f>C3</f>
        <v>6</v>
      </c>
      <c r="H3" s="384">
        <f t="shared" ref="H3" si="0">G3+0.99</f>
        <v>6.99</v>
      </c>
      <c r="I3" s="388">
        <f t="shared" ref="I3:J3" si="1">G3*G3*E3</f>
        <v>648</v>
      </c>
      <c r="J3" s="388">
        <f t="shared" si="1"/>
        <v>884.36781000000008</v>
      </c>
      <c r="K3" s="385"/>
      <c r="N3" s="4" t="s">
        <v>612</v>
      </c>
      <c r="O3" t="str">
        <f>A10</f>
        <v>E. Romweber</v>
      </c>
      <c r="P3" s="386">
        <f>E10</f>
        <v>12.2</v>
      </c>
      <c r="Q3" s="386">
        <f t="shared" ref="Q3:S3" si="2">F10</f>
        <v>12.299999999999999</v>
      </c>
      <c r="R3" s="386">
        <v>6</v>
      </c>
      <c r="S3" s="386">
        <f t="shared" si="2"/>
        <v>0.99</v>
      </c>
      <c r="U3" s="4" t="s">
        <v>612</v>
      </c>
      <c r="V3" s="180" t="str">
        <f>A8</f>
        <v>B. Bartolache</v>
      </c>
      <c r="W3" s="386">
        <f>E8</f>
        <v>9.1999999999999993</v>
      </c>
      <c r="X3" s="386">
        <f t="shared" ref="X3:Z3" si="3">F8</f>
        <v>9.2999999999999989</v>
      </c>
      <c r="Y3" s="386">
        <f t="shared" si="3"/>
        <v>3</v>
      </c>
      <c r="Z3" s="386">
        <f t="shared" si="3"/>
        <v>3.99</v>
      </c>
    </row>
    <row r="4" spans="1:26" x14ac:dyDescent="0.25">
      <c r="A4" s="389" t="str">
        <f>PLANTILLA!D6</f>
        <v>T. Hammond</v>
      </c>
      <c r="B4" s="165">
        <f>PLANTILLA!E6</f>
        <v>33</v>
      </c>
      <c r="C4" s="165">
        <f>PLANTILLA!H6</f>
        <v>3</v>
      </c>
      <c r="D4" s="391">
        <f>PLANTILLA!I6</f>
        <v>7.8</v>
      </c>
      <c r="E4" s="384">
        <f t="shared" ref="E4:E21" si="4">D4</f>
        <v>7.8</v>
      </c>
      <c r="F4" s="384">
        <f t="shared" ref="F4:F21" si="5">E4+0.1</f>
        <v>7.8999999999999995</v>
      </c>
      <c r="G4" s="384">
        <f t="shared" ref="G4:G21" si="6">C4</f>
        <v>3</v>
      </c>
      <c r="H4" s="384">
        <f t="shared" ref="H4:H21" si="7">G4+0.99</f>
        <v>3.99</v>
      </c>
      <c r="I4" s="388">
        <f t="shared" ref="I4:I21" si="8">G4*G4*E4</f>
        <v>70.2</v>
      </c>
      <c r="J4" s="388">
        <f t="shared" ref="J4:J21" si="9">H4*H4*F4</f>
        <v>125.76879000000001</v>
      </c>
      <c r="K4" s="385"/>
      <c r="O4" t="str">
        <f>A8</f>
        <v>B. Bartolache</v>
      </c>
      <c r="P4" s="386">
        <f>E8</f>
        <v>9.1999999999999993</v>
      </c>
      <c r="Q4" s="386">
        <f t="shared" ref="Q4:S4" si="10">F8</f>
        <v>9.2999999999999989</v>
      </c>
      <c r="R4" s="386">
        <f t="shared" si="10"/>
        <v>3</v>
      </c>
      <c r="S4" s="386">
        <f t="shared" si="10"/>
        <v>3.99</v>
      </c>
      <c r="V4" s="180" t="str">
        <f>A4</f>
        <v>T. Hammond</v>
      </c>
      <c r="W4" s="386">
        <f>E4</f>
        <v>7.8</v>
      </c>
      <c r="X4" s="386">
        <f t="shared" ref="X4:Z4" si="11">F4</f>
        <v>7.8999999999999995</v>
      </c>
      <c r="Y4" s="386">
        <f t="shared" si="11"/>
        <v>3</v>
      </c>
      <c r="Z4" s="386">
        <f t="shared" si="11"/>
        <v>3.99</v>
      </c>
    </row>
    <row r="5" spans="1:26" x14ac:dyDescent="0.25">
      <c r="A5" s="389" t="str">
        <f>PLANTILLA!D7</f>
        <v>B. Pinczehelyi</v>
      </c>
      <c r="B5" s="165">
        <f>PLANTILLA!E7</f>
        <v>29</v>
      </c>
      <c r="C5" s="165">
        <f>PLANTILLA!H7</f>
        <v>2</v>
      </c>
      <c r="D5" s="391">
        <f>PLANTILLA!I7</f>
        <v>14</v>
      </c>
      <c r="E5" s="384">
        <f t="shared" si="4"/>
        <v>14</v>
      </c>
      <c r="F5" s="384">
        <f t="shared" si="5"/>
        <v>14.1</v>
      </c>
      <c r="G5" s="384">
        <f t="shared" si="6"/>
        <v>2</v>
      </c>
      <c r="H5" s="384">
        <f t="shared" si="7"/>
        <v>2.99</v>
      </c>
      <c r="I5" s="388">
        <f t="shared" si="8"/>
        <v>56</v>
      </c>
      <c r="J5" s="388">
        <f t="shared" si="9"/>
        <v>126.05541000000001</v>
      </c>
      <c r="K5" s="385"/>
      <c r="L5" s="179"/>
      <c r="O5" t="str">
        <f>A9</f>
        <v>F. Lasprilla</v>
      </c>
      <c r="P5" s="386">
        <f>E9</f>
        <v>4.9000000000000004</v>
      </c>
      <c r="Q5" s="386">
        <f t="shared" ref="Q5:S5" si="12">F9</f>
        <v>5</v>
      </c>
      <c r="R5" s="386">
        <f t="shared" si="12"/>
        <v>4</v>
      </c>
      <c r="S5" s="386">
        <f t="shared" si="12"/>
        <v>4.99</v>
      </c>
      <c r="V5" s="180" t="str">
        <f>A12</f>
        <v>S. Zobbe</v>
      </c>
      <c r="W5" s="386">
        <f>E12</f>
        <v>8.6</v>
      </c>
      <c r="X5" s="386">
        <f t="shared" ref="X5:Z5" si="13">F12</f>
        <v>8.6999999999999993</v>
      </c>
      <c r="Y5" s="386">
        <f t="shared" si="13"/>
        <v>2</v>
      </c>
      <c r="Z5" s="386">
        <f t="shared" si="13"/>
        <v>2.99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A17</f>
        <v>W. Gelifini</v>
      </c>
      <c r="P6" s="386">
        <f>E17</f>
        <v>4</v>
      </c>
      <c r="Q6" s="386">
        <f t="shared" ref="Q6:S6" si="14">F17</f>
        <v>4.0999999999999996</v>
      </c>
      <c r="R6" s="386">
        <f t="shared" si="14"/>
        <v>2</v>
      </c>
      <c r="S6" s="386">
        <f t="shared" si="14"/>
        <v>2.99</v>
      </c>
      <c r="V6" s="180" t="str">
        <f>A9</f>
        <v>F. Lasprilla</v>
      </c>
      <c r="W6" s="386">
        <f>E9</f>
        <v>4.9000000000000004</v>
      </c>
      <c r="X6" s="386">
        <f t="shared" ref="X6:Z6" si="15">F9</f>
        <v>5</v>
      </c>
      <c r="Y6" s="386">
        <f t="shared" si="15"/>
        <v>4</v>
      </c>
      <c r="Z6" s="386">
        <f t="shared" si="15"/>
        <v>4.99</v>
      </c>
    </row>
    <row r="7" spans="1:26" x14ac:dyDescent="0.25">
      <c r="A7" s="389" t="str">
        <f>PLANTILLA!D9</f>
        <v>E. Toney</v>
      </c>
      <c r="B7" s="165">
        <f>PLANTILLA!E9</f>
        <v>30</v>
      </c>
      <c r="C7" s="165">
        <f>PLANTILLA!H9</f>
        <v>4</v>
      </c>
      <c r="D7" s="391">
        <f>PLANTILLA!I9</f>
        <v>12.1</v>
      </c>
      <c r="E7" s="384">
        <f t="shared" si="4"/>
        <v>12.1</v>
      </c>
      <c r="F7" s="384">
        <f t="shared" si="5"/>
        <v>12.2</v>
      </c>
      <c r="G7" s="384">
        <f t="shared" si="6"/>
        <v>4</v>
      </c>
      <c r="H7" s="384">
        <f t="shared" si="7"/>
        <v>4.99</v>
      </c>
      <c r="I7" s="388">
        <f t="shared" si="8"/>
        <v>193.6</v>
      </c>
      <c r="J7" s="388">
        <f t="shared" si="9"/>
        <v>303.78122000000002</v>
      </c>
      <c r="K7" s="385"/>
      <c r="O7" t="str">
        <f>A16</f>
        <v>L. Bauman</v>
      </c>
      <c r="P7" s="386">
        <f>E16</f>
        <v>8</v>
      </c>
      <c r="Q7" s="386">
        <f t="shared" ref="Q7:S7" si="16">F16</f>
        <v>8.1</v>
      </c>
      <c r="R7" s="386">
        <f t="shared" si="16"/>
        <v>0</v>
      </c>
      <c r="S7" s="386">
        <f t="shared" si="16"/>
        <v>0.99</v>
      </c>
      <c r="V7" s="180" t="str">
        <f>A17</f>
        <v>W. Gelifini</v>
      </c>
      <c r="W7" s="386">
        <f>E17</f>
        <v>4</v>
      </c>
      <c r="X7" s="386">
        <f t="shared" ref="X7:Z7" si="17">F17</f>
        <v>4.0999999999999996</v>
      </c>
      <c r="Y7" s="386">
        <f t="shared" si="17"/>
        <v>2</v>
      </c>
      <c r="Z7" s="386">
        <f t="shared" si="17"/>
        <v>2.99</v>
      </c>
    </row>
    <row r="8" spans="1:26" x14ac:dyDescent="0.25">
      <c r="A8" s="389" t="str">
        <f>PLANTILLA!D10</f>
        <v>B. Bartolache</v>
      </c>
      <c r="B8" s="165">
        <f>PLANTILLA!E10</f>
        <v>30</v>
      </c>
      <c r="C8" s="165">
        <f>PLANTILLA!H10</f>
        <v>3</v>
      </c>
      <c r="D8" s="391">
        <f>PLANTILLA!I10</f>
        <v>9.1999999999999993</v>
      </c>
      <c r="E8" s="384">
        <f t="shared" si="4"/>
        <v>9.1999999999999993</v>
      </c>
      <c r="F8" s="384">
        <f t="shared" si="5"/>
        <v>9.2999999999999989</v>
      </c>
      <c r="G8" s="384">
        <f t="shared" si="6"/>
        <v>3</v>
      </c>
      <c r="H8" s="384">
        <f t="shared" si="7"/>
        <v>3.99</v>
      </c>
      <c r="I8" s="388">
        <f t="shared" si="8"/>
        <v>82.8</v>
      </c>
      <c r="J8" s="388">
        <f t="shared" si="9"/>
        <v>148.05692999999999</v>
      </c>
      <c r="K8" s="385"/>
      <c r="O8" t="str">
        <f>A18</f>
        <v>M. Amico</v>
      </c>
      <c r="P8" s="386">
        <f>E18</f>
        <v>1.2</v>
      </c>
      <c r="Q8" s="386">
        <f t="shared" ref="Q8:S8" si="18">F18</f>
        <v>1.3</v>
      </c>
      <c r="R8" s="386">
        <f t="shared" si="18"/>
        <v>4</v>
      </c>
      <c r="S8" s="386">
        <f t="shared" si="18"/>
        <v>4.99</v>
      </c>
      <c r="V8" s="180" t="str">
        <f>A7</f>
        <v>E. Toney</v>
      </c>
      <c r="W8" s="386">
        <f>E7</f>
        <v>12.1</v>
      </c>
      <c r="X8" s="386">
        <f t="shared" ref="X8:Z8" si="19">F7</f>
        <v>12.2</v>
      </c>
      <c r="Y8" s="386">
        <f t="shared" si="19"/>
        <v>4</v>
      </c>
      <c r="Z8" s="386">
        <f t="shared" si="19"/>
        <v>4.99</v>
      </c>
    </row>
    <row r="9" spans="1:26" x14ac:dyDescent="0.25">
      <c r="A9" s="389" t="str">
        <f>PLANTILLA!D11</f>
        <v>F. Lasprilla</v>
      </c>
      <c r="B9" s="165">
        <f>PLANTILLA!E11</f>
        <v>27</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A15</f>
        <v>E. Gross</v>
      </c>
      <c r="P9" s="386">
        <f>E15</f>
        <v>9</v>
      </c>
      <c r="Q9" s="386">
        <f t="shared" ref="Q9:S9" si="20">F15</f>
        <v>9.1</v>
      </c>
      <c r="R9" s="386">
        <f t="shared" si="20"/>
        <v>3</v>
      </c>
      <c r="S9" s="386">
        <f t="shared" si="20"/>
        <v>3.99</v>
      </c>
      <c r="V9" s="180" t="str">
        <f>A14</f>
        <v>C. Rojas</v>
      </c>
      <c r="W9" s="386">
        <f>E14</f>
        <v>10.9</v>
      </c>
      <c r="X9" s="386">
        <f t="shared" ref="X9:Z9" si="21">F14</f>
        <v>11</v>
      </c>
      <c r="Y9" s="386">
        <f t="shared" si="21"/>
        <v>4</v>
      </c>
      <c r="Z9" s="386">
        <f t="shared" si="21"/>
        <v>4.99</v>
      </c>
    </row>
    <row r="10" spans="1:26" x14ac:dyDescent="0.25">
      <c r="A10" s="389" t="str">
        <f>PLANTILLA!D12</f>
        <v>E. Romweber</v>
      </c>
      <c r="B10" s="165">
        <f>PLANTILLA!E12</f>
        <v>30</v>
      </c>
      <c r="C10" s="165">
        <f>PLANTILLA!H12</f>
        <v>0</v>
      </c>
      <c r="D10" s="391">
        <f>PLANTILLA!I12</f>
        <v>12.2</v>
      </c>
      <c r="E10" s="384">
        <f t="shared" si="4"/>
        <v>12.2</v>
      </c>
      <c r="F10" s="384">
        <f t="shared" si="5"/>
        <v>12.299999999999999</v>
      </c>
      <c r="G10" s="384">
        <f t="shared" si="6"/>
        <v>0</v>
      </c>
      <c r="H10" s="384">
        <f t="shared" si="7"/>
        <v>0.99</v>
      </c>
      <c r="I10" s="388">
        <f t="shared" si="8"/>
        <v>0</v>
      </c>
      <c r="J10" s="388">
        <f t="shared" si="9"/>
        <v>12.055229999999998</v>
      </c>
      <c r="K10" s="385"/>
      <c r="O10" t="str">
        <f>A13</f>
        <v>S. Buschelman</v>
      </c>
      <c r="P10" s="386">
        <f>E13</f>
        <v>10.4</v>
      </c>
      <c r="Q10" s="386">
        <f t="shared" ref="Q10:S10" si="22">F13</f>
        <v>10.5</v>
      </c>
      <c r="R10" s="386">
        <f t="shared" si="22"/>
        <v>3</v>
      </c>
      <c r="S10" s="386">
        <f t="shared" si="22"/>
        <v>3.99</v>
      </c>
      <c r="V10" s="180" t="str">
        <f>A13</f>
        <v>S. Buschelman</v>
      </c>
      <c r="W10" s="386">
        <f>E13</f>
        <v>10.4</v>
      </c>
      <c r="X10" s="386">
        <f t="shared" ref="X10:Z10" si="23">F13</f>
        <v>10.5</v>
      </c>
      <c r="Y10" s="386">
        <f t="shared" si="23"/>
        <v>3</v>
      </c>
      <c r="Z10" s="386">
        <f t="shared" si="23"/>
        <v>3.99</v>
      </c>
    </row>
    <row r="11" spans="1:26" x14ac:dyDescent="0.25">
      <c r="A11" s="389" t="str">
        <f>PLANTILLA!D13</f>
        <v>K. Helms</v>
      </c>
      <c r="B11" s="165">
        <f>PLANTILLA!E13</f>
        <v>30</v>
      </c>
      <c r="C11" s="165">
        <f>PLANTILLA!H13</f>
        <v>2</v>
      </c>
      <c r="D11" s="391">
        <f>PLANTILLA!I13</f>
        <v>10.199999999999999</v>
      </c>
      <c r="E11" s="384">
        <f t="shared" si="4"/>
        <v>10.199999999999999</v>
      </c>
      <c r="F11" s="384">
        <f t="shared" si="5"/>
        <v>10.299999999999999</v>
      </c>
      <c r="G11" s="384">
        <f t="shared" si="6"/>
        <v>2</v>
      </c>
      <c r="H11" s="384">
        <f t="shared" si="7"/>
        <v>2.99</v>
      </c>
      <c r="I11" s="388">
        <f t="shared" si="8"/>
        <v>40.799999999999997</v>
      </c>
      <c r="J11" s="388">
        <f t="shared" si="9"/>
        <v>92.083030000000008</v>
      </c>
      <c r="K11" s="385"/>
      <c r="O11" t="str">
        <f>A12</f>
        <v>S. Zobbe</v>
      </c>
      <c r="P11" s="386">
        <f>E12</f>
        <v>8.6</v>
      </c>
      <c r="Q11" s="386">
        <f t="shared" ref="Q11:S11" si="24">F12</f>
        <v>8.6999999999999993</v>
      </c>
      <c r="R11" s="386">
        <f t="shared" si="24"/>
        <v>2</v>
      </c>
      <c r="S11" s="386">
        <f t="shared" si="24"/>
        <v>2.99</v>
      </c>
      <c r="V11" s="180" t="str">
        <f>A16</f>
        <v>L. Bauman</v>
      </c>
      <c r="W11" s="386">
        <f>E16</f>
        <v>8</v>
      </c>
      <c r="X11" s="386">
        <f t="shared" ref="X11:Z11" si="25">F16</f>
        <v>8.1</v>
      </c>
      <c r="Y11" s="386">
        <f t="shared" si="25"/>
        <v>0</v>
      </c>
      <c r="Z11" s="386">
        <f t="shared" si="25"/>
        <v>0.99</v>
      </c>
    </row>
    <row r="12" spans="1:26" x14ac:dyDescent="0.25">
      <c r="A12" s="389" t="str">
        <f>PLANTILLA!D14</f>
        <v>S. Zobbe</v>
      </c>
      <c r="B12" s="165">
        <f>PLANTILLA!E14</f>
        <v>27</v>
      </c>
      <c r="C12" s="165">
        <f>PLANTILLA!H14</f>
        <v>2</v>
      </c>
      <c r="D12" s="391">
        <f>PLANTILLA!I14</f>
        <v>8.6</v>
      </c>
      <c r="E12" s="384">
        <f t="shared" si="4"/>
        <v>8.6</v>
      </c>
      <c r="F12" s="384">
        <f t="shared" si="5"/>
        <v>8.6999999999999993</v>
      </c>
      <c r="G12" s="384">
        <f t="shared" si="6"/>
        <v>2</v>
      </c>
      <c r="H12" s="384">
        <f t="shared" si="7"/>
        <v>2.99</v>
      </c>
      <c r="I12" s="388">
        <f t="shared" si="8"/>
        <v>34.4</v>
      </c>
      <c r="J12" s="388">
        <f t="shared" si="9"/>
        <v>77.778869999999998</v>
      </c>
      <c r="K12" s="385"/>
      <c r="O12" t="str">
        <f>A21</f>
        <v>P .Trivadi</v>
      </c>
      <c r="P12" s="386">
        <f>E21</f>
        <v>5.3</v>
      </c>
      <c r="Q12" s="386">
        <f t="shared" ref="Q12:S12" si="26">F21</f>
        <v>5.3999999999999995</v>
      </c>
      <c r="R12" s="386">
        <f t="shared" si="26"/>
        <v>5</v>
      </c>
      <c r="S12" s="386">
        <f t="shared" si="26"/>
        <v>5.99</v>
      </c>
      <c r="V12" s="180" t="str">
        <f>A15</f>
        <v>E. Gross</v>
      </c>
      <c r="W12" s="386">
        <f>E15</f>
        <v>9</v>
      </c>
      <c r="X12" s="386">
        <f t="shared" ref="X12:Z12" si="27">F15</f>
        <v>9.1</v>
      </c>
      <c r="Y12" s="386">
        <f t="shared" si="27"/>
        <v>3</v>
      </c>
      <c r="Z12" s="386">
        <f t="shared" si="27"/>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A14</f>
        <v>C. Rojas</v>
      </c>
      <c r="P13" s="386">
        <f>E14</f>
        <v>10.9</v>
      </c>
      <c r="Q13" s="386">
        <f t="shared" ref="Q13:S13" si="28">F14</f>
        <v>11</v>
      </c>
      <c r="R13" s="386">
        <f t="shared" si="28"/>
        <v>4</v>
      </c>
      <c r="S13" s="386">
        <f t="shared" si="28"/>
        <v>4.99</v>
      </c>
      <c r="V13" s="180" t="str">
        <f>A21</f>
        <v>P .Trivadi</v>
      </c>
      <c r="W13" s="386">
        <f>E21</f>
        <v>5.3</v>
      </c>
      <c r="X13" s="386">
        <f t="shared" ref="X13:Z13" si="29">F21</f>
        <v>5.3999999999999995</v>
      </c>
      <c r="Y13" s="386">
        <f t="shared" si="29"/>
        <v>5</v>
      </c>
      <c r="Z13" s="386">
        <f t="shared" si="29"/>
        <v>5.99</v>
      </c>
    </row>
    <row r="14" spans="1:26" x14ac:dyDescent="0.25">
      <c r="A14" s="389" t="str">
        <f>PLANTILLA!D16</f>
        <v>C. Rojas</v>
      </c>
      <c r="B14" s="165">
        <f>PLANTILLA!E16</f>
        <v>31</v>
      </c>
      <c r="C14" s="165">
        <f>PLANTILLA!H16</f>
        <v>4</v>
      </c>
      <c r="D14" s="391">
        <f>PLANTILLA!I16</f>
        <v>10.9</v>
      </c>
      <c r="E14" s="384">
        <f t="shared" si="4"/>
        <v>10.9</v>
      </c>
      <c r="F14" s="384">
        <f t="shared" si="5"/>
        <v>11</v>
      </c>
      <c r="G14" s="384">
        <f t="shared" si="6"/>
        <v>4</v>
      </c>
      <c r="H14" s="384">
        <f t="shared" si="7"/>
        <v>4.99</v>
      </c>
      <c r="I14" s="388">
        <f t="shared" si="8"/>
        <v>174.4</v>
      </c>
      <c r="J14" s="388">
        <f t="shared" si="9"/>
        <v>273.90110000000004</v>
      </c>
      <c r="K14" s="385"/>
      <c r="P14" s="159">
        <f>SUM(P4:P13)/10</f>
        <v>7.15</v>
      </c>
      <c r="Q14" s="159">
        <f>SUM(Q4:Q13)/10</f>
        <v>7.25</v>
      </c>
      <c r="R14" s="159"/>
      <c r="S14" s="159"/>
      <c r="W14" s="159">
        <f>SUM(W4:W13)/10</f>
        <v>8.0999999999999979</v>
      </c>
      <c r="X14" s="159">
        <f>SUM(X4:X13)/10</f>
        <v>8.1999999999999993</v>
      </c>
      <c r="Y14" s="159"/>
      <c r="Z14" s="159"/>
    </row>
    <row r="15" spans="1:26" x14ac:dyDescent="0.25">
      <c r="A15" s="389" t="str">
        <f>PLANTILLA!D17</f>
        <v>E. Gross</v>
      </c>
      <c r="B15" s="165">
        <f>PLANTILLA!E17</f>
        <v>30</v>
      </c>
      <c r="C15" s="165">
        <f>PLANTILLA!H17</f>
        <v>3</v>
      </c>
      <c r="D15" s="391">
        <f>PLANTILLA!I17</f>
        <v>9</v>
      </c>
      <c r="E15" s="384">
        <f t="shared" si="4"/>
        <v>9</v>
      </c>
      <c r="F15" s="384">
        <f t="shared" si="5"/>
        <v>9.1</v>
      </c>
      <c r="G15" s="384">
        <f t="shared" si="6"/>
        <v>3</v>
      </c>
      <c r="H15" s="384">
        <f t="shared" si="7"/>
        <v>3.99</v>
      </c>
      <c r="I15" s="388">
        <f t="shared" si="8"/>
        <v>81</v>
      </c>
      <c r="J15" s="388">
        <f t="shared" si="9"/>
        <v>144.87291000000002</v>
      </c>
      <c r="K15" s="385"/>
    </row>
    <row r="16" spans="1:26" x14ac:dyDescent="0.25">
      <c r="A16" s="389" t="str">
        <f>PLANTILLA!D18</f>
        <v>L. Bauman</v>
      </c>
      <c r="B16" s="165">
        <f>PLANTILLA!E18</f>
        <v>30</v>
      </c>
      <c r="C16" s="165">
        <f>PLANTILLA!H18</f>
        <v>0</v>
      </c>
      <c r="D16" s="391">
        <f>PLANTILLA!I18</f>
        <v>8</v>
      </c>
      <c r="E16" s="384">
        <f t="shared" si="4"/>
        <v>8</v>
      </c>
      <c r="F16" s="384">
        <f t="shared" si="5"/>
        <v>8.1</v>
      </c>
      <c r="G16" s="384">
        <f t="shared" si="6"/>
        <v>0</v>
      </c>
      <c r="H16" s="384">
        <f t="shared" si="7"/>
        <v>0.99</v>
      </c>
      <c r="I16" s="388">
        <f t="shared" si="8"/>
        <v>0</v>
      </c>
      <c r="J16" s="388">
        <f t="shared" si="9"/>
        <v>7.9388099999999993</v>
      </c>
      <c r="K16" s="385"/>
      <c r="L16" s="202" t="s">
        <v>613</v>
      </c>
      <c r="O16" t="s">
        <v>614</v>
      </c>
      <c r="P16" s="290">
        <f>SUM(P3:P13)</f>
        <v>83.7</v>
      </c>
      <c r="Q16" s="290">
        <f>SUM(Q3:Q13)</f>
        <v>84.8</v>
      </c>
      <c r="R16" s="290"/>
      <c r="V16" s="180" t="s">
        <v>614</v>
      </c>
      <c r="W16" s="290">
        <f>SUM(W3:W13)</f>
        <v>90.2</v>
      </c>
      <c r="X16" s="290">
        <f>SUM(X3:X13)</f>
        <v>91.3</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t="s">
        <v>615</v>
      </c>
      <c r="P17" s="159">
        <f>P16/17</f>
        <v>4.9235294117647062</v>
      </c>
      <c r="Q17" s="159">
        <f>Q16/17</f>
        <v>4.9882352941176471</v>
      </c>
      <c r="R17" s="159"/>
      <c r="V17" s="180" t="s">
        <v>615</v>
      </c>
      <c r="W17" s="159">
        <f>W16/17</f>
        <v>5.3058823529411763</v>
      </c>
      <c r="X17" s="159">
        <f>X16/17</f>
        <v>5.3705882352941172</v>
      </c>
      <c r="Y17" s="159"/>
    </row>
    <row r="18" spans="1:25" x14ac:dyDescent="0.25">
      <c r="A18" s="389" t="str">
        <f>PLANTILLA!D20</f>
        <v>M. Amico</v>
      </c>
      <c r="B18" s="165">
        <f>PLANTILLA!E20</f>
        <v>28</v>
      </c>
      <c r="C18" s="165">
        <f>PLANTILLA!H20</f>
        <v>4</v>
      </c>
      <c r="D18" s="391">
        <f>PLANTILLA!I20</f>
        <v>1.2</v>
      </c>
      <c r="E18" s="384">
        <f t="shared" si="4"/>
        <v>1.2</v>
      </c>
      <c r="F18" s="384">
        <f t="shared" si="5"/>
        <v>1.3</v>
      </c>
      <c r="G18" s="384">
        <f t="shared" si="6"/>
        <v>4</v>
      </c>
      <c r="H18" s="384">
        <f t="shared" si="7"/>
        <v>4.99</v>
      </c>
      <c r="I18" s="388">
        <f t="shared" si="8"/>
        <v>19.2</v>
      </c>
      <c r="J18" s="388">
        <f t="shared" si="9"/>
        <v>32.370130000000003</v>
      </c>
      <c r="K18" s="385"/>
      <c r="L18" s="202" t="s">
        <v>616</v>
      </c>
      <c r="O18" t="s">
        <v>617</v>
      </c>
      <c r="P18" s="290">
        <f>R3^2</f>
        <v>36</v>
      </c>
      <c r="Q18" s="290">
        <f>S3^2</f>
        <v>0.98009999999999997</v>
      </c>
      <c r="R18" s="290"/>
      <c r="V18" s="180" t="s">
        <v>617</v>
      </c>
      <c r="W18" s="290">
        <f>Y3^2</f>
        <v>9</v>
      </c>
      <c r="X18" s="290">
        <f>Z3^2</f>
        <v>15.920100000000001</v>
      </c>
      <c r="Y18" s="290"/>
    </row>
    <row r="19" spans="1:25" x14ac:dyDescent="0.25">
      <c r="A19" s="389" t="str">
        <f>PLANTILLA!D22</f>
        <v>J. Limon</v>
      </c>
      <c r="B19" s="165">
        <f>PLANTILLA!E22</f>
        <v>29</v>
      </c>
      <c r="C19" s="165">
        <f>PLANTILLA!H22</f>
        <v>3</v>
      </c>
      <c r="D19" s="391">
        <f>PLANTILLA!I22</f>
        <v>9.9</v>
      </c>
      <c r="E19" s="384">
        <f t="shared" si="4"/>
        <v>9.9</v>
      </c>
      <c r="F19" s="384">
        <f t="shared" si="5"/>
        <v>10</v>
      </c>
      <c r="G19" s="384">
        <f t="shared" si="6"/>
        <v>3</v>
      </c>
      <c r="H19" s="384">
        <f t="shared" si="7"/>
        <v>3.99</v>
      </c>
      <c r="I19" s="388">
        <f t="shared" si="8"/>
        <v>89.100000000000009</v>
      </c>
      <c r="J19" s="388">
        <f t="shared" si="9"/>
        <v>159.20100000000002</v>
      </c>
      <c r="K19" s="385"/>
      <c r="L19" s="202" t="s">
        <v>618</v>
      </c>
      <c r="O19" t="s">
        <v>619</v>
      </c>
      <c r="P19" s="290">
        <f>P18*P3</f>
        <v>439.2</v>
      </c>
      <c r="Q19" s="290">
        <f>Q18*Q3</f>
        <v>12.055229999999998</v>
      </c>
      <c r="R19" s="290"/>
      <c r="V19" s="180" t="s">
        <v>619</v>
      </c>
      <c r="W19" s="290">
        <f>W18*W3</f>
        <v>82.8</v>
      </c>
      <c r="X19" s="290">
        <f>X18*X3</f>
        <v>148.05692999999999</v>
      </c>
      <c r="Y19" s="290"/>
    </row>
    <row r="20" spans="1:25" x14ac:dyDescent="0.25">
      <c r="A20" s="389" t="str">
        <f>PLANTILLA!D23</f>
        <v>L. Calosso</v>
      </c>
      <c r="B20" s="165">
        <f>PLANTILLA!E23</f>
        <v>30</v>
      </c>
      <c r="C20" s="165">
        <f>PLANTILLA!H23</f>
        <v>3</v>
      </c>
      <c r="D20" s="391">
        <f>PLANTILLA!I23</f>
        <v>10.1</v>
      </c>
      <c r="E20" s="384">
        <f t="shared" si="4"/>
        <v>10.1</v>
      </c>
      <c r="F20" s="384">
        <f t="shared" si="5"/>
        <v>10.199999999999999</v>
      </c>
      <c r="G20" s="384">
        <f t="shared" si="6"/>
        <v>3</v>
      </c>
      <c r="H20" s="384">
        <f t="shared" si="7"/>
        <v>3.99</v>
      </c>
      <c r="I20" s="388">
        <f t="shared" si="8"/>
        <v>90.899999999999991</v>
      </c>
      <c r="J20" s="388">
        <f t="shared" si="9"/>
        <v>162.38502</v>
      </c>
      <c r="K20" s="385"/>
      <c r="L20" s="202" t="s">
        <v>620</v>
      </c>
      <c r="O20" t="s">
        <v>621</v>
      </c>
      <c r="P20" s="159">
        <f>(P19^(2/3))/30</f>
        <v>1.9259882484032831</v>
      </c>
      <c r="Q20" s="159">
        <f>(Q19^(2/3))/30</f>
        <v>0.17525176977448334</v>
      </c>
      <c r="R20" s="159"/>
      <c r="V20" s="180" t="s">
        <v>621</v>
      </c>
      <c r="W20" s="159">
        <f>(W19^(2/3))/30</f>
        <v>0.63323605769763192</v>
      </c>
      <c r="X20" s="159">
        <f>(X19^(2/3))/30</f>
        <v>0.93289172023352052</v>
      </c>
      <c r="Y20" s="159"/>
    </row>
    <row r="21" spans="1:25" x14ac:dyDescent="0.25">
      <c r="A21" s="389" t="str">
        <f>PLANTILLA!D24</f>
        <v>P .Trivadi</v>
      </c>
      <c r="B21" s="165">
        <f>PLANTILLA!E24</f>
        <v>26</v>
      </c>
      <c r="C21" s="165">
        <f>PLANTILLA!H24</f>
        <v>5</v>
      </c>
      <c r="D21" s="391">
        <f>PLANTILLA!I24</f>
        <v>5.3</v>
      </c>
      <c r="E21" s="384">
        <f t="shared" si="4"/>
        <v>5.3</v>
      </c>
      <c r="F21" s="384">
        <f t="shared" si="5"/>
        <v>5.3999999999999995</v>
      </c>
      <c r="G21" s="384">
        <f t="shared" si="6"/>
        <v>5</v>
      </c>
      <c r="H21" s="384">
        <f t="shared" si="7"/>
        <v>5.99</v>
      </c>
      <c r="I21" s="388">
        <f t="shared" si="8"/>
        <v>132.5</v>
      </c>
      <c r="J21" s="388">
        <f t="shared" si="9"/>
        <v>193.75254000000001</v>
      </c>
      <c r="K21" s="385"/>
      <c r="L21" s="202" t="s">
        <v>622</v>
      </c>
      <c r="O21" s="180" t="s">
        <v>623</v>
      </c>
      <c r="P21" s="387">
        <f>P17+P20</f>
        <v>6.8495176601679892</v>
      </c>
      <c r="Q21" s="387">
        <f>Q17+Q20</f>
        <v>5.1634870638921306</v>
      </c>
      <c r="V21" s="180" t="s">
        <v>623</v>
      </c>
      <c r="W21" s="387">
        <f>W17+W20</f>
        <v>5.939118410638808</v>
      </c>
      <c r="X21" s="387">
        <f>X17+X20</f>
        <v>6.3034799555276377</v>
      </c>
    </row>
    <row r="22" spans="1:25" x14ac:dyDescent="0.25">
      <c r="A22" s="389"/>
      <c r="B22" s="165"/>
      <c r="C22" s="165"/>
      <c r="D22" s="391"/>
      <c r="E22" s="384"/>
      <c r="F22" s="384"/>
      <c r="G22" s="384"/>
      <c r="H22" s="384"/>
      <c r="I22" s="388"/>
      <c r="J22" s="388"/>
      <c r="K22" s="385"/>
      <c r="L22" t="s">
        <v>624</v>
      </c>
    </row>
    <row r="23" spans="1:25" x14ac:dyDescent="0.25">
      <c r="A23" s="389"/>
      <c r="B23" s="165"/>
      <c r="C23" s="165"/>
      <c r="D23" s="391"/>
      <c r="E23" s="384"/>
      <c r="F23" s="384"/>
      <c r="G23" s="384"/>
      <c r="H23" s="384"/>
      <c r="I23" s="388"/>
      <c r="J23" s="388"/>
      <c r="K23" s="385"/>
      <c r="O23" s="317">
        <v>42576</v>
      </c>
      <c r="P23">
        <v>6.76</v>
      </c>
      <c r="Q23">
        <v>6.99</v>
      </c>
      <c r="R23" t="s">
        <v>996</v>
      </c>
      <c r="V23" s="180" t="s">
        <v>736</v>
      </c>
      <c r="W23" s="159">
        <v>3</v>
      </c>
      <c r="X23">
        <v>3.25</v>
      </c>
    </row>
    <row r="24" spans="1:25" x14ac:dyDescent="0.25">
      <c r="A24" s="389"/>
      <c r="B24" s="165"/>
      <c r="C24" s="165"/>
      <c r="D24" s="391"/>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sheetData>
  <conditionalFormatting sqref="I3:J23">
    <cfRule type="cellIs" dxfId="380" priority="1" operator="between">
      <formula>70</formula>
      <formula>100</formula>
    </cfRule>
    <cfRule type="cellIs" dxfId="379"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812</v>
      </c>
      <c r="D1" s="4" t="s">
        <v>442</v>
      </c>
      <c r="E1" s="4" t="s">
        <v>816</v>
      </c>
      <c r="F1" s="4" t="s">
        <v>817</v>
      </c>
      <c r="G1" s="4" t="s">
        <v>818</v>
      </c>
      <c r="H1" s="4" t="s">
        <v>17</v>
      </c>
      <c r="I1" s="4" t="s">
        <v>819</v>
      </c>
      <c r="K1" s="4" t="s">
        <v>442</v>
      </c>
      <c r="L1" s="4" t="s">
        <v>816</v>
      </c>
      <c r="M1" s="4" t="s">
        <v>817</v>
      </c>
      <c r="N1" s="4" t="s">
        <v>818</v>
      </c>
      <c r="O1" s="4" t="s">
        <v>17</v>
      </c>
      <c r="P1" s="4" t="s">
        <v>819</v>
      </c>
    </row>
    <row r="2" spans="1:16" x14ac:dyDescent="0.25">
      <c r="A2">
        <v>3.5</v>
      </c>
      <c r="B2" t="s">
        <v>813</v>
      </c>
      <c r="D2" s="515">
        <v>10</v>
      </c>
      <c r="E2" s="516">
        <f t="shared" ref="E2:E11" si="0">D2*$A$2</f>
        <v>35</v>
      </c>
      <c r="F2" s="516">
        <f t="shared" ref="F2:F11" si="1">D2*$A$3</f>
        <v>25</v>
      </c>
      <c r="G2" s="517">
        <f t="shared" ref="G2:G11" si="2">D2*$A$4</f>
        <v>0.33333333333333331</v>
      </c>
      <c r="H2" s="515">
        <f>48000*0.68</f>
        <v>32640.000000000004</v>
      </c>
      <c r="I2" s="518">
        <f t="shared" ref="I2:I11" si="3">H2/D2</f>
        <v>3264.0000000000005</v>
      </c>
      <c r="K2">
        <v>15</v>
      </c>
      <c r="L2" s="290">
        <f>K2*3.2</f>
        <v>48</v>
      </c>
      <c r="M2" s="290">
        <f>K2*$A$3</f>
        <v>37.5</v>
      </c>
      <c r="N2" s="438">
        <f>K2*$A$4</f>
        <v>0.5</v>
      </c>
      <c r="O2">
        <f>24000*3</f>
        <v>72000</v>
      </c>
      <c r="P2">
        <f>O2/K2</f>
        <v>4800</v>
      </c>
    </row>
    <row r="3" spans="1:16" x14ac:dyDescent="0.25">
      <c r="A3">
        <v>2.5</v>
      </c>
      <c r="B3" t="s">
        <v>815</v>
      </c>
      <c r="D3" s="515">
        <v>9</v>
      </c>
      <c r="E3" s="516">
        <f t="shared" si="0"/>
        <v>31.5</v>
      </c>
      <c r="F3" s="516">
        <f t="shared" si="1"/>
        <v>22.5</v>
      </c>
      <c r="G3" s="517">
        <f t="shared" si="2"/>
        <v>0.3</v>
      </c>
      <c r="H3" s="515">
        <f>36000*0.68</f>
        <v>24480</v>
      </c>
      <c r="I3" s="518">
        <f t="shared" si="3"/>
        <v>2720</v>
      </c>
      <c r="K3">
        <v>12</v>
      </c>
      <c r="L3" s="290">
        <f>K3*3.2</f>
        <v>38.400000000000006</v>
      </c>
      <c r="M3" s="290">
        <f>K3*$A$3</f>
        <v>30</v>
      </c>
      <c r="N3" s="438">
        <f>K3*$A$4</f>
        <v>0.4</v>
      </c>
      <c r="O3">
        <f>12000*3</f>
        <v>36000</v>
      </c>
      <c r="P3">
        <f>O3/K3</f>
        <v>3000</v>
      </c>
    </row>
    <row r="4" spans="1:16" x14ac:dyDescent="0.25">
      <c r="A4" s="514">
        <f>0.5/15</f>
        <v>3.3333333333333333E-2</v>
      </c>
      <c r="B4" t="s">
        <v>814</v>
      </c>
      <c r="D4" s="515">
        <v>8</v>
      </c>
      <c r="E4" s="516">
        <f t="shared" si="0"/>
        <v>28</v>
      </c>
      <c r="F4" s="516">
        <f t="shared" si="1"/>
        <v>20</v>
      </c>
      <c r="G4" s="517">
        <f t="shared" si="2"/>
        <v>0.26666666666666666</v>
      </c>
      <c r="H4" s="515">
        <f>24000*0.68</f>
        <v>16320.000000000002</v>
      </c>
      <c r="I4" s="518">
        <f t="shared" si="3"/>
        <v>2040.0000000000002</v>
      </c>
    </row>
    <row r="5" spans="1:16" x14ac:dyDescent="0.25">
      <c r="D5" s="515">
        <v>7</v>
      </c>
      <c r="E5" s="516">
        <f t="shared" si="0"/>
        <v>24.5</v>
      </c>
      <c r="F5" s="516">
        <f t="shared" si="1"/>
        <v>17.5</v>
      </c>
      <c r="G5" s="517">
        <f t="shared" si="2"/>
        <v>0.23333333333333334</v>
      </c>
      <c r="H5" s="515">
        <f>18000*0.68</f>
        <v>12240</v>
      </c>
      <c r="I5" s="518">
        <f t="shared" si="3"/>
        <v>1748.5714285714287</v>
      </c>
    </row>
    <row r="6" spans="1:16" x14ac:dyDescent="0.25">
      <c r="D6" s="515">
        <v>6</v>
      </c>
      <c r="E6" s="516">
        <f t="shared" si="0"/>
        <v>21</v>
      </c>
      <c r="F6" s="516">
        <f t="shared" si="1"/>
        <v>15</v>
      </c>
      <c r="G6" s="517">
        <f t="shared" si="2"/>
        <v>0.2</v>
      </c>
      <c r="H6" s="515">
        <f>12000*0.68</f>
        <v>8160.0000000000009</v>
      </c>
      <c r="I6" s="518">
        <f t="shared" si="3"/>
        <v>1360.0000000000002</v>
      </c>
    </row>
    <row r="7" spans="1:16" x14ac:dyDescent="0.25">
      <c r="D7" s="515">
        <v>5</v>
      </c>
      <c r="E7" s="516">
        <f t="shared" si="0"/>
        <v>17.5</v>
      </c>
      <c r="F7" s="516">
        <f t="shared" si="1"/>
        <v>12.5</v>
      </c>
      <c r="G7" s="517">
        <f t="shared" si="2"/>
        <v>0.16666666666666666</v>
      </c>
      <c r="H7" s="515">
        <f>24000*0.68</f>
        <v>16320.000000000002</v>
      </c>
      <c r="I7" s="518">
        <f t="shared" si="3"/>
        <v>3264.0000000000005</v>
      </c>
      <c r="L7" s="290"/>
    </row>
    <row r="8" spans="1:16" x14ac:dyDescent="0.25">
      <c r="D8" s="515">
        <v>4</v>
      </c>
      <c r="E8" s="516">
        <f t="shared" si="0"/>
        <v>14</v>
      </c>
      <c r="F8" s="516">
        <f t="shared" si="1"/>
        <v>10</v>
      </c>
      <c r="G8" s="517">
        <f t="shared" si="2"/>
        <v>0.13333333333333333</v>
      </c>
      <c r="H8" s="515">
        <f>12000*0.68</f>
        <v>8160.0000000000009</v>
      </c>
      <c r="I8" s="518">
        <f t="shared" si="3"/>
        <v>2040.0000000000002</v>
      </c>
    </row>
    <row r="9" spans="1:16" x14ac:dyDescent="0.25">
      <c r="D9" s="515">
        <v>3</v>
      </c>
      <c r="E9" s="516">
        <f t="shared" si="0"/>
        <v>10.5</v>
      </c>
      <c r="F9" s="516">
        <f t="shared" si="1"/>
        <v>7.5</v>
      </c>
      <c r="G9" s="517">
        <f t="shared" si="2"/>
        <v>0.1</v>
      </c>
      <c r="H9" s="515">
        <f>6000*0.68</f>
        <v>4080.0000000000005</v>
      </c>
      <c r="I9" s="518">
        <f t="shared" si="3"/>
        <v>1360.0000000000002</v>
      </c>
    </row>
    <row r="10" spans="1:16" x14ac:dyDescent="0.25">
      <c r="D10" s="515">
        <v>2</v>
      </c>
      <c r="E10" s="516">
        <f t="shared" si="0"/>
        <v>7</v>
      </c>
      <c r="F10" s="516">
        <f t="shared" si="1"/>
        <v>5</v>
      </c>
      <c r="G10" s="517">
        <f t="shared" si="2"/>
        <v>6.6666666666666666E-2</v>
      </c>
      <c r="H10" s="515">
        <f>3000*0.68</f>
        <v>2040.0000000000002</v>
      </c>
      <c r="I10" s="518">
        <f t="shared" si="3"/>
        <v>1020.0000000000001</v>
      </c>
    </row>
    <row r="11" spans="1:16" x14ac:dyDescent="0.25">
      <c r="D11" s="515">
        <v>1</v>
      </c>
      <c r="E11" s="516">
        <f t="shared" si="0"/>
        <v>3.5</v>
      </c>
      <c r="F11" s="516">
        <f t="shared" si="1"/>
        <v>2.5</v>
      </c>
      <c r="G11" s="517">
        <f t="shared" si="2"/>
        <v>3.3333333333333333E-2</v>
      </c>
      <c r="H11" s="515">
        <f>1500*0.68</f>
        <v>1020.0000000000001</v>
      </c>
      <c r="I11" s="518">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0" bestFit="1" customWidth="1"/>
    <col min="14" max="14" width="21.5703125" style="450" bestFit="1" customWidth="1"/>
    <col min="15" max="15" width="14" style="500" bestFit="1" customWidth="1"/>
    <col min="16" max="16" width="13" style="450" bestFit="1" customWidth="1"/>
    <col min="17" max="17" width="10.42578125" style="450" bestFit="1" customWidth="1"/>
    <col min="18" max="18" width="10.28515625" style="450" bestFit="1" customWidth="1"/>
    <col min="19" max="19" width="21" style="450" bestFit="1" customWidth="1"/>
    <col min="20" max="20" width="12" style="450" bestFit="1" customWidth="1"/>
    <col min="21" max="21" width="16.85546875" style="450"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1" t="s">
        <v>729</v>
      </c>
      <c r="N1" s="451" t="s">
        <v>730</v>
      </c>
      <c r="O1" s="451" t="s">
        <v>804</v>
      </c>
      <c r="P1" s="451" t="s">
        <v>727</v>
      </c>
      <c r="Q1" s="451" t="s">
        <v>733</v>
      </c>
      <c r="R1" s="451" t="s">
        <v>734</v>
      </c>
      <c r="S1" s="451" t="s">
        <v>728</v>
      </c>
      <c r="T1" s="451" t="s">
        <v>630</v>
      </c>
      <c r="U1" s="451" t="s">
        <v>731</v>
      </c>
      <c r="V1" s="451" t="s">
        <v>732</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2">
        <v>41576</v>
      </c>
      <c r="N2" s="452">
        <v>41731</v>
      </c>
      <c r="O2" s="452">
        <v>42305</v>
      </c>
      <c r="P2" s="246">
        <v>772000</v>
      </c>
      <c r="Q2" s="246">
        <f>((N2-M2)/7)*L2</f>
        <v>6642.8571428571431</v>
      </c>
      <c r="R2" s="246">
        <f ca="1">((TODAY()-N2)/7)*L2</f>
        <v>56957.142857142855</v>
      </c>
      <c r="S2" s="246">
        <v>2068800</v>
      </c>
      <c r="T2" s="246">
        <f ca="1">S2+Q2+P2+R2</f>
        <v>2904400</v>
      </c>
      <c r="U2" s="251">
        <f ca="1">T2/((O2-N2)/112)</f>
        <v>566712.19512195117</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1" t="s">
        <v>729</v>
      </c>
      <c r="N3" s="451" t="s">
        <v>730</v>
      </c>
      <c r="O3" s="451" t="s">
        <v>804</v>
      </c>
      <c r="P3" s="451" t="s">
        <v>727</v>
      </c>
      <c r="Q3" s="451" t="s">
        <v>733</v>
      </c>
      <c r="R3" s="451" t="s">
        <v>734</v>
      </c>
      <c r="S3" s="451" t="s">
        <v>728</v>
      </c>
      <c r="T3" s="451" t="s">
        <v>630</v>
      </c>
      <c r="U3" s="451" t="s">
        <v>731</v>
      </c>
      <c r="V3" s="451" t="s">
        <v>732</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2">
        <v>41976</v>
      </c>
      <c r="N4" s="452">
        <v>42305</v>
      </c>
      <c r="O4" s="452">
        <v>42908</v>
      </c>
      <c r="P4" s="246">
        <v>1052640</v>
      </c>
      <c r="Q4" s="246">
        <f>((N4-M4)/7)*L4</f>
        <v>14100</v>
      </c>
      <c r="R4" s="246">
        <f ca="1">((TODAY()-N4)/7)*L4</f>
        <v>32357.142857142859</v>
      </c>
      <c r="S4" s="246">
        <v>2059800</v>
      </c>
      <c r="T4" s="246">
        <f>S4+Q4+P4</f>
        <v>3126540</v>
      </c>
      <c r="U4" s="251">
        <f>T4/((O4-N4)/112)</f>
        <v>580717.21393034828</v>
      </c>
      <c r="V4" s="163">
        <f ca="1">(A7-N4)/112</f>
        <v>6.7410714285714288</v>
      </c>
    </row>
    <row r="5" spans="1:22" x14ac:dyDescent="0.25">
      <c r="M5" s="500"/>
      <c r="N5" s="500"/>
      <c r="O5" s="654"/>
      <c r="P5" s="500"/>
      <c r="Q5" s="500"/>
      <c r="R5" s="500"/>
      <c r="S5" s="500"/>
      <c r="T5" s="500"/>
      <c r="U5" s="500"/>
    </row>
    <row r="6" spans="1:22" x14ac:dyDescent="0.25">
      <c r="M6" s="500"/>
      <c r="N6" s="500"/>
      <c r="P6" s="500"/>
      <c r="Q6" s="500"/>
      <c r="R6" s="500"/>
      <c r="S6" s="500"/>
      <c r="T6" s="500"/>
      <c r="U6" s="500"/>
    </row>
    <row r="7" spans="1:22" x14ac:dyDescent="0.25">
      <c r="A7" s="178">
        <f ca="1">TODAY()</f>
        <v>43060</v>
      </c>
    </row>
    <row r="8" spans="1:22" x14ac:dyDescent="0.25">
      <c r="A8" s="178">
        <v>41757</v>
      </c>
    </row>
    <row r="9" spans="1:22" x14ac:dyDescent="0.25">
      <c r="A9" s="180">
        <f ca="1">A7-A8</f>
        <v>1303</v>
      </c>
    </row>
    <row r="10" spans="1:22" x14ac:dyDescent="0.25">
      <c r="A10" s="449">
        <f ca="1">A9/112</f>
        <v>11.633928571428571</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1" t="s">
        <v>729</v>
      </c>
      <c r="N12" s="451" t="s">
        <v>730</v>
      </c>
      <c r="O12" s="451" t="s">
        <v>804</v>
      </c>
      <c r="P12" s="451" t="s">
        <v>727</v>
      </c>
      <c r="Q12" s="451" t="s">
        <v>733</v>
      </c>
      <c r="R12" s="451" t="s">
        <v>734</v>
      </c>
      <c r="S12" s="451" t="s">
        <v>728</v>
      </c>
      <c r="T12" s="451" t="s">
        <v>630</v>
      </c>
      <c r="U12" s="451" t="s">
        <v>731</v>
      </c>
      <c r="V12" s="451" t="s">
        <v>732</v>
      </c>
    </row>
    <row r="13" spans="1:22" x14ac:dyDescent="0.25">
      <c r="D13" s="321" t="s">
        <v>1010</v>
      </c>
      <c r="E13" s="228">
        <v>39</v>
      </c>
      <c r="F13" s="287"/>
      <c r="G13" s="401">
        <v>6</v>
      </c>
      <c r="H13" s="232">
        <v>13</v>
      </c>
      <c r="I13" s="330">
        <f t="shared" ref="I13" si="2">(G13)*(G13)*(H13)</f>
        <v>468</v>
      </c>
      <c r="J13" s="330">
        <f t="shared" ref="J13" si="3">(G13+1)*(G13+1)*H13</f>
        <v>637</v>
      </c>
      <c r="K13" s="322">
        <v>1130</v>
      </c>
      <c r="L13" s="322">
        <v>864</v>
      </c>
      <c r="M13" s="452">
        <v>42628</v>
      </c>
      <c r="N13" s="452">
        <f>O4</f>
        <v>42908</v>
      </c>
      <c r="O13" s="452">
        <f ca="1">TODAY()</f>
        <v>43060</v>
      </c>
      <c r="P13" s="656">
        <v>1800000</v>
      </c>
      <c r="Q13" s="246">
        <v>372</v>
      </c>
      <c r="R13" s="246">
        <f t="shared" ref="R13" ca="1" si="4">((TODAY()-N13)/7)*L13</f>
        <v>18761.142857142859</v>
      </c>
      <c r="S13" s="656">
        <v>2553000</v>
      </c>
      <c r="T13" s="246">
        <f t="shared" ref="T13" si="5">S13+Q13+P13</f>
        <v>4353372</v>
      </c>
      <c r="U13" s="251">
        <f t="shared" ref="U13" ca="1" si="6">T13/((O13-N13)/112)</f>
        <v>3207747.789473684</v>
      </c>
      <c r="V13" s="163">
        <v>7</v>
      </c>
    </row>
    <row r="17" spans="1:22" ht="18" x14ac:dyDescent="0.25">
      <c r="A17" s="641">
        <v>42908</v>
      </c>
      <c r="B17" s="317"/>
      <c r="C17">
        <v>112</v>
      </c>
      <c r="D17">
        <v>0</v>
      </c>
    </row>
    <row r="18" spans="1:22" x14ac:dyDescent="0.25">
      <c r="A18" s="317">
        <f ca="1">TODAY()</f>
        <v>43060</v>
      </c>
      <c r="B18" s="317"/>
      <c r="C18">
        <v>400</v>
      </c>
      <c r="D18">
        <v>1</v>
      </c>
    </row>
    <row r="19" spans="1:22" x14ac:dyDescent="0.25">
      <c r="A19">
        <f ca="1">A18-A17</f>
        <v>152</v>
      </c>
      <c r="C19">
        <f>C18-C17</f>
        <v>288</v>
      </c>
      <c r="D19" s="642">
        <f ca="1">(A19-C17)/C19</f>
        <v>0.1388888888888889</v>
      </c>
    </row>
    <row r="20" spans="1:22" x14ac:dyDescent="0.25">
      <c r="D20" t="s">
        <v>1031</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1" t="s">
        <v>729</v>
      </c>
      <c r="N24" s="451" t="s">
        <v>730</v>
      </c>
      <c r="O24" s="451" t="s">
        <v>804</v>
      </c>
      <c r="P24" s="451" t="s">
        <v>727</v>
      </c>
      <c r="Q24" s="451" t="s">
        <v>733</v>
      </c>
      <c r="R24" s="451" t="s">
        <v>734</v>
      </c>
      <c r="S24" s="451" t="s">
        <v>728</v>
      </c>
      <c r="T24" s="451" t="s">
        <v>630</v>
      </c>
      <c r="U24" s="451" t="s">
        <v>731</v>
      </c>
      <c r="V24" s="451" t="s">
        <v>732</v>
      </c>
    </row>
    <row r="28" spans="1:22" ht="19.5" x14ac:dyDescent="0.25">
      <c r="A28" s="713" t="s">
        <v>366</v>
      </c>
      <c r="B28" s="713"/>
      <c r="C28" s="713"/>
      <c r="D28" s="713"/>
    </row>
    <row r="29" spans="1:22" x14ac:dyDescent="0.25">
      <c r="A29" s="714" t="s">
        <v>297</v>
      </c>
      <c r="B29" s="715" t="s">
        <v>367</v>
      </c>
      <c r="C29" s="715" t="s">
        <v>368</v>
      </c>
      <c r="D29" s="715" t="s">
        <v>369</v>
      </c>
    </row>
    <row r="30" spans="1:22" x14ac:dyDescent="0.25">
      <c r="A30" s="714"/>
      <c r="B30" s="715"/>
      <c r="C30" s="715"/>
      <c r="D30" s="715"/>
    </row>
    <row r="31" spans="1:22" x14ac:dyDescent="0.25">
      <c r="A31" s="247" t="s">
        <v>367</v>
      </c>
      <c r="B31" s="248" t="s">
        <v>370</v>
      </c>
      <c r="C31" s="248" t="s">
        <v>371</v>
      </c>
      <c r="D31" s="248" t="s">
        <v>371</v>
      </c>
    </row>
    <row r="32" spans="1:22" x14ac:dyDescent="0.25">
      <c r="A32" s="655" t="s">
        <v>368</v>
      </c>
      <c r="B32" s="250" t="s">
        <v>372</v>
      </c>
      <c r="C32" s="250" t="s">
        <v>373</v>
      </c>
      <c r="D32" s="250" t="s">
        <v>371</v>
      </c>
    </row>
    <row r="33" spans="1:4" x14ac:dyDescent="0.25">
      <c r="A33" s="247" t="s">
        <v>369</v>
      </c>
      <c r="B33" s="248" t="s">
        <v>374</v>
      </c>
      <c r="C33" s="248" t="s">
        <v>375</v>
      </c>
      <c r="D33" s="248" t="s">
        <v>376</v>
      </c>
    </row>
    <row r="34" spans="1:4" x14ac:dyDescent="0.25">
      <c r="A34" s="655" t="s">
        <v>377</v>
      </c>
      <c r="B34" s="250" t="s">
        <v>378</v>
      </c>
      <c r="C34" s="250" t="s">
        <v>379</v>
      </c>
      <c r="D34" s="250" t="s">
        <v>380</v>
      </c>
    </row>
    <row r="35" spans="1:4" x14ac:dyDescent="0.25">
      <c r="A35" s="247" t="s">
        <v>381</v>
      </c>
      <c r="B35" s="248" t="s">
        <v>382</v>
      </c>
      <c r="C35" s="248" t="s">
        <v>383</v>
      </c>
      <c r="D35" s="248" t="s">
        <v>384</v>
      </c>
    </row>
    <row r="36" spans="1:4" x14ac:dyDescent="0.25">
      <c r="A36" s="655" t="s">
        <v>385</v>
      </c>
      <c r="B36" s="250" t="s">
        <v>386</v>
      </c>
      <c r="C36" s="250" t="s">
        <v>387</v>
      </c>
      <c r="D36" s="250" t="s">
        <v>388</v>
      </c>
    </row>
    <row r="37" spans="1:4" x14ac:dyDescent="0.25">
      <c r="A37" s="247" t="s">
        <v>389</v>
      </c>
      <c r="B37" s="248" t="s">
        <v>390</v>
      </c>
      <c r="C37" s="248" t="s">
        <v>391</v>
      </c>
      <c r="D37" s="248" t="s">
        <v>392</v>
      </c>
    </row>
    <row r="38" spans="1:4" x14ac:dyDescent="0.25">
      <c r="A38" s="655" t="s">
        <v>393</v>
      </c>
      <c r="B38" s="250" t="s">
        <v>394</v>
      </c>
      <c r="C38" s="250" t="s">
        <v>395</v>
      </c>
      <c r="D38" s="250" t="s">
        <v>396</v>
      </c>
    </row>
    <row r="39" spans="1:4" x14ac:dyDescent="0.25">
      <c r="A39" s="247" t="s">
        <v>397</v>
      </c>
      <c r="B39" s="248" t="s">
        <v>398</v>
      </c>
      <c r="C39" s="248" t="s">
        <v>399</v>
      </c>
      <c r="D39" s="248" t="s">
        <v>400</v>
      </c>
    </row>
    <row r="40" spans="1:4" x14ac:dyDescent="0.25">
      <c r="A40" s="655" t="s">
        <v>401</v>
      </c>
      <c r="B40" s="250" t="s">
        <v>402</v>
      </c>
      <c r="C40" s="250" t="s">
        <v>403</v>
      </c>
      <c r="D40" s="250" t="s">
        <v>404</v>
      </c>
    </row>
    <row r="41" spans="1:4" x14ac:dyDescent="0.25">
      <c r="A41" s="247" t="s">
        <v>405</v>
      </c>
      <c r="B41" s="248" t="s">
        <v>406</v>
      </c>
      <c r="C41" s="248" t="s">
        <v>407</v>
      </c>
      <c r="D41" s="248" t="s">
        <v>408</v>
      </c>
    </row>
    <row r="42" spans="1:4" x14ac:dyDescent="0.25">
      <c r="A42" s="655" t="s">
        <v>409</v>
      </c>
      <c r="B42" s="250" t="s">
        <v>410</v>
      </c>
      <c r="C42" s="250" t="s">
        <v>411</v>
      </c>
      <c r="D42" s="250" t="s">
        <v>412</v>
      </c>
    </row>
    <row r="43" spans="1:4" x14ac:dyDescent="0.25">
      <c r="A43" s="247" t="s">
        <v>413</v>
      </c>
      <c r="B43" s="248" t="s">
        <v>414</v>
      </c>
      <c r="C43" s="248" t="s">
        <v>415</v>
      </c>
      <c r="D43" s="248" t="s">
        <v>416</v>
      </c>
    </row>
    <row r="44" spans="1:4" x14ac:dyDescent="0.25">
      <c r="A44" s="655"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opLeftCell="A7" workbookViewId="0">
      <selection activeCell="Q36" sqref="Q3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902</v>
      </c>
      <c r="B1" s="4" t="s">
        <v>899</v>
      </c>
      <c r="C1" s="4" t="s">
        <v>900</v>
      </c>
      <c r="D1" s="4" t="s">
        <v>878</v>
      </c>
      <c r="E1" s="4" t="s">
        <v>901</v>
      </c>
      <c r="G1" s="4" t="s">
        <v>881</v>
      </c>
      <c r="H1" s="4" t="s">
        <v>899</v>
      </c>
      <c r="I1" s="4" t="s">
        <v>900</v>
      </c>
      <c r="J1" s="4" t="s">
        <v>878</v>
      </c>
      <c r="K1" s="4" t="s">
        <v>901</v>
      </c>
      <c r="M1" s="4" t="s">
        <v>581</v>
      </c>
      <c r="N1" s="4" t="s">
        <v>899</v>
      </c>
      <c r="O1" s="4" t="s">
        <v>900</v>
      </c>
      <c r="P1" s="4" t="s">
        <v>878</v>
      </c>
      <c r="Q1" s="4" t="s">
        <v>901</v>
      </c>
      <c r="S1" s="4" t="s">
        <v>64</v>
      </c>
      <c r="T1" s="4" t="s">
        <v>899</v>
      </c>
      <c r="U1" s="4" t="s">
        <v>900</v>
      </c>
      <c r="V1" s="4" t="s">
        <v>878</v>
      </c>
      <c r="W1" s="4" t="s">
        <v>901</v>
      </c>
    </row>
    <row r="2" spans="1:23" x14ac:dyDescent="0.25">
      <c r="A2" t="s">
        <v>882</v>
      </c>
      <c r="B2">
        <v>2</v>
      </c>
      <c r="C2">
        <v>3</v>
      </c>
      <c r="D2">
        <v>1.5</v>
      </c>
      <c r="E2">
        <f>D2</f>
        <v>1.5</v>
      </c>
      <c r="G2" t="s">
        <v>882</v>
      </c>
      <c r="H2">
        <v>2</v>
      </c>
      <c r="I2">
        <v>3</v>
      </c>
      <c r="J2">
        <v>3</v>
      </c>
      <c r="K2">
        <f>J2</f>
        <v>3</v>
      </c>
      <c r="M2" t="s">
        <v>882</v>
      </c>
      <c r="N2">
        <v>2</v>
      </c>
      <c r="O2">
        <v>3</v>
      </c>
      <c r="P2">
        <v>3</v>
      </c>
      <c r="Q2">
        <f>P2</f>
        <v>3</v>
      </c>
      <c r="S2" t="s">
        <v>882</v>
      </c>
      <c r="T2">
        <v>2</v>
      </c>
      <c r="U2">
        <v>3</v>
      </c>
      <c r="V2">
        <v>1.5</v>
      </c>
      <c r="W2">
        <f>V2</f>
        <v>1.5</v>
      </c>
    </row>
    <row r="3" spans="1:23" x14ac:dyDescent="0.25">
      <c r="A3" t="s">
        <v>883</v>
      </c>
      <c r="B3">
        <v>3</v>
      </c>
      <c r="C3">
        <v>4</v>
      </c>
      <c r="D3">
        <v>2</v>
      </c>
      <c r="E3">
        <f>E2+D3</f>
        <v>3.5</v>
      </c>
      <c r="G3" t="s">
        <v>883</v>
      </c>
      <c r="H3">
        <v>3</v>
      </c>
      <c r="I3">
        <v>4</v>
      </c>
      <c r="J3">
        <v>3</v>
      </c>
      <c r="K3">
        <f>K2+J3</f>
        <v>6</v>
      </c>
      <c r="M3" t="s">
        <v>883</v>
      </c>
      <c r="N3">
        <v>3</v>
      </c>
      <c r="O3">
        <v>4</v>
      </c>
      <c r="P3">
        <v>3</v>
      </c>
      <c r="Q3">
        <f>Q2+P3</f>
        <v>6</v>
      </c>
      <c r="S3" t="s">
        <v>883</v>
      </c>
      <c r="T3">
        <v>3</v>
      </c>
      <c r="U3">
        <v>4</v>
      </c>
      <c r="V3">
        <v>2</v>
      </c>
      <c r="W3">
        <f>W2+V3</f>
        <v>3.5</v>
      </c>
    </row>
    <row r="4" spans="1:23" x14ac:dyDescent="0.25">
      <c r="A4" t="s">
        <v>884</v>
      </c>
      <c r="B4">
        <v>4</v>
      </c>
      <c r="C4">
        <v>5</v>
      </c>
      <c r="D4">
        <v>2</v>
      </c>
      <c r="E4">
        <f t="shared" ref="E4:E17" si="0">E3+D4</f>
        <v>5.5</v>
      </c>
      <c r="G4" t="s">
        <v>884</v>
      </c>
      <c r="H4">
        <v>4</v>
      </c>
      <c r="I4">
        <v>5</v>
      </c>
      <c r="J4">
        <v>4</v>
      </c>
      <c r="K4">
        <f t="shared" ref="K4:K17" si="1">K3+J4</f>
        <v>10</v>
      </c>
      <c r="M4" t="s">
        <v>884</v>
      </c>
      <c r="N4">
        <v>4</v>
      </c>
      <c r="O4">
        <v>5</v>
      </c>
      <c r="P4">
        <v>3</v>
      </c>
      <c r="Q4">
        <f t="shared" ref="Q4:Q17" si="2">Q3+P4</f>
        <v>9</v>
      </c>
      <c r="S4" t="s">
        <v>884</v>
      </c>
      <c r="T4">
        <v>4</v>
      </c>
      <c r="U4">
        <v>5</v>
      </c>
      <c r="V4">
        <v>2</v>
      </c>
      <c r="W4">
        <f t="shared" ref="W4:W17" si="3">W3+V4</f>
        <v>5.5</v>
      </c>
    </row>
    <row r="5" spans="1:23" x14ac:dyDescent="0.25">
      <c r="A5" t="s">
        <v>885</v>
      </c>
      <c r="B5">
        <v>5</v>
      </c>
      <c r="C5">
        <v>6</v>
      </c>
      <c r="D5">
        <v>2</v>
      </c>
      <c r="E5">
        <f t="shared" si="0"/>
        <v>7.5</v>
      </c>
      <c r="G5" t="s">
        <v>885</v>
      </c>
      <c r="H5">
        <v>5</v>
      </c>
      <c r="I5">
        <v>6</v>
      </c>
      <c r="J5">
        <v>4</v>
      </c>
      <c r="K5">
        <f t="shared" si="1"/>
        <v>14</v>
      </c>
      <c r="M5" t="s">
        <v>885</v>
      </c>
      <c r="N5">
        <v>5</v>
      </c>
      <c r="O5">
        <v>6</v>
      </c>
      <c r="P5">
        <v>3</v>
      </c>
      <c r="Q5">
        <f t="shared" si="2"/>
        <v>12</v>
      </c>
      <c r="S5" t="s">
        <v>885</v>
      </c>
      <c r="T5">
        <v>5</v>
      </c>
      <c r="U5">
        <v>6</v>
      </c>
      <c r="V5">
        <v>3</v>
      </c>
      <c r="W5">
        <f t="shared" si="3"/>
        <v>8.5</v>
      </c>
    </row>
    <row r="6" spans="1:23" x14ac:dyDescent="0.25">
      <c r="A6" t="s">
        <v>886</v>
      </c>
      <c r="B6">
        <v>6</v>
      </c>
      <c r="C6">
        <v>7</v>
      </c>
      <c r="D6">
        <v>3</v>
      </c>
      <c r="E6">
        <f t="shared" si="0"/>
        <v>10.5</v>
      </c>
      <c r="G6" t="s">
        <v>886</v>
      </c>
      <c r="H6">
        <v>6</v>
      </c>
      <c r="I6">
        <v>7</v>
      </c>
      <c r="J6">
        <v>4</v>
      </c>
      <c r="K6">
        <f t="shared" si="1"/>
        <v>18</v>
      </c>
      <c r="M6" t="s">
        <v>886</v>
      </c>
      <c r="N6">
        <v>6</v>
      </c>
      <c r="O6">
        <v>7</v>
      </c>
      <c r="P6">
        <v>4</v>
      </c>
      <c r="Q6">
        <f t="shared" si="2"/>
        <v>16</v>
      </c>
      <c r="S6" t="s">
        <v>886</v>
      </c>
      <c r="T6">
        <v>6</v>
      </c>
      <c r="U6">
        <v>7</v>
      </c>
      <c r="V6">
        <v>2</v>
      </c>
      <c r="W6">
        <f t="shared" si="3"/>
        <v>10.5</v>
      </c>
    </row>
    <row r="7" spans="1:23" x14ac:dyDescent="0.25">
      <c r="A7" t="s">
        <v>887</v>
      </c>
      <c r="B7">
        <v>7</v>
      </c>
      <c r="C7">
        <v>8</v>
      </c>
      <c r="D7">
        <v>3</v>
      </c>
      <c r="E7">
        <f t="shared" si="0"/>
        <v>13.5</v>
      </c>
      <c r="G7" t="s">
        <v>887</v>
      </c>
      <c r="H7">
        <v>7</v>
      </c>
      <c r="I7">
        <v>8</v>
      </c>
      <c r="J7">
        <v>6</v>
      </c>
      <c r="K7">
        <f t="shared" si="1"/>
        <v>24</v>
      </c>
      <c r="M7" t="s">
        <v>887</v>
      </c>
      <c r="N7">
        <v>7</v>
      </c>
      <c r="O7">
        <v>8</v>
      </c>
      <c r="P7">
        <v>5</v>
      </c>
      <c r="Q7">
        <f t="shared" si="2"/>
        <v>21</v>
      </c>
      <c r="S7" t="s">
        <v>887</v>
      </c>
      <c r="T7">
        <v>7</v>
      </c>
      <c r="U7">
        <v>8</v>
      </c>
      <c r="V7">
        <v>4</v>
      </c>
      <c r="W7">
        <f t="shared" si="3"/>
        <v>14.5</v>
      </c>
    </row>
    <row r="8" spans="1:23" x14ac:dyDescent="0.25">
      <c r="A8" t="s">
        <v>888</v>
      </c>
      <c r="B8">
        <v>8</v>
      </c>
      <c r="C8">
        <v>9</v>
      </c>
      <c r="D8">
        <v>3</v>
      </c>
      <c r="E8">
        <f t="shared" si="0"/>
        <v>16.5</v>
      </c>
      <c r="G8" t="s">
        <v>888</v>
      </c>
      <c r="H8">
        <v>8</v>
      </c>
      <c r="I8">
        <v>9</v>
      </c>
      <c r="J8">
        <v>6</v>
      </c>
      <c r="K8">
        <f t="shared" si="1"/>
        <v>30</v>
      </c>
      <c r="M8" t="s">
        <v>888</v>
      </c>
      <c r="N8">
        <v>8</v>
      </c>
      <c r="O8">
        <v>9</v>
      </c>
      <c r="P8">
        <v>5</v>
      </c>
      <c r="Q8">
        <f t="shared" si="2"/>
        <v>26</v>
      </c>
      <c r="S8" t="s">
        <v>888</v>
      </c>
      <c r="T8">
        <v>8</v>
      </c>
      <c r="U8">
        <v>9</v>
      </c>
      <c r="V8">
        <v>3</v>
      </c>
      <c r="W8">
        <f t="shared" si="3"/>
        <v>17.5</v>
      </c>
    </row>
    <row r="9" spans="1:23" x14ac:dyDescent="0.25">
      <c r="A9" t="s">
        <v>889</v>
      </c>
      <c r="B9">
        <v>9</v>
      </c>
      <c r="C9">
        <v>10</v>
      </c>
      <c r="D9">
        <v>4</v>
      </c>
      <c r="E9">
        <f t="shared" si="0"/>
        <v>20.5</v>
      </c>
      <c r="G9" t="s">
        <v>889</v>
      </c>
      <c r="H9">
        <v>9</v>
      </c>
      <c r="I9">
        <v>10</v>
      </c>
      <c r="J9">
        <v>7</v>
      </c>
      <c r="K9">
        <f t="shared" si="1"/>
        <v>37</v>
      </c>
      <c r="M9" t="s">
        <v>889</v>
      </c>
      <c r="N9">
        <v>9</v>
      </c>
      <c r="O9">
        <v>10</v>
      </c>
      <c r="P9">
        <v>7</v>
      </c>
      <c r="Q9">
        <f t="shared" si="2"/>
        <v>33</v>
      </c>
      <c r="S9" t="s">
        <v>889</v>
      </c>
      <c r="T9">
        <v>9</v>
      </c>
      <c r="U9">
        <v>10</v>
      </c>
      <c r="V9">
        <v>5</v>
      </c>
      <c r="W9">
        <f t="shared" si="3"/>
        <v>22.5</v>
      </c>
    </row>
    <row r="10" spans="1:23" x14ac:dyDescent="0.25">
      <c r="A10" t="s">
        <v>890</v>
      </c>
      <c r="B10">
        <v>10</v>
      </c>
      <c r="C10">
        <v>11</v>
      </c>
      <c r="D10">
        <v>5</v>
      </c>
      <c r="E10">
        <f t="shared" si="0"/>
        <v>25.5</v>
      </c>
      <c r="G10" t="s">
        <v>890</v>
      </c>
      <c r="H10">
        <v>10</v>
      </c>
      <c r="I10">
        <v>11</v>
      </c>
      <c r="J10">
        <v>9</v>
      </c>
      <c r="K10">
        <f t="shared" si="1"/>
        <v>46</v>
      </c>
      <c r="M10" t="s">
        <v>890</v>
      </c>
      <c r="N10">
        <v>10</v>
      </c>
      <c r="O10">
        <v>11</v>
      </c>
      <c r="P10">
        <v>7</v>
      </c>
      <c r="Q10">
        <f t="shared" si="2"/>
        <v>40</v>
      </c>
      <c r="S10" t="s">
        <v>890</v>
      </c>
      <c r="T10">
        <v>10</v>
      </c>
      <c r="U10">
        <v>11</v>
      </c>
      <c r="V10">
        <v>5</v>
      </c>
      <c r="W10">
        <f t="shared" si="3"/>
        <v>27.5</v>
      </c>
    </row>
    <row r="11" spans="1:23" x14ac:dyDescent="0.25">
      <c r="A11" t="s">
        <v>891</v>
      </c>
      <c r="B11">
        <v>11</v>
      </c>
      <c r="C11">
        <v>12</v>
      </c>
      <c r="D11">
        <v>5</v>
      </c>
      <c r="E11">
        <f t="shared" si="0"/>
        <v>30.5</v>
      </c>
      <c r="G11" t="s">
        <v>891</v>
      </c>
      <c r="H11">
        <v>11</v>
      </c>
      <c r="I11">
        <v>12</v>
      </c>
      <c r="J11">
        <v>10</v>
      </c>
      <c r="K11">
        <f t="shared" si="1"/>
        <v>56</v>
      </c>
      <c r="M11" t="s">
        <v>891</v>
      </c>
      <c r="N11">
        <v>11</v>
      </c>
      <c r="O11">
        <v>12</v>
      </c>
      <c r="P11">
        <v>8</v>
      </c>
      <c r="Q11">
        <f t="shared" si="2"/>
        <v>48</v>
      </c>
      <c r="S11" t="s">
        <v>891</v>
      </c>
      <c r="T11">
        <v>11</v>
      </c>
      <c r="U11">
        <v>12</v>
      </c>
      <c r="V11">
        <v>5</v>
      </c>
      <c r="W11">
        <f t="shared" si="3"/>
        <v>32.5</v>
      </c>
    </row>
    <row r="12" spans="1:23" x14ac:dyDescent="0.25">
      <c r="A12" t="s">
        <v>892</v>
      </c>
      <c r="B12">
        <v>12</v>
      </c>
      <c r="C12">
        <v>13</v>
      </c>
      <c r="D12">
        <v>6</v>
      </c>
      <c r="E12">
        <f t="shared" si="0"/>
        <v>36.5</v>
      </c>
      <c r="G12" t="s">
        <v>892</v>
      </c>
      <c r="H12">
        <v>12</v>
      </c>
      <c r="I12">
        <v>13</v>
      </c>
      <c r="J12">
        <v>11</v>
      </c>
      <c r="K12">
        <f t="shared" si="1"/>
        <v>67</v>
      </c>
      <c r="M12" t="s">
        <v>892</v>
      </c>
      <c r="N12">
        <v>12</v>
      </c>
      <c r="O12">
        <v>13</v>
      </c>
      <c r="P12">
        <v>10</v>
      </c>
      <c r="Q12">
        <f t="shared" si="2"/>
        <v>58</v>
      </c>
      <c r="S12" t="s">
        <v>892</v>
      </c>
      <c r="T12">
        <v>12</v>
      </c>
      <c r="U12">
        <v>13</v>
      </c>
      <c r="V12">
        <v>7</v>
      </c>
      <c r="W12">
        <f t="shared" si="3"/>
        <v>39.5</v>
      </c>
    </row>
    <row r="13" spans="1:23" x14ac:dyDescent="0.25">
      <c r="A13" t="s">
        <v>893</v>
      </c>
      <c r="B13">
        <v>13</v>
      </c>
      <c r="C13">
        <v>14</v>
      </c>
      <c r="D13">
        <v>7</v>
      </c>
      <c r="E13">
        <f t="shared" si="0"/>
        <v>43.5</v>
      </c>
      <c r="G13" t="s">
        <v>893</v>
      </c>
      <c r="H13">
        <v>13</v>
      </c>
      <c r="I13">
        <v>14</v>
      </c>
      <c r="J13">
        <v>12</v>
      </c>
      <c r="K13">
        <f t="shared" si="1"/>
        <v>79</v>
      </c>
      <c r="M13" t="s">
        <v>893</v>
      </c>
      <c r="N13">
        <v>13</v>
      </c>
      <c r="O13">
        <v>14</v>
      </c>
      <c r="P13">
        <v>10</v>
      </c>
      <c r="Q13">
        <f t="shared" si="2"/>
        <v>68</v>
      </c>
      <c r="S13" t="s">
        <v>893</v>
      </c>
      <c r="T13">
        <v>13</v>
      </c>
      <c r="U13">
        <v>14</v>
      </c>
      <c r="V13">
        <v>7</v>
      </c>
      <c r="W13">
        <f t="shared" si="3"/>
        <v>46.5</v>
      </c>
    </row>
    <row r="14" spans="1:23" x14ac:dyDescent="0.25">
      <c r="A14" t="s">
        <v>894</v>
      </c>
      <c r="B14">
        <v>14</v>
      </c>
      <c r="C14">
        <v>15</v>
      </c>
      <c r="D14">
        <v>8</v>
      </c>
      <c r="E14">
        <f t="shared" si="0"/>
        <v>51.5</v>
      </c>
      <c r="G14" t="s">
        <v>894</v>
      </c>
      <c r="H14">
        <v>14</v>
      </c>
      <c r="I14">
        <v>15</v>
      </c>
      <c r="J14">
        <v>16</v>
      </c>
      <c r="K14">
        <f t="shared" si="1"/>
        <v>95</v>
      </c>
      <c r="M14" t="s">
        <v>894</v>
      </c>
      <c r="N14">
        <v>14</v>
      </c>
      <c r="O14">
        <v>15</v>
      </c>
      <c r="P14">
        <v>13</v>
      </c>
      <c r="Q14">
        <f t="shared" si="2"/>
        <v>81</v>
      </c>
      <c r="S14" t="s">
        <v>894</v>
      </c>
      <c r="T14">
        <v>14</v>
      </c>
      <c r="U14">
        <v>15</v>
      </c>
      <c r="V14">
        <v>9</v>
      </c>
      <c r="W14">
        <f t="shared" si="3"/>
        <v>55.5</v>
      </c>
    </row>
    <row r="15" spans="1:23" x14ac:dyDescent="0.25">
      <c r="A15" t="s">
        <v>895</v>
      </c>
      <c r="B15">
        <v>15</v>
      </c>
      <c r="C15">
        <v>16</v>
      </c>
      <c r="D15">
        <v>10</v>
      </c>
      <c r="E15">
        <f t="shared" si="0"/>
        <v>61.5</v>
      </c>
      <c r="G15" t="s">
        <v>895</v>
      </c>
      <c r="H15">
        <v>15</v>
      </c>
      <c r="I15">
        <v>16</v>
      </c>
      <c r="J15">
        <v>18</v>
      </c>
      <c r="K15">
        <f t="shared" si="1"/>
        <v>113</v>
      </c>
      <c r="M15" t="s">
        <v>895</v>
      </c>
      <c r="N15">
        <v>15</v>
      </c>
      <c r="O15">
        <v>16</v>
      </c>
      <c r="P15">
        <v>15</v>
      </c>
      <c r="Q15">
        <f t="shared" si="2"/>
        <v>96</v>
      </c>
      <c r="S15" t="s">
        <v>895</v>
      </c>
      <c r="T15">
        <v>15</v>
      </c>
      <c r="U15">
        <v>16</v>
      </c>
      <c r="V15">
        <v>10</v>
      </c>
      <c r="W15">
        <f t="shared" si="3"/>
        <v>65.5</v>
      </c>
    </row>
    <row r="16" spans="1:23" x14ac:dyDescent="0.25">
      <c r="A16" t="s">
        <v>896</v>
      </c>
      <c r="B16">
        <v>16</v>
      </c>
      <c r="C16">
        <v>17</v>
      </c>
      <c r="D16">
        <v>11</v>
      </c>
      <c r="E16">
        <f t="shared" si="0"/>
        <v>72.5</v>
      </c>
      <c r="G16" t="s">
        <v>896</v>
      </c>
      <c r="H16">
        <v>16</v>
      </c>
      <c r="I16">
        <v>17</v>
      </c>
      <c r="J16">
        <v>23</v>
      </c>
      <c r="K16">
        <f t="shared" si="1"/>
        <v>136</v>
      </c>
      <c r="M16" t="s">
        <v>896</v>
      </c>
      <c r="N16">
        <v>16</v>
      </c>
      <c r="O16">
        <v>17</v>
      </c>
      <c r="P16">
        <v>19</v>
      </c>
      <c r="Q16">
        <f t="shared" si="2"/>
        <v>115</v>
      </c>
      <c r="S16" t="s">
        <v>896</v>
      </c>
      <c r="T16">
        <v>16</v>
      </c>
      <c r="U16">
        <v>17</v>
      </c>
      <c r="V16">
        <v>12</v>
      </c>
      <c r="W16">
        <f t="shared" si="3"/>
        <v>77.5</v>
      </c>
    </row>
    <row r="17" spans="1:23" x14ac:dyDescent="0.25">
      <c r="A17" t="s">
        <v>897</v>
      </c>
      <c r="B17">
        <v>17</v>
      </c>
      <c r="C17">
        <v>18</v>
      </c>
      <c r="D17">
        <v>14</v>
      </c>
      <c r="E17">
        <f t="shared" si="0"/>
        <v>86.5</v>
      </c>
      <c r="G17" t="s">
        <v>897</v>
      </c>
      <c r="H17">
        <v>17</v>
      </c>
      <c r="I17">
        <v>18</v>
      </c>
      <c r="J17">
        <v>36</v>
      </c>
      <c r="K17">
        <f t="shared" si="1"/>
        <v>172</v>
      </c>
      <c r="M17" t="s">
        <v>897</v>
      </c>
      <c r="N17">
        <v>17</v>
      </c>
      <c r="O17">
        <v>18</v>
      </c>
      <c r="P17">
        <v>26</v>
      </c>
      <c r="Q17">
        <f t="shared" si="2"/>
        <v>141</v>
      </c>
      <c r="S17" t="s">
        <v>897</v>
      </c>
      <c r="T17">
        <v>17</v>
      </c>
      <c r="U17">
        <v>18</v>
      </c>
      <c r="V17">
        <v>15</v>
      </c>
      <c r="W17">
        <f t="shared" si="3"/>
        <v>92.5</v>
      </c>
    </row>
    <row r="18" spans="1:23" x14ac:dyDescent="0.25">
      <c r="A18" t="s">
        <v>898</v>
      </c>
      <c r="B18">
        <v>18</v>
      </c>
      <c r="C18">
        <v>19</v>
      </c>
      <c r="D18">
        <v>19</v>
      </c>
      <c r="G18" t="s">
        <v>898</v>
      </c>
      <c r="H18">
        <v>18</v>
      </c>
      <c r="I18">
        <v>19</v>
      </c>
      <c r="M18" t="s">
        <v>898</v>
      </c>
      <c r="N18">
        <v>18</v>
      </c>
      <c r="O18">
        <v>19</v>
      </c>
      <c r="P18">
        <v>58</v>
      </c>
      <c r="S18" t="s">
        <v>898</v>
      </c>
      <c r="T18">
        <v>18</v>
      </c>
      <c r="U18">
        <v>19</v>
      </c>
      <c r="V18">
        <v>21</v>
      </c>
    </row>
    <row r="21" spans="1:23" x14ac:dyDescent="0.25">
      <c r="A21" s="4" t="s">
        <v>903</v>
      </c>
      <c r="B21" s="4" t="s">
        <v>899</v>
      </c>
      <c r="C21" s="4" t="s">
        <v>900</v>
      </c>
      <c r="D21" s="4" t="s">
        <v>878</v>
      </c>
      <c r="E21" s="4" t="s">
        <v>901</v>
      </c>
      <c r="G21" s="4" t="s">
        <v>904</v>
      </c>
      <c r="H21" s="4" t="s">
        <v>899</v>
      </c>
      <c r="I21" s="4" t="s">
        <v>900</v>
      </c>
      <c r="J21" s="4" t="s">
        <v>878</v>
      </c>
      <c r="K21" s="4" t="s">
        <v>901</v>
      </c>
      <c r="M21" s="4" t="s">
        <v>0</v>
      </c>
      <c r="N21" s="4" t="s">
        <v>899</v>
      </c>
      <c r="O21" s="4" t="s">
        <v>900</v>
      </c>
      <c r="P21" s="4" t="s">
        <v>878</v>
      </c>
      <c r="Q21" s="4" t="s">
        <v>901</v>
      </c>
      <c r="S21" s="4" t="s">
        <v>62</v>
      </c>
      <c r="T21">
        <v>19</v>
      </c>
    </row>
    <row r="22" spans="1:23" x14ac:dyDescent="0.25">
      <c r="A22" t="s">
        <v>882</v>
      </c>
      <c r="B22">
        <v>2</v>
      </c>
      <c r="C22">
        <v>3</v>
      </c>
      <c r="D22">
        <v>2</v>
      </c>
      <c r="E22">
        <f>D22</f>
        <v>2</v>
      </c>
      <c r="G22" t="s">
        <v>882</v>
      </c>
      <c r="H22">
        <v>2</v>
      </c>
      <c r="I22">
        <v>3</v>
      </c>
      <c r="J22">
        <v>2</v>
      </c>
      <c r="K22">
        <f>J22</f>
        <v>2</v>
      </c>
      <c r="M22" t="s">
        <v>882</v>
      </c>
      <c r="N22">
        <v>2</v>
      </c>
      <c r="O22">
        <v>3</v>
      </c>
      <c r="P22">
        <v>1</v>
      </c>
      <c r="Q22">
        <f>P22</f>
        <v>1</v>
      </c>
      <c r="S22" t="s">
        <v>905</v>
      </c>
      <c r="T22" s="591">
        <v>0.15</v>
      </c>
    </row>
    <row r="23" spans="1:23" x14ac:dyDescent="0.25">
      <c r="A23" t="s">
        <v>883</v>
      </c>
      <c r="B23">
        <v>3</v>
      </c>
      <c r="C23">
        <v>4</v>
      </c>
      <c r="D23">
        <v>2</v>
      </c>
      <c r="E23">
        <f>E22+D23</f>
        <v>4</v>
      </c>
      <c r="G23" t="s">
        <v>883</v>
      </c>
      <c r="H23">
        <v>3</v>
      </c>
      <c r="I23">
        <v>4</v>
      </c>
      <c r="J23">
        <v>3</v>
      </c>
      <c r="K23">
        <f>K22+J23</f>
        <v>5</v>
      </c>
      <c r="M23" t="s">
        <v>883</v>
      </c>
      <c r="N23">
        <v>3</v>
      </c>
      <c r="O23">
        <v>4</v>
      </c>
      <c r="P23">
        <v>1</v>
      </c>
      <c r="Q23">
        <f>Q22+P23</f>
        <v>2</v>
      </c>
      <c r="S23" t="s">
        <v>906</v>
      </c>
      <c r="T23" t="s">
        <v>908</v>
      </c>
    </row>
    <row r="24" spans="1:23" x14ac:dyDescent="0.25">
      <c r="A24" t="s">
        <v>884</v>
      </c>
      <c r="B24">
        <v>4</v>
      </c>
      <c r="C24">
        <v>5</v>
      </c>
      <c r="D24">
        <v>3</v>
      </c>
      <c r="E24">
        <f t="shared" ref="E24:E37" si="4">E23+D24</f>
        <v>7</v>
      </c>
      <c r="G24" t="s">
        <v>884</v>
      </c>
      <c r="H24">
        <v>4</v>
      </c>
      <c r="I24">
        <v>5</v>
      </c>
      <c r="J24">
        <v>3</v>
      </c>
      <c r="K24">
        <f t="shared" ref="K24:K37" si="5">K23+J24</f>
        <v>8</v>
      </c>
      <c r="M24" t="s">
        <v>884</v>
      </c>
      <c r="N24">
        <v>4</v>
      </c>
      <c r="O24">
        <v>5</v>
      </c>
      <c r="P24">
        <v>1</v>
      </c>
      <c r="Q24">
        <f t="shared" ref="Q24:Q37" si="6">Q23+P24</f>
        <v>3</v>
      </c>
      <c r="S24" t="s">
        <v>907</v>
      </c>
      <c r="T24" s="591">
        <v>1</v>
      </c>
    </row>
    <row r="25" spans="1:23" x14ac:dyDescent="0.25">
      <c r="A25" t="s">
        <v>885</v>
      </c>
      <c r="B25">
        <v>5</v>
      </c>
      <c r="C25">
        <v>6</v>
      </c>
      <c r="D25">
        <v>3</v>
      </c>
      <c r="E25">
        <f t="shared" si="4"/>
        <v>10</v>
      </c>
      <c r="G25" t="s">
        <v>885</v>
      </c>
      <c r="H25">
        <v>5</v>
      </c>
      <c r="I25">
        <v>6</v>
      </c>
      <c r="J25">
        <v>4</v>
      </c>
      <c r="K25">
        <f t="shared" si="5"/>
        <v>12</v>
      </c>
      <c r="M25" t="s">
        <v>885</v>
      </c>
      <c r="N25">
        <v>5</v>
      </c>
      <c r="O25">
        <v>6</v>
      </c>
      <c r="P25">
        <v>1</v>
      </c>
      <c r="Q25">
        <f t="shared" si="6"/>
        <v>4</v>
      </c>
    </row>
    <row r="26" spans="1:23" x14ac:dyDescent="0.25">
      <c r="A26" t="s">
        <v>886</v>
      </c>
      <c r="B26">
        <v>6</v>
      </c>
      <c r="C26">
        <v>7</v>
      </c>
      <c r="D26">
        <v>4</v>
      </c>
      <c r="E26">
        <f t="shared" si="4"/>
        <v>14</v>
      </c>
      <c r="G26" t="s">
        <v>886</v>
      </c>
      <c r="H26">
        <v>6</v>
      </c>
      <c r="I26">
        <v>7</v>
      </c>
      <c r="J26">
        <v>4</v>
      </c>
      <c r="K26">
        <f t="shared" si="5"/>
        <v>16</v>
      </c>
      <c r="M26" t="s">
        <v>886</v>
      </c>
      <c r="N26">
        <v>6</v>
      </c>
      <c r="O26">
        <v>7</v>
      </c>
      <c r="P26">
        <v>1</v>
      </c>
      <c r="Q26">
        <f t="shared" si="6"/>
        <v>5</v>
      </c>
    </row>
    <row r="27" spans="1:23" x14ac:dyDescent="0.25">
      <c r="A27" t="s">
        <v>887</v>
      </c>
      <c r="B27">
        <v>7</v>
      </c>
      <c r="C27">
        <v>8</v>
      </c>
      <c r="D27">
        <v>4</v>
      </c>
      <c r="E27">
        <f t="shared" si="4"/>
        <v>18</v>
      </c>
      <c r="G27" t="s">
        <v>887</v>
      </c>
      <c r="H27">
        <v>7</v>
      </c>
      <c r="I27">
        <v>8</v>
      </c>
      <c r="J27">
        <v>5</v>
      </c>
      <c r="K27">
        <f t="shared" si="5"/>
        <v>21</v>
      </c>
      <c r="M27" t="s">
        <v>887</v>
      </c>
      <c r="N27">
        <v>7</v>
      </c>
      <c r="O27">
        <v>8</v>
      </c>
      <c r="P27">
        <v>1</v>
      </c>
      <c r="Q27">
        <f t="shared" si="6"/>
        <v>6</v>
      </c>
    </row>
    <row r="28" spans="1:23" x14ac:dyDescent="0.25">
      <c r="A28" t="s">
        <v>888</v>
      </c>
      <c r="B28">
        <v>8</v>
      </c>
      <c r="C28">
        <v>9</v>
      </c>
      <c r="D28">
        <v>5</v>
      </c>
      <c r="E28">
        <f t="shared" si="4"/>
        <v>23</v>
      </c>
      <c r="G28" t="s">
        <v>888</v>
      </c>
      <c r="H28">
        <v>8</v>
      </c>
      <c r="I28">
        <v>9</v>
      </c>
      <c r="J28">
        <v>6</v>
      </c>
      <c r="K28">
        <f t="shared" si="5"/>
        <v>27</v>
      </c>
      <c r="M28" t="s">
        <v>888</v>
      </c>
      <c r="N28">
        <v>8</v>
      </c>
      <c r="O28">
        <v>9</v>
      </c>
      <c r="P28">
        <v>1</v>
      </c>
      <c r="Q28">
        <f t="shared" si="6"/>
        <v>7</v>
      </c>
    </row>
    <row r="29" spans="1:23" x14ac:dyDescent="0.25">
      <c r="A29" t="s">
        <v>889</v>
      </c>
      <c r="B29">
        <v>9</v>
      </c>
      <c r="C29">
        <v>10</v>
      </c>
      <c r="D29">
        <v>6</v>
      </c>
      <c r="E29">
        <f t="shared" si="4"/>
        <v>29</v>
      </c>
      <c r="G29" t="s">
        <v>889</v>
      </c>
      <c r="H29">
        <v>9</v>
      </c>
      <c r="I29">
        <v>10</v>
      </c>
      <c r="J29">
        <v>6</v>
      </c>
      <c r="K29">
        <f t="shared" si="5"/>
        <v>33</v>
      </c>
      <c r="M29" t="s">
        <v>889</v>
      </c>
      <c r="N29">
        <v>9</v>
      </c>
      <c r="O29">
        <v>10</v>
      </c>
      <c r="P29">
        <v>1</v>
      </c>
      <c r="Q29">
        <f t="shared" si="6"/>
        <v>8</v>
      </c>
    </row>
    <row r="30" spans="1:23" x14ac:dyDescent="0.25">
      <c r="A30" t="s">
        <v>890</v>
      </c>
      <c r="B30">
        <v>10</v>
      </c>
      <c r="C30">
        <v>11</v>
      </c>
      <c r="D30">
        <v>7</v>
      </c>
      <c r="E30">
        <f t="shared" si="4"/>
        <v>36</v>
      </c>
      <c r="G30" t="s">
        <v>890</v>
      </c>
      <c r="H30">
        <v>10</v>
      </c>
      <c r="I30">
        <v>11</v>
      </c>
      <c r="J30">
        <v>7</v>
      </c>
      <c r="K30">
        <f t="shared" si="5"/>
        <v>40</v>
      </c>
      <c r="M30" t="s">
        <v>890</v>
      </c>
      <c r="N30">
        <v>10</v>
      </c>
      <c r="O30">
        <v>11</v>
      </c>
      <c r="P30">
        <v>2</v>
      </c>
      <c r="Q30">
        <f t="shared" si="6"/>
        <v>10</v>
      </c>
    </row>
    <row r="31" spans="1:23" x14ac:dyDescent="0.25">
      <c r="A31" t="s">
        <v>891</v>
      </c>
      <c r="B31">
        <v>11</v>
      </c>
      <c r="C31">
        <v>12</v>
      </c>
      <c r="D31">
        <v>7</v>
      </c>
      <c r="E31">
        <f t="shared" si="4"/>
        <v>43</v>
      </c>
      <c r="G31" t="s">
        <v>891</v>
      </c>
      <c r="H31">
        <v>11</v>
      </c>
      <c r="I31">
        <v>12</v>
      </c>
      <c r="J31">
        <v>9</v>
      </c>
      <c r="K31">
        <f t="shared" si="5"/>
        <v>49</v>
      </c>
      <c r="M31" t="s">
        <v>891</v>
      </c>
      <c r="N31">
        <v>11</v>
      </c>
      <c r="O31">
        <v>12</v>
      </c>
      <c r="P31">
        <v>2</v>
      </c>
      <c r="Q31">
        <f t="shared" si="6"/>
        <v>12</v>
      </c>
    </row>
    <row r="32" spans="1:23" x14ac:dyDescent="0.25">
      <c r="A32" t="s">
        <v>892</v>
      </c>
      <c r="B32">
        <v>12</v>
      </c>
      <c r="C32">
        <v>13</v>
      </c>
      <c r="D32">
        <v>9</v>
      </c>
      <c r="E32">
        <f t="shared" si="4"/>
        <v>52</v>
      </c>
      <c r="G32" t="s">
        <v>892</v>
      </c>
      <c r="H32">
        <v>12</v>
      </c>
      <c r="I32">
        <v>13</v>
      </c>
      <c r="J32">
        <v>10</v>
      </c>
      <c r="K32">
        <f t="shared" si="5"/>
        <v>59</v>
      </c>
      <c r="M32" t="s">
        <v>892</v>
      </c>
      <c r="N32">
        <v>12</v>
      </c>
      <c r="O32">
        <v>13</v>
      </c>
      <c r="P32">
        <v>2</v>
      </c>
      <c r="Q32">
        <f t="shared" si="6"/>
        <v>14</v>
      </c>
    </row>
    <row r="33" spans="1:17" x14ac:dyDescent="0.25">
      <c r="A33" t="s">
        <v>893</v>
      </c>
      <c r="B33">
        <v>13</v>
      </c>
      <c r="C33">
        <v>14</v>
      </c>
      <c r="D33">
        <v>10</v>
      </c>
      <c r="E33">
        <f t="shared" si="4"/>
        <v>62</v>
      </c>
      <c r="G33" t="s">
        <v>893</v>
      </c>
      <c r="H33">
        <v>13</v>
      </c>
      <c r="I33">
        <v>14</v>
      </c>
      <c r="J33">
        <v>11</v>
      </c>
      <c r="K33">
        <f t="shared" si="5"/>
        <v>70</v>
      </c>
      <c r="M33" t="s">
        <v>893</v>
      </c>
      <c r="N33">
        <v>13</v>
      </c>
      <c r="O33">
        <v>14</v>
      </c>
      <c r="P33">
        <v>2</v>
      </c>
      <c r="Q33">
        <f t="shared" si="6"/>
        <v>16</v>
      </c>
    </row>
    <row r="34" spans="1:17" x14ac:dyDescent="0.25">
      <c r="A34" t="s">
        <v>894</v>
      </c>
      <c r="B34">
        <v>14</v>
      </c>
      <c r="C34">
        <v>15</v>
      </c>
      <c r="D34">
        <v>12</v>
      </c>
      <c r="E34">
        <f t="shared" si="4"/>
        <v>74</v>
      </c>
      <c r="G34" t="s">
        <v>894</v>
      </c>
      <c r="H34">
        <v>14</v>
      </c>
      <c r="I34">
        <v>15</v>
      </c>
      <c r="J34">
        <v>13</v>
      </c>
      <c r="K34">
        <f t="shared" si="5"/>
        <v>83</v>
      </c>
      <c r="M34" t="s">
        <v>894</v>
      </c>
      <c r="N34">
        <v>14</v>
      </c>
      <c r="O34">
        <v>15</v>
      </c>
      <c r="P34">
        <v>2</v>
      </c>
      <c r="Q34">
        <f t="shared" si="6"/>
        <v>18</v>
      </c>
    </row>
    <row r="35" spans="1:17" x14ac:dyDescent="0.25">
      <c r="A35" t="s">
        <v>895</v>
      </c>
      <c r="B35">
        <v>15</v>
      </c>
      <c r="C35">
        <v>16</v>
      </c>
      <c r="D35">
        <v>14</v>
      </c>
      <c r="E35">
        <f t="shared" si="4"/>
        <v>88</v>
      </c>
      <c r="G35" t="s">
        <v>895</v>
      </c>
      <c r="H35">
        <v>15</v>
      </c>
      <c r="I35">
        <v>16</v>
      </c>
      <c r="J35">
        <v>16</v>
      </c>
      <c r="K35">
        <f t="shared" si="5"/>
        <v>99</v>
      </c>
      <c r="M35" t="s">
        <v>895</v>
      </c>
      <c r="N35">
        <v>15</v>
      </c>
      <c r="O35">
        <v>16</v>
      </c>
      <c r="P35">
        <v>3</v>
      </c>
      <c r="Q35">
        <f t="shared" si="6"/>
        <v>21</v>
      </c>
    </row>
    <row r="36" spans="1:17" x14ac:dyDescent="0.25">
      <c r="A36" t="s">
        <v>896</v>
      </c>
      <c r="B36">
        <v>16</v>
      </c>
      <c r="C36">
        <v>17</v>
      </c>
      <c r="D36">
        <v>17</v>
      </c>
      <c r="E36">
        <f t="shared" si="4"/>
        <v>105</v>
      </c>
      <c r="G36" t="s">
        <v>896</v>
      </c>
      <c r="H36">
        <v>16</v>
      </c>
      <c r="I36">
        <v>17</v>
      </c>
      <c r="J36">
        <v>20</v>
      </c>
      <c r="K36">
        <f t="shared" si="5"/>
        <v>119</v>
      </c>
      <c r="M36" t="s">
        <v>896</v>
      </c>
      <c r="N36">
        <v>16</v>
      </c>
      <c r="O36">
        <v>17</v>
      </c>
      <c r="P36">
        <v>4</v>
      </c>
      <c r="Q36">
        <f t="shared" si="6"/>
        <v>25</v>
      </c>
    </row>
    <row r="37" spans="1:17" x14ac:dyDescent="0.25">
      <c r="A37" t="s">
        <v>897</v>
      </c>
      <c r="B37">
        <v>17</v>
      </c>
      <c r="C37">
        <v>18</v>
      </c>
      <c r="D37">
        <v>23</v>
      </c>
      <c r="E37">
        <f t="shared" si="4"/>
        <v>128</v>
      </c>
      <c r="G37" t="s">
        <v>897</v>
      </c>
      <c r="H37">
        <v>17</v>
      </c>
      <c r="I37">
        <v>18</v>
      </c>
      <c r="J37">
        <v>29</v>
      </c>
      <c r="K37">
        <f t="shared" si="5"/>
        <v>148</v>
      </c>
      <c r="M37" t="s">
        <v>897</v>
      </c>
      <c r="N37">
        <v>17</v>
      </c>
      <c r="O37">
        <v>18</v>
      </c>
      <c r="P37">
        <v>4</v>
      </c>
      <c r="Q37">
        <f t="shared" si="6"/>
        <v>29</v>
      </c>
    </row>
    <row r="38" spans="1:17" x14ac:dyDescent="0.25">
      <c r="A38" t="s">
        <v>898</v>
      </c>
      <c r="B38">
        <v>18</v>
      </c>
      <c r="C38">
        <v>19</v>
      </c>
      <c r="D38">
        <v>41</v>
      </c>
      <c r="G38" t="s">
        <v>898</v>
      </c>
      <c r="H38">
        <v>18</v>
      </c>
      <c r="I38">
        <v>19</v>
      </c>
      <c r="M38" t="s">
        <v>898</v>
      </c>
      <c r="N38">
        <v>18</v>
      </c>
      <c r="O38">
        <v>19</v>
      </c>
      <c r="P38">
        <v>4</v>
      </c>
    </row>
  </sheetData>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R38"/>
  <sheetViews>
    <sheetView tabSelected="1" zoomScaleNormal="100" workbookViewId="0">
      <pane xSplit="28" ySplit="4" topLeftCell="AC5" activePane="bottomRight" state="frozen"/>
      <selection pane="topRight" activeCell="T1" sqref="T1"/>
      <selection pane="bottomLeft" activeCell="A4" sqref="A4"/>
      <selection pane="bottomRight" activeCell="N8" sqref="N8"/>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7" bestFit="1" customWidth="1"/>
    <col min="15" max="15" width="4.140625" style="448" bestFit="1" customWidth="1"/>
    <col min="16" max="17" width="5.7109375" style="521" bestFit="1" customWidth="1"/>
    <col min="18" max="18" width="12" bestFit="1" customWidth="1"/>
    <col min="19" max="19" width="10.42578125" bestFit="1" customWidth="1"/>
    <col min="20" max="20" width="11.28515625" style="156" bestFit="1" customWidth="1"/>
    <col min="21" max="21" width="7.5703125" style="156" bestFit="1" customWidth="1"/>
    <col min="22" max="22" width="6.140625" style="156" bestFit="1" customWidth="1"/>
    <col min="23" max="26" width="6.140625" bestFit="1" customWidth="1"/>
    <col min="27" max="27" width="5.5703125" bestFit="1" customWidth="1"/>
    <col min="28" max="28" width="6.140625" bestFit="1" customWidth="1"/>
    <col min="29" max="29" width="8.5703125" style="156" bestFit="1" customWidth="1"/>
    <col min="30" max="30" width="6.28515625" bestFit="1" customWidth="1"/>
    <col min="31" max="31" width="6.85546875" bestFit="1" customWidth="1"/>
    <col min="32" max="32" width="6.5703125" style="156" bestFit="1" customWidth="1"/>
    <col min="33" max="33" width="7.5703125" style="156" bestFit="1" customWidth="1"/>
    <col min="34" max="34" width="7.5703125" bestFit="1" customWidth="1"/>
    <col min="35" max="36" width="6.5703125" style="156" bestFit="1" customWidth="1"/>
    <col min="37" max="37" width="7.85546875" style="156" bestFit="1" customWidth="1"/>
    <col min="38" max="38" width="8.140625" style="156" bestFit="1" customWidth="1"/>
    <col min="39" max="39" width="4.140625" bestFit="1" customWidth="1"/>
    <col min="40" max="40" width="4.28515625" bestFit="1" customWidth="1"/>
    <col min="41" max="41" width="5.28515625" bestFit="1" customWidth="1"/>
  </cols>
  <sheetData>
    <row r="1" spans="1:44" s="267" customFormat="1" x14ac:dyDescent="0.25">
      <c r="C1" s="664">
        <f ca="1">AVERAGE(C5,C8,C9,C10,C11,C12,C13,C14,C15,C16,C17,C18,C19,C22,C24)</f>
        <v>4.3535714285714295</v>
      </c>
      <c r="D1" s="375">
        <f ca="1">TODAY()</f>
        <v>43060</v>
      </c>
      <c r="E1" s="706">
        <v>41471</v>
      </c>
      <c r="F1" s="706"/>
      <c r="G1" s="706"/>
      <c r="H1" s="269"/>
      <c r="I1" s="269"/>
      <c r="J1" s="269"/>
      <c r="K1" s="270"/>
      <c r="L1" s="269"/>
      <c r="M1" s="270"/>
      <c r="N1" s="270"/>
      <c r="O1" s="664">
        <f>AVERAGE(O5,O8,O9,O10,O11,O12,O13,O14,O15,O16,O17,O18,O19,O22,O24)</f>
        <v>5.5333333333333332</v>
      </c>
      <c r="P1" s="270"/>
      <c r="Q1" s="270"/>
      <c r="R1" s="269"/>
      <c r="S1" s="269"/>
      <c r="T1" s="269"/>
      <c r="U1" s="269"/>
      <c r="V1" s="337"/>
      <c r="W1" s="269"/>
      <c r="X1" s="269"/>
      <c r="Y1" s="269"/>
      <c r="Z1" s="269"/>
      <c r="AA1" s="269"/>
      <c r="AB1" s="269"/>
      <c r="AC1" s="337"/>
      <c r="AF1" s="337"/>
      <c r="AG1" s="337"/>
      <c r="AH1" s="269"/>
      <c r="AI1" s="337"/>
      <c r="AJ1" s="337"/>
      <c r="AK1" s="337"/>
      <c r="AL1" s="337"/>
      <c r="AM1" s="269"/>
      <c r="AN1" s="269"/>
      <c r="AO1" s="269"/>
    </row>
    <row r="2" spans="1:44" s="3" customFormat="1" x14ac:dyDescent="0.25">
      <c r="A2" s="3">
        <v>16</v>
      </c>
      <c r="B2" s="310"/>
      <c r="C2" s="311"/>
      <c r="D2" s="341"/>
      <c r="E2" s="324"/>
      <c r="F2" s="324"/>
      <c r="I2" s="377">
        <f>AVERAGE(I5:I24)</f>
        <v>9.0950000000000006</v>
      </c>
      <c r="J2" s="324"/>
      <c r="K2" s="324"/>
      <c r="M2" s="377">
        <f>AVERAGE(M5:M24)</f>
        <v>7.2</v>
      </c>
      <c r="N2" s="324"/>
      <c r="O2" s="377">
        <f>AVERAGE(O5:O24)</f>
        <v>5.5</v>
      </c>
      <c r="P2" s="535">
        <f>AVERAGE(P5:P24)</f>
        <v>0.8833801380722518</v>
      </c>
      <c r="Q2" s="535">
        <f>AVERAGE(Q5:Q24)</f>
        <v>0.95373507335703933</v>
      </c>
      <c r="R2" s="378">
        <f>AVERAGE(R5:R24)</f>
        <v>113567.5</v>
      </c>
      <c r="S2" s="378"/>
      <c r="T2" s="378">
        <f>AVERAGE(T5:T24)</f>
        <v>15070.8</v>
      </c>
      <c r="U2" s="320"/>
      <c r="V2" s="376">
        <f>(V5+V6)/2</f>
        <v>13.483333333333334</v>
      </c>
      <c r="W2" s="376">
        <f>AVERAGE(W5:W11)</f>
        <v>11.588199134199133</v>
      </c>
      <c r="X2" s="376">
        <f>AVERAGE(X12:X20)</f>
        <v>11.806960405643737</v>
      </c>
      <c r="Y2" s="376">
        <f>AVERAGE(Y12:Y14)</f>
        <v>12.828333333333333</v>
      </c>
      <c r="Z2" s="376">
        <f>AVERAGE(Z6:Z24)</f>
        <v>9.729766081871345</v>
      </c>
      <c r="AA2" s="376">
        <f>AVERAGE(AA22:AA24)</f>
        <v>8.9823333333333348</v>
      </c>
      <c r="AB2" s="376">
        <f>AVERAGE(AB5:AB24)</f>
        <v>14.188833333333331</v>
      </c>
      <c r="AC2" s="320"/>
      <c r="AF2" s="320"/>
      <c r="AG2" s="320"/>
      <c r="AH2" s="320"/>
      <c r="AI2" s="320"/>
      <c r="AJ2" s="320"/>
      <c r="AK2" s="320"/>
      <c r="AL2" s="320"/>
    </row>
    <row r="3" spans="1:44" s="271" customFormat="1" x14ac:dyDescent="0.25">
      <c r="A3" s="325"/>
      <c r="B3" s="325" t="s">
        <v>1015</v>
      </c>
      <c r="C3" s="325"/>
      <c r="D3" s="321" t="s">
        <v>1010</v>
      </c>
      <c r="E3" s="228">
        <v>41</v>
      </c>
      <c r="F3" s="229">
        <v>101</v>
      </c>
      <c r="G3" s="287"/>
      <c r="H3" s="401">
        <v>6</v>
      </c>
      <c r="I3" s="232">
        <v>13.2</v>
      </c>
      <c r="J3" s="232"/>
      <c r="K3" s="330">
        <f>(H3)*(H3)*(I3)</f>
        <v>475.2</v>
      </c>
      <c r="L3" s="330">
        <f>(H3+1)*(H3+1)*I3</f>
        <v>646.79999999999995</v>
      </c>
      <c r="M3" s="287">
        <v>2</v>
      </c>
      <c r="N3" s="287"/>
      <c r="O3" s="287"/>
      <c r="P3" s="657"/>
      <c r="Q3" s="657"/>
      <c r="R3" s="322">
        <v>110</v>
      </c>
      <c r="S3" s="287"/>
      <c r="T3" s="322">
        <v>324</v>
      </c>
      <c r="U3" s="343"/>
      <c r="V3" s="334">
        <v>0</v>
      </c>
      <c r="W3" s="232">
        <v>7</v>
      </c>
      <c r="X3" s="231">
        <v>0</v>
      </c>
      <c r="Y3" s="232">
        <v>0</v>
      </c>
      <c r="Z3" s="231">
        <v>2</v>
      </c>
      <c r="AA3" s="232">
        <v>0</v>
      </c>
      <c r="AB3" s="231">
        <v>6</v>
      </c>
      <c r="AC3" s="351"/>
      <c r="AF3" s="351"/>
      <c r="AG3" s="351"/>
      <c r="AH3" s="351"/>
      <c r="AI3" s="351"/>
      <c r="AJ3" s="351"/>
      <c r="AK3" s="351"/>
      <c r="AL3" s="351"/>
      <c r="AM3" s="287"/>
      <c r="AN3" s="287"/>
      <c r="AO3" s="287"/>
    </row>
    <row r="4" spans="1:44" x14ac:dyDescent="0.25">
      <c r="A4" s="326" t="s">
        <v>453</v>
      </c>
      <c r="B4" s="326" t="s">
        <v>316</v>
      </c>
      <c r="C4" s="327" t="s">
        <v>783</v>
      </c>
      <c r="D4" s="328" t="s">
        <v>182</v>
      </c>
      <c r="E4" s="326" t="s">
        <v>183</v>
      </c>
      <c r="F4" s="326" t="s">
        <v>63</v>
      </c>
      <c r="G4" s="326" t="s">
        <v>185</v>
      </c>
      <c r="H4" s="326" t="s">
        <v>186</v>
      </c>
      <c r="I4" s="326" t="s">
        <v>176</v>
      </c>
      <c r="J4" s="326" t="s">
        <v>847</v>
      </c>
      <c r="K4" s="329" t="s">
        <v>784</v>
      </c>
      <c r="L4" s="329" t="s">
        <v>785</v>
      </c>
      <c r="M4" s="326" t="s">
        <v>187</v>
      </c>
      <c r="N4" s="326" t="s">
        <v>751</v>
      </c>
      <c r="O4" s="326" t="s">
        <v>725</v>
      </c>
      <c r="P4" s="524" t="s">
        <v>835</v>
      </c>
      <c r="Q4" s="524" t="s">
        <v>836</v>
      </c>
      <c r="R4" s="326" t="s">
        <v>184</v>
      </c>
      <c r="S4" s="326" t="s">
        <v>740</v>
      </c>
      <c r="T4" s="326" t="s">
        <v>212</v>
      </c>
      <c r="U4" s="326" t="s">
        <v>527</v>
      </c>
      <c r="V4" s="326" t="s">
        <v>337</v>
      </c>
      <c r="W4" s="326" t="s">
        <v>188</v>
      </c>
      <c r="X4" s="326" t="s">
        <v>189</v>
      </c>
      <c r="Y4" s="326" t="s">
        <v>190</v>
      </c>
      <c r="Z4" s="326" t="s">
        <v>191</v>
      </c>
      <c r="AA4" s="326" t="s">
        <v>192</v>
      </c>
      <c r="AB4" s="326" t="s">
        <v>185</v>
      </c>
      <c r="AC4" s="326" t="s">
        <v>554</v>
      </c>
      <c r="AD4" s="374" t="s">
        <v>983</v>
      </c>
      <c r="AE4" s="374" t="s">
        <v>984</v>
      </c>
      <c r="AF4" s="374" t="s">
        <v>993</v>
      </c>
      <c r="AG4" s="374" t="s">
        <v>994</v>
      </c>
      <c r="AH4" s="374" t="s">
        <v>602</v>
      </c>
      <c r="AI4" s="374" t="s">
        <v>603</v>
      </c>
      <c r="AJ4" s="374" t="s">
        <v>604</v>
      </c>
      <c r="AK4" s="374" t="s">
        <v>723</v>
      </c>
      <c r="AL4" s="374" t="s">
        <v>724</v>
      </c>
      <c r="AM4" s="326" t="s">
        <v>965</v>
      </c>
      <c r="AN4" s="326" t="s">
        <v>966</v>
      </c>
      <c r="AO4" s="326" t="s">
        <v>967</v>
      </c>
      <c r="AP4" s="451" t="s">
        <v>1018</v>
      </c>
    </row>
    <row r="5" spans="1:44" x14ac:dyDescent="0.25">
      <c r="A5" s="416" t="s">
        <v>443</v>
      </c>
      <c r="B5" s="416" t="s">
        <v>1</v>
      </c>
      <c r="C5" s="417">
        <f ca="1">((34*112)-(E5*112)-(F5))/112</f>
        <v>4.1607142857142856</v>
      </c>
      <c r="D5" s="691" t="s">
        <v>930</v>
      </c>
      <c r="E5" s="419">
        <v>29</v>
      </c>
      <c r="F5" s="427">
        <f ca="1">-42406+$D$1-112-112-112-112-112</f>
        <v>94</v>
      </c>
      <c r="G5" s="420"/>
      <c r="H5" s="435">
        <v>6</v>
      </c>
      <c r="I5" s="335">
        <v>18</v>
      </c>
      <c r="J5" s="520">
        <f>LOG(I5+1)*4/3</f>
        <v>1.7050048012704384</v>
      </c>
      <c r="K5" s="330">
        <f t="shared" ref="K5" si="0">(H5)*(H5)*(I5)</f>
        <v>648</v>
      </c>
      <c r="L5" s="330">
        <f t="shared" ref="L5" si="1">(H5+1)*(H5+1)*I5</f>
        <v>882</v>
      </c>
      <c r="M5" s="421">
        <v>7.7</v>
      </c>
      <c r="N5" s="478">
        <f>M5*10+19</f>
        <v>96</v>
      </c>
      <c r="O5" s="478">
        <v>6</v>
      </c>
      <c r="P5" s="534">
        <f>(O5/7)^0.5</f>
        <v>0.92582009977255142</v>
      </c>
      <c r="Q5" s="534">
        <f>IF(O5=7,1,((O5+0.99)/7)^0.5)</f>
        <v>0.99928545900129484</v>
      </c>
      <c r="R5" s="351">
        <v>97980</v>
      </c>
      <c r="S5" s="660">
        <f t="shared" ref="S5:S24" si="2">R5-AP5</f>
        <v>4230</v>
      </c>
      <c r="T5" s="351">
        <v>44520</v>
      </c>
      <c r="U5" s="343">
        <f t="shared" ref="U5:U25" si="3">R5/T5</f>
        <v>2.200808625336927</v>
      </c>
      <c r="V5" s="519">
        <f>16+12/18</f>
        <v>16.666666666666668</v>
      </c>
      <c r="W5" s="520">
        <f>10.45+0.11+0.11+0.11+0.11+0.11+1/11+1/11*0.16+1/11+1/11+1/11+1/11+1/11+1/11+1/11+1/11</f>
        <v>11.832727272727276</v>
      </c>
      <c r="X5" s="519">
        <f>2+0.01+0.01</f>
        <v>2.0199999999999996</v>
      </c>
      <c r="Y5" s="520">
        <f>1.94+0.03+0.03+0.03+0.03+0.03+0.03</f>
        <v>2.1199999999999992</v>
      </c>
      <c r="Z5" s="519">
        <f>0.6+0.04+0.04+0.04+0.04+0.04+0.04+0.03+0.03+0.02+0.02+0.02+0.02+0.02+0.02+0.01+0.01</f>
        <v>1.0400000000000003</v>
      </c>
      <c r="AA5" s="520">
        <f>0+0.05+0.05*37/90+0.04+0.02+0.01</f>
        <v>0.14055555555555557</v>
      </c>
      <c r="AB5" s="519">
        <f>13.8+0.5+0.5+0.5+0.34+0.34+0.34+0.34+0.34+0.25+0.2+0.2+0.2</f>
        <v>17.849999999999998</v>
      </c>
      <c r="AC5" s="351">
        <v>1371</v>
      </c>
      <c r="AD5" s="637">
        <f t="shared" ref="AD5:AD24" si="4">(X5+1+J5)*(O5/7)^0.5</f>
        <v>4.3745044165379809</v>
      </c>
      <c r="AE5" s="637">
        <f t="shared" ref="AE5:AE24" si="5">(X5+1+J5)*(IF(O5=7, (O5/7)^0.5, ((O5+1)/7)^0.5))</f>
        <v>4.7250048012704378</v>
      </c>
      <c r="AF5" s="343">
        <f>(((W5+1.5+J5)+(Z5+1.5+J5)*2)/8)*(O5/7)^0.5</f>
        <v>2.7228070182994717</v>
      </c>
      <c r="AG5" s="343">
        <f>(1.66*(AA5+J5+1.5)+0.55*(AB5+J5+1.5)-7.6)*(O5/7)^0.5</f>
        <v>8.8266603556955481</v>
      </c>
      <c r="AH5" s="343">
        <f>(AB5*0.7+AA5*0.3)*(O5/7)^0.5</f>
        <v>11.607160894198437</v>
      </c>
      <c r="AI5" s="343">
        <f t="shared" ref="AI5:AI24" si="6">(0.5*(AA5+1.5+J5)+ 0.3*(AB5+1.5+J5))/10</f>
        <v>0.79892816187941273</v>
      </c>
      <c r="AJ5" s="343">
        <f t="shared" ref="AJ5:AJ24" si="7">(0.4*(W5+1.5+J5)+0.3*(AB5+1.5+J5))/10</f>
        <v>1.2331594269980217</v>
      </c>
      <c r="AK5" s="338">
        <f t="shared" ref="AK5:AK24" si="8">(AB5+1+(LOG(I5)*4/3))*(O5/7)^0.5</f>
        <v>19.001250901934569</v>
      </c>
      <c r="AL5" s="338">
        <f t="shared" ref="AL5:AL24" si="9">(AB5+1+(LOG(I5)*4/3))*(IF(O5=7, (O5/7)^0.5, ((O5+1)/7)^0.5))</f>
        <v>20.523696673471072</v>
      </c>
      <c r="AM5" s="478">
        <v>2</v>
      </c>
      <c r="AN5" s="478">
        <v>2</v>
      </c>
      <c r="AO5" s="624">
        <f>IF(AM5=4,IF(AN5=0,0.137+0.0697,0.137+0.02),IF(AM5=3,IF(AN5=0,0.0958+0.0697,0.0958+0.02),IF(AM5=2,IF(AN5=0,0.0415+0.0697,0.0415+0.02),IF(AM5=1,IF(AN5=0,0.0294+0.0697,0.0294+0.02),IF(AM5=0,IF(AN5=0,0.0063+0.0697,0.0063+0.02))))))</f>
        <v>6.1499999999999999E-2</v>
      </c>
      <c r="AP5">
        <v>93750</v>
      </c>
      <c r="AQ5">
        <f>AP5</f>
        <v>93750</v>
      </c>
      <c r="AR5" s="422">
        <f>AQ5-R5</f>
        <v>-4230</v>
      </c>
    </row>
    <row r="6" spans="1:44" s="288" customFormat="1" x14ac:dyDescent="0.25">
      <c r="A6" s="416" t="s">
        <v>577</v>
      </c>
      <c r="B6" s="416" t="s">
        <v>1</v>
      </c>
      <c r="C6" s="417">
        <f t="shared" ref="C6:C24" ca="1" si="10">((34*112)-(E6*112)-(F6))/112</f>
        <v>8.0357142857142863E-2</v>
      </c>
      <c r="D6" s="691" t="s">
        <v>307</v>
      </c>
      <c r="E6" s="419">
        <v>33</v>
      </c>
      <c r="F6" s="427">
        <f ca="1">82-41471+$D$1-112-112-112-112-112-112-112-112-112-112-112-112-112-112</f>
        <v>103</v>
      </c>
      <c r="G6" s="420" t="s">
        <v>595</v>
      </c>
      <c r="H6" s="401">
        <v>3</v>
      </c>
      <c r="I6" s="335">
        <v>7.8</v>
      </c>
      <c r="J6" s="520">
        <f t="shared" ref="J6:J24" si="11">LOG(I6+1)*4/3</f>
        <v>1.2593102295335583</v>
      </c>
      <c r="K6" s="330">
        <f t="shared" ref="K6:K24" si="12">(H6)*(H6)*(I6)</f>
        <v>70.2</v>
      </c>
      <c r="L6" s="330">
        <f t="shared" ref="L6:L24" si="13">(H6+1)*(H6+1)*I6</f>
        <v>124.8</v>
      </c>
      <c r="M6" s="421">
        <v>5.2</v>
      </c>
      <c r="N6" s="478">
        <f t="shared" ref="N6:N24" si="14">M6*10+19</f>
        <v>71</v>
      </c>
      <c r="O6" s="478">
        <v>5</v>
      </c>
      <c r="P6" s="534">
        <f t="shared" ref="P6:P24" si="15">(O6/7)^0.5</f>
        <v>0.84515425472851657</v>
      </c>
      <c r="Q6" s="534">
        <f t="shared" ref="Q6:Q24" si="16">IF(O6=7,1,((O6+0.99)/7)^0.5)</f>
        <v>0.92504826128926143</v>
      </c>
      <c r="R6" s="351">
        <v>3730</v>
      </c>
      <c r="S6" s="660">
        <f t="shared" si="2"/>
        <v>-30</v>
      </c>
      <c r="T6" s="351">
        <v>3600</v>
      </c>
      <c r="U6" s="343">
        <f t="shared" si="3"/>
        <v>1.0361111111111112</v>
      </c>
      <c r="V6" s="519">
        <v>10.3</v>
      </c>
      <c r="W6" s="520">
        <f>9.5+0.13+0.13/2+0.13+0.13+0.13+0.13+0.13+0.12+0.12+0.02+0.02+0.02+0.02+0.02+0.02+0.02+0.02+0.02+0.01+0.01+0.01</f>
        <v>10.794999999999998</v>
      </c>
      <c r="X6" s="519">
        <f>4.2+0.04+0.04+0.04+0.03+0.03+0.03+0.03+0.03+0.03+0.03+0.03+0.02+0.02+0.01</f>
        <v>4.6100000000000012</v>
      </c>
      <c r="Y6" s="520">
        <v>4.99</v>
      </c>
      <c r="Z6" s="519">
        <f>4.99+0.05+0.32+0.32+0.32+0.05+0.16+0.05+0.03+0.25*31/90+0.03+0.02+0.02+0.01+0.01+0.01+0.15*29/90+0.01+0.01</f>
        <v>6.5444444444444434</v>
      </c>
      <c r="AA6" s="520">
        <v>3.99</v>
      </c>
      <c r="AB6" s="519">
        <f>11.8+0.67+0.5*1.25+0.35+0.35+0.35+0.35*8/90+0.35*80/90+0.35+0.35*75/90+0.35+0.3</f>
        <v>15.778888888888888</v>
      </c>
      <c r="AC6" s="351">
        <v>1166</v>
      </c>
      <c r="AD6" s="637">
        <f t="shared" si="4"/>
        <v>5.805626767540411</v>
      </c>
      <c r="AE6" s="637">
        <f t="shared" si="5"/>
        <v>6.3597454820753683</v>
      </c>
      <c r="AF6" s="343">
        <f t="shared" ref="AF6:AF24" si="17">(((W6+1.5+J6)+(Z6+1.5+J6)*2)/8)*(O6/7)^0.5</f>
        <v>3.3977123319657752</v>
      </c>
      <c r="AG6" s="343">
        <f t="shared" ref="AG6:AG24" si="18">(1.66*(AA6+J6+1.5)+0.55*(AB6+J6+1.5)-7.6)*(O6/7)^0.5</f>
        <v>11.663014193604974</v>
      </c>
      <c r="AH6" s="343">
        <f t="shared" ref="AH6:AH24" si="19">(AB6*0.7+AA6*0.3)*(O6/7)^0.5</f>
        <v>10.346566198443105</v>
      </c>
      <c r="AI6" s="343">
        <f t="shared" si="6"/>
        <v>0.89361148502935117</v>
      </c>
      <c r="AJ6" s="343">
        <f t="shared" si="7"/>
        <v>1.0983183827340155</v>
      </c>
      <c r="AK6" s="338">
        <f t="shared" si="8"/>
        <v>15.186026066173746</v>
      </c>
      <c r="AL6" s="338">
        <f t="shared" si="9"/>
        <v>16.635458070609602</v>
      </c>
      <c r="AM6" s="478">
        <v>4</v>
      </c>
      <c r="AN6" s="478">
        <v>3</v>
      </c>
      <c r="AO6" s="624">
        <f t="shared" ref="AO6:AO24" si="20">IF(AM6=4,IF(AN6=0,0.137+0.0697,0.137+0.02),IF(AM6=3,IF(AN6=0,0.0958+0.0697,0.0958+0.02),IF(AM6=2,IF(AN6=0,0.0415+0.0697,0.0415+0.02),IF(AM6=1,IF(AN6=0,0.0294+0.0697,0.0294+0.02),IF(AM6=0,IF(AN6=0,0.0063+0.0697,0.0063+0.02))))))</f>
        <v>0.157</v>
      </c>
      <c r="AP6" s="288">
        <v>3760</v>
      </c>
      <c r="AQ6">
        <f t="shared" ref="AQ6:AQ24" si="21">AP6</f>
        <v>3760</v>
      </c>
      <c r="AR6" s="422">
        <f t="shared" ref="AR6:AR23" si="22">AQ6-R6</f>
        <v>30</v>
      </c>
    </row>
    <row r="7" spans="1:44" s="266" customFormat="1" x14ac:dyDescent="0.25">
      <c r="A7" s="416" t="s">
        <v>717</v>
      </c>
      <c r="B7" s="416" t="s">
        <v>2</v>
      </c>
      <c r="C7" s="417">
        <f t="shared" ca="1" si="10"/>
        <v>4.0535714285714288</v>
      </c>
      <c r="D7" s="691" t="s">
        <v>1022</v>
      </c>
      <c r="E7" s="419">
        <v>29</v>
      </c>
      <c r="F7" s="427">
        <f ca="1">82-41471+$D$1-112-112-112-112-112-112-112-112-112-112-112+3-112-112-112</f>
        <v>106</v>
      </c>
      <c r="G7" s="420" t="s">
        <v>595</v>
      </c>
      <c r="H7" s="426">
        <v>2</v>
      </c>
      <c r="I7" s="335">
        <v>14</v>
      </c>
      <c r="J7" s="520">
        <f t="shared" si="11"/>
        <v>1.5681216787409085</v>
      </c>
      <c r="K7" s="330">
        <f>(H7)*(H7)*(I7)</f>
        <v>56</v>
      </c>
      <c r="L7" s="330">
        <f>(H7+1)*(H7+1)*I7</f>
        <v>126</v>
      </c>
      <c r="M7" s="421">
        <v>7.7</v>
      </c>
      <c r="N7" s="478">
        <f>M7*10+19</f>
        <v>96</v>
      </c>
      <c r="O7" s="478">
        <v>6</v>
      </c>
      <c r="P7" s="534">
        <f>(O7/7)^0.5</f>
        <v>0.92582009977255142</v>
      </c>
      <c r="Q7" s="534">
        <f>IF(O7=7,1,((O7+0.99)/7)^0.5)</f>
        <v>0.99928545900129484</v>
      </c>
      <c r="R7" s="351">
        <v>299990</v>
      </c>
      <c r="S7" s="660">
        <f t="shared" si="2"/>
        <v>7100</v>
      </c>
      <c r="T7" s="351">
        <v>32508</v>
      </c>
      <c r="U7" s="343">
        <f>R7/T7</f>
        <v>9.2281899840039383</v>
      </c>
      <c r="V7" s="519">
        <v>0</v>
      </c>
      <c r="W7" s="520">
        <f>14+1/20+1/20+1/20+1/20</f>
        <v>14.200000000000003</v>
      </c>
      <c r="X7" s="519">
        <f>9+1/9*0.5+1/9*0.16+0.1*0.5+0.1*0.5+0.1*0.5+0.01+0.1*0.5</f>
        <v>9.283333333333335</v>
      </c>
      <c r="Y7" s="520">
        <f>14+1/12*0.5+1/12*0.5+1/12*0.5+1/12*0.5+1/12*0.5+1/12*0.5</f>
        <v>14.249999999999996</v>
      </c>
      <c r="Z7" s="519">
        <f>8.45+0.15+0.15+0.02+0.12+0.12+0.11+0.01+0.08+0.07+0.07+0.07</f>
        <v>9.4199999999999982</v>
      </c>
      <c r="AA7" s="520">
        <f>1+1/7</f>
        <v>1.1428571428571428</v>
      </c>
      <c r="AB7" s="519">
        <f>9+0.4</f>
        <v>9.4</v>
      </c>
      <c r="AC7" s="351">
        <v>1902</v>
      </c>
      <c r="AD7" s="637">
        <f t="shared" si="4"/>
        <v>10.972315261728481</v>
      </c>
      <c r="AE7" s="637">
        <f t="shared" si="5"/>
        <v>11.851455012074243</v>
      </c>
      <c r="AF7" s="343">
        <f t="shared" si="17"/>
        <v>4.8888352815829759</v>
      </c>
      <c r="AG7" s="343">
        <f t="shared" si="18"/>
        <v>5.7842386152204632</v>
      </c>
      <c r="AH7" s="343">
        <f t="shared" si="19"/>
        <v>6.4093202907111202</v>
      </c>
      <c r="AI7" s="343">
        <f t="shared" si="6"/>
        <v>0.58459259144212983</v>
      </c>
      <c r="AJ7" s="343">
        <f t="shared" si="7"/>
        <v>1.064768517511864</v>
      </c>
      <c r="AK7" s="338">
        <f t="shared" si="8"/>
        <v>11.043340200759529</v>
      </c>
      <c r="AL7" s="338">
        <f t="shared" si="9"/>
        <v>11.928170714237652</v>
      </c>
      <c r="AM7" s="478">
        <v>1</v>
      </c>
      <c r="AN7" s="478">
        <v>2</v>
      </c>
      <c r="AO7" s="624">
        <f>IF(AM7=4,IF(AN7=0,0.137+0.0697,0.137+0.02),IF(AM7=3,IF(AN7=0,0.0958+0.0697,0.0958+0.02),IF(AM7=2,IF(AN7=0,0.0415+0.0697,0.0415+0.02),IF(AM7=1,IF(AN7=0,0.0294+0.0697,0.0294+0.02),IF(AM7=0,IF(AN7=0,0.0063+0.0697,0.0063+0.02))))))</f>
        <v>4.9399999999999999E-2</v>
      </c>
      <c r="AP7" s="266">
        <v>292890</v>
      </c>
      <c r="AQ7">
        <f t="shared" si="21"/>
        <v>292890</v>
      </c>
      <c r="AR7" s="422">
        <f t="shared" si="22"/>
        <v>-7100</v>
      </c>
    </row>
    <row r="8" spans="1:44" s="272" customFormat="1" x14ac:dyDescent="0.25">
      <c r="A8" s="332" t="s">
        <v>452</v>
      </c>
      <c r="B8" s="285" t="s">
        <v>2</v>
      </c>
      <c r="C8" s="417">
        <f t="shared" ca="1" si="10"/>
        <v>2.6517857142857144</v>
      </c>
      <c r="D8" s="692" t="s">
        <v>315</v>
      </c>
      <c r="E8" s="228">
        <v>31</v>
      </c>
      <c r="F8" s="229">
        <f ca="1">18-41471+$D$1-112-112-112-112-112-112-112-112-112-112-112-112-112-112</f>
        <v>39</v>
      </c>
      <c r="G8" s="287" t="s">
        <v>595</v>
      </c>
      <c r="H8" s="426">
        <v>4</v>
      </c>
      <c r="I8" s="232">
        <v>7.5</v>
      </c>
      <c r="J8" s="520">
        <f t="shared" si="11"/>
        <v>1.2392252342857237</v>
      </c>
      <c r="K8" s="330">
        <f t="shared" si="12"/>
        <v>120</v>
      </c>
      <c r="L8" s="330">
        <f t="shared" si="13"/>
        <v>187.5</v>
      </c>
      <c r="M8" s="323">
        <v>6.6</v>
      </c>
      <c r="N8" s="478">
        <f t="shared" si="14"/>
        <v>85</v>
      </c>
      <c r="O8" s="479">
        <v>5</v>
      </c>
      <c r="P8" s="534">
        <f t="shared" si="15"/>
        <v>0.84515425472851657</v>
      </c>
      <c r="Q8" s="534">
        <f t="shared" si="16"/>
        <v>0.92504826128926143</v>
      </c>
      <c r="R8" s="661">
        <v>18380</v>
      </c>
      <c r="S8" s="660">
        <f t="shared" si="2"/>
        <v>1050</v>
      </c>
      <c r="T8" s="661">
        <v>3510</v>
      </c>
      <c r="U8" s="343">
        <f t="shared" si="3"/>
        <v>5.2364672364672362</v>
      </c>
      <c r="V8" s="519">
        <v>0</v>
      </c>
      <c r="W8" s="520">
        <v>11</v>
      </c>
      <c r="X8" s="519">
        <f>4.61+0.04+0.04+0.04+0.04+0.25+0.14+0.13+0.13+0.12+0.12+0.12+0.04*55/90+0.025+0.13+0.02+0.02+0.02+0.02+0.02+0.01+0.01+0.01+0.12*0.5+0.01</f>
        <v>6.1594444444444418</v>
      </c>
      <c r="Y8" s="520">
        <v>5.98</v>
      </c>
      <c r="Z8" s="519">
        <f>3.88+0.33+(0.33/3)+(0.33/3)+0.31+0.31+0.04+0.3+0.28+0.28+0.28+0.25+0.25+0.2+0.15+0.15+0.02+0.12+0.12+0.11+0.11*35/90+0.08</f>
        <v>7.7227777777777789</v>
      </c>
      <c r="AA8" s="520">
        <f>3.82+0.06+0.06+0.06+0.06*80/90+0.06+0.05+0.05+0.05+0.02+0.2*0.5</f>
        <v>4.383333333333332</v>
      </c>
      <c r="AB8" s="519">
        <f>8.7+0.75+0.75+0.75+0.6+0.5+0.5+0.45*10/90+0.35+0.35+0.35+0.35+0.35+0.3+0.25+0.25+0.2</f>
        <v>15.349999999999998</v>
      </c>
      <c r="AC8" s="351">
        <v>1155</v>
      </c>
      <c r="AD8" s="637">
        <f t="shared" si="4"/>
        <v>7.098171413038183</v>
      </c>
      <c r="AE8" s="637">
        <f t="shared" si="5"/>
        <v>7.7756571999186637</v>
      </c>
      <c r="AF8" s="343">
        <f t="shared" si="17"/>
        <v>3.6619721725857537</v>
      </c>
      <c r="AG8" s="343">
        <f t="shared" si="18"/>
        <v>11.977966508828384</v>
      </c>
      <c r="AH8" s="343">
        <f t="shared" si="19"/>
        <v>10.192560312025908</v>
      </c>
      <c r="AI8" s="343">
        <f t="shared" si="6"/>
        <v>0.89880468540952452</v>
      </c>
      <c r="AJ8" s="343">
        <f t="shared" si="7"/>
        <v>1.0922457664000007</v>
      </c>
      <c r="AK8" s="338">
        <f t="shared" si="8"/>
        <v>14.804354398016052</v>
      </c>
      <c r="AL8" s="338">
        <f t="shared" si="9"/>
        <v>16.217357706188412</v>
      </c>
      <c r="AM8" s="479">
        <v>2</v>
      </c>
      <c r="AN8" s="479">
        <v>3</v>
      </c>
      <c r="AO8" s="624">
        <f t="shared" si="20"/>
        <v>6.1499999999999999E-2</v>
      </c>
      <c r="AP8" s="272">
        <v>17330</v>
      </c>
      <c r="AQ8">
        <f t="shared" si="21"/>
        <v>17330</v>
      </c>
      <c r="AR8" s="422">
        <f t="shared" si="22"/>
        <v>-1050</v>
      </c>
    </row>
    <row r="9" spans="1:44" s="264" customFormat="1" x14ac:dyDescent="0.25">
      <c r="A9" s="416" t="s">
        <v>597</v>
      </c>
      <c r="B9" s="416" t="s">
        <v>2</v>
      </c>
      <c r="C9" s="417">
        <f t="shared" ca="1" si="10"/>
        <v>3.0625</v>
      </c>
      <c r="D9" s="691" t="s">
        <v>309</v>
      </c>
      <c r="E9" s="419">
        <v>30</v>
      </c>
      <c r="F9" s="427">
        <f ca="1">84-41471+$D$1-112-112-112-112-112-112-112-112-112-112-112-112-112-112</f>
        <v>105</v>
      </c>
      <c r="G9" s="420"/>
      <c r="H9" s="426">
        <v>4</v>
      </c>
      <c r="I9" s="335">
        <v>12.1</v>
      </c>
      <c r="J9" s="520">
        <f t="shared" si="11"/>
        <v>1.4896950608743522</v>
      </c>
      <c r="K9" s="330">
        <f t="shared" si="12"/>
        <v>193.6</v>
      </c>
      <c r="L9" s="330">
        <f t="shared" si="13"/>
        <v>302.5</v>
      </c>
      <c r="M9" s="421">
        <v>7.3</v>
      </c>
      <c r="N9" s="478">
        <f t="shared" si="14"/>
        <v>92</v>
      </c>
      <c r="O9" s="478">
        <v>5</v>
      </c>
      <c r="P9" s="534">
        <f t="shared" si="15"/>
        <v>0.84515425472851657</v>
      </c>
      <c r="Q9" s="534">
        <f t="shared" si="16"/>
        <v>0.92504826128926143</v>
      </c>
      <c r="R9" s="351">
        <v>141660</v>
      </c>
      <c r="S9" s="660">
        <f t="shared" si="2"/>
        <v>-4630</v>
      </c>
      <c r="T9" s="351">
        <v>14490</v>
      </c>
      <c r="U9" s="343">
        <f t="shared" si="3"/>
        <v>9.7763975155279503</v>
      </c>
      <c r="V9" s="519">
        <v>0</v>
      </c>
      <c r="W9" s="520">
        <f>9.9+0.14+0.14+0.14+0.14+0.13+0.13+0.13+0.12+0.12+0.09+0.09+0.09+0.09+0.08+0.08+0.08+0.08+0.08+0.07+0.07+0.07</f>
        <v>12.060000000000004</v>
      </c>
      <c r="X9" s="519">
        <f>10.72+0.15+0.15+0.15+0.14+0.14+0.11+0.11+0.11+0.11+0.11+0.11+0.11+0.11*0.5+0.11*0.5+0.11*0.5+0.1+0.1*0.5+0.1*0.5+0.1*0.5+0.1*0.16+0.09+0.08+0.08+0.08*0.5+0.08</f>
        <v>13.020999999999999</v>
      </c>
      <c r="Y9" s="520">
        <f>8.8+0.14+0.14+0.14+0.13+0.12*0.5+0.12*0.5+0.12*0.5+0.12*0.5+0.12*0.5+0.12*0.5</f>
        <v>9.7100000000000062</v>
      </c>
      <c r="Z9" s="519">
        <f>4.57+0.36+0.36+0.36+0.36+0.25+0.25+0.25+0.25+0.25+0.25+0.25+0.25+0.2+0.2+0.15+0.15+0.14+0.12+0.12+0.11+0.11+0.08+0.07+0.07+0.07</f>
        <v>9.6</v>
      </c>
      <c r="AA9" s="520">
        <f>3+0.07+0.07+0.07+0.07+0.07+0.05+0.05+0.05+0.2*48/90+0.15*0.5</f>
        <v>3.6816666666666658</v>
      </c>
      <c r="AB9" s="519">
        <f>10.7+0.5+0.5*77/90+0.5+0.45+0.45+0.45+0.35+0.35+0.3+0.35+0.3+0.3+0.3+0.25+0.25+0.2+0.2</f>
        <v>16.627777777777773</v>
      </c>
      <c r="AC9" s="351">
        <v>1858</v>
      </c>
      <c r="AD9" s="637">
        <f t="shared" si="4"/>
        <v>13.108929924494545</v>
      </c>
      <c r="AE9" s="637">
        <f t="shared" si="5"/>
        <v>14.360113248800312</v>
      </c>
      <c r="AF9" s="343">
        <f t="shared" si="17"/>
        <v>4.2499728132412251</v>
      </c>
      <c r="AG9" s="343">
        <f t="shared" si="18"/>
        <v>12.055339897312352</v>
      </c>
      <c r="AH9" s="343">
        <f t="shared" si="19"/>
        <v>10.77059886924606</v>
      </c>
      <c r="AI9" s="343">
        <f t="shared" si="6"/>
        <v>0.92209227153661466</v>
      </c>
      <c r="AJ9" s="343">
        <f t="shared" si="7"/>
        <v>1.190511987594538</v>
      </c>
      <c r="AK9" s="338">
        <f t="shared" si="8"/>
        <v>16.118352273872002</v>
      </c>
      <c r="AL9" s="338">
        <f t="shared" si="9"/>
        <v>17.656770260428765</v>
      </c>
      <c r="AM9" s="478">
        <v>2</v>
      </c>
      <c r="AN9" s="478">
        <v>3</v>
      </c>
      <c r="AO9" s="624">
        <f t="shared" si="20"/>
        <v>6.1499999999999999E-2</v>
      </c>
      <c r="AP9" s="264">
        <v>146290</v>
      </c>
      <c r="AQ9">
        <f t="shared" si="21"/>
        <v>146290</v>
      </c>
      <c r="AR9" s="422">
        <f t="shared" si="22"/>
        <v>4630</v>
      </c>
    </row>
    <row r="10" spans="1:44" s="265" customFormat="1" x14ac:dyDescent="0.25">
      <c r="A10" s="416" t="s">
        <v>445</v>
      </c>
      <c r="B10" s="285" t="s">
        <v>2</v>
      </c>
      <c r="C10" s="417">
        <f t="shared" ca="1" si="10"/>
        <v>3.1964285714285716</v>
      </c>
      <c r="D10" s="692" t="s">
        <v>313</v>
      </c>
      <c r="E10" s="228">
        <v>30</v>
      </c>
      <c r="F10" s="229">
        <f ca="1">69-41471+$D$1-112-112-112-112-112-112-112-112-112-112-112-112-112-112</f>
        <v>90</v>
      </c>
      <c r="G10" s="287"/>
      <c r="H10" s="401">
        <v>3</v>
      </c>
      <c r="I10" s="232">
        <v>9.1999999999999993</v>
      </c>
      <c r="J10" s="520">
        <f t="shared" si="11"/>
        <v>1.34480022901589</v>
      </c>
      <c r="K10" s="330">
        <f t="shared" si="12"/>
        <v>82.8</v>
      </c>
      <c r="L10" s="330">
        <f t="shared" si="13"/>
        <v>147.19999999999999</v>
      </c>
      <c r="M10" s="323">
        <v>7</v>
      </c>
      <c r="N10" s="478">
        <f t="shared" si="14"/>
        <v>89</v>
      </c>
      <c r="O10" s="479">
        <v>6</v>
      </c>
      <c r="P10" s="534">
        <f t="shared" si="15"/>
        <v>0.92582009977255142</v>
      </c>
      <c r="Q10" s="534">
        <f t="shared" si="16"/>
        <v>0.99928545900129484</v>
      </c>
      <c r="R10" s="351">
        <v>46240</v>
      </c>
      <c r="S10" s="660">
        <f t="shared" si="2"/>
        <v>1690</v>
      </c>
      <c r="T10" s="661">
        <v>5870</v>
      </c>
      <c r="U10" s="343">
        <f t="shared" si="3"/>
        <v>7.877342419080068</v>
      </c>
      <c r="V10" s="519">
        <v>0</v>
      </c>
      <c r="W10" s="520">
        <f>9+0.15+0.15+0.15+0.15+0.15+0.15+0.15+0.15+0.15+0.12+0.12+0.12+0.12+0.12+0.1+0.1+0.1+0.1+0.1+0.1+0.1</f>
        <v>11.649999999999997</v>
      </c>
      <c r="X10" s="519">
        <f>5.75+0.04+0.04+(0.04/90*75)+(0.25*15/90)+0.03+0.03+(0.03*20/90)+0.03+0.03+(0.22*0.5*30/90)+(0.22/16*60/90)+0.03+0.03+0.22*0.5+0.2*0.5+0.03+0.22*0.5+0.03+0.03+0.03+0.01+0.01+0.01+0.01+0.01</f>
        <v>6.6275000000000022</v>
      </c>
      <c r="Y10" s="520">
        <f>6.18+0.2+0.2+0.2+0.15*0.5+0.15*0.5+0.15*0.5+0.15*0.5+0.14*0.5+0.14*0.5+0.14</f>
        <v>7.3600000000000012</v>
      </c>
      <c r="Z10" s="519">
        <f>4.3+0.35+0.35+0.35+0.33+0.32+0.3+0.27+0.27+0.26+0.2+0.2+0.2+0.2+0.15+0.15+0.14+0.12+0.12+0.11+0.11+0.08+0.07+0.07</f>
        <v>9.0199999999999978</v>
      </c>
      <c r="AA10" s="520">
        <f>4.06+0.06+0.06+0.06+0.06+0.06*75/90+0.05+0.05+0.05+0.02+0.2*0.5</f>
        <v>4.6199999999999966</v>
      </c>
      <c r="AB10" s="519">
        <f>8.4+0.67+0.67+0.67+0.67+0.67+0.5+0.45+0.35+0.35+0.35+0.3+0.3+0.3+0.25+0.25+0.25+0.2</f>
        <v>15.6</v>
      </c>
      <c r="AC10" s="351">
        <v>1268</v>
      </c>
      <c r="AD10" s="637">
        <f t="shared" si="4"/>
        <v>8.3067358932167803</v>
      </c>
      <c r="AE10" s="637">
        <f t="shared" si="5"/>
        <v>8.9723002290158931</v>
      </c>
      <c r="AF10" s="343">
        <f t="shared" si="17"/>
        <v>4.4236148072285566</v>
      </c>
      <c r="AG10" s="343">
        <f t="shared" si="18"/>
        <v>13.828242049364381</v>
      </c>
      <c r="AH10" s="343">
        <f t="shared" si="19"/>
        <v>11.393142147801017</v>
      </c>
      <c r="AI10" s="343">
        <f t="shared" si="6"/>
        <v>0.92658401832127102</v>
      </c>
      <c r="AJ10" s="343">
        <f t="shared" si="7"/>
        <v>1.1331360160311121</v>
      </c>
      <c r="AK10" s="338">
        <f t="shared" si="8"/>
        <v>16.558339179521198</v>
      </c>
      <c r="AL10" s="338">
        <f t="shared" si="9"/>
        <v>17.885050436460741</v>
      </c>
      <c r="AM10" s="479">
        <v>3</v>
      </c>
      <c r="AN10" s="479">
        <v>2</v>
      </c>
      <c r="AO10" s="624">
        <f t="shared" si="20"/>
        <v>0.1158</v>
      </c>
      <c r="AP10" s="265">
        <v>44550</v>
      </c>
      <c r="AQ10">
        <f t="shared" si="21"/>
        <v>44550</v>
      </c>
      <c r="AR10" s="422">
        <f t="shared" si="22"/>
        <v>-1690</v>
      </c>
    </row>
    <row r="11" spans="1:44" s="289" customFormat="1" x14ac:dyDescent="0.25">
      <c r="A11" s="331" t="s">
        <v>588</v>
      </c>
      <c r="B11" s="285" t="s">
        <v>2</v>
      </c>
      <c r="C11" s="417">
        <f t="shared" ca="1" si="10"/>
        <v>6.9910714285714288</v>
      </c>
      <c r="D11" s="692" t="s">
        <v>702</v>
      </c>
      <c r="E11" s="228">
        <v>27</v>
      </c>
      <c r="F11" s="229">
        <f ca="1">75-41471+$D$1-24-112-10-112-112+6-112-112-112+45-112-112-112-112-112-112-112-112-112</f>
        <v>1</v>
      </c>
      <c r="G11" s="287"/>
      <c r="H11" s="426">
        <v>4</v>
      </c>
      <c r="I11" s="232">
        <v>4.9000000000000004</v>
      </c>
      <c r="J11" s="520">
        <f t="shared" si="11"/>
        <v>1.0278026821895256</v>
      </c>
      <c r="K11" s="330">
        <f t="shared" si="12"/>
        <v>78.400000000000006</v>
      </c>
      <c r="L11" s="330">
        <f t="shared" si="13"/>
        <v>122.50000000000001</v>
      </c>
      <c r="M11" s="323">
        <v>7</v>
      </c>
      <c r="N11" s="478">
        <f t="shared" si="14"/>
        <v>89</v>
      </c>
      <c r="O11" s="479">
        <v>5</v>
      </c>
      <c r="P11" s="534">
        <f t="shared" si="15"/>
        <v>0.84515425472851657</v>
      </c>
      <c r="Q11" s="534">
        <f t="shared" si="16"/>
        <v>0.92504826128926143</v>
      </c>
      <c r="R11" s="661">
        <v>33410</v>
      </c>
      <c r="S11" s="660">
        <f t="shared" si="2"/>
        <v>2430</v>
      </c>
      <c r="T11" s="661">
        <v>2510</v>
      </c>
      <c r="U11" s="343">
        <f t="shared" si="3"/>
        <v>13.310756972111554</v>
      </c>
      <c r="V11" s="519">
        <v>0</v>
      </c>
      <c r="W11" s="520">
        <f>6.51+0.25+0.25+0.25+0.2+0.2+0.2+0.2+0.19+0.19+0.17+0.16+0.16+0.03+0.16+0.15*33/90+0.14+0.13+0.13*36/90+0.02+0.12*32/90+0.02</f>
        <v>9.5796666666666663</v>
      </c>
      <c r="X11" s="519">
        <f>6.92+0.04+0.04+0.04+0.13+0.04+0.03+0.03+(0.25*30/90*0.5)+(0.25*60/90*0.16)+0.03+0.03+0.25*0.5*1/90+0.026+0.03+0.03+0.03+0.03+0.25*0.5+0.02+0.02</f>
        <v>7.7107222222222234</v>
      </c>
      <c r="Y11" s="520">
        <f>5.8+0.05+0.05+0.05+0.05+0.04+0.04+0.03+0.02</f>
        <v>6.129999999999999</v>
      </c>
      <c r="Z11" s="519">
        <f>4.28+(0.4/3)+0.4+0.4+0.35+0.35+0.35+0.35+0.3+0.3+0.25+0.25+0.25+0.2+0.04+0.17+0.16+0.03+0.15+0.13+0.02</f>
        <v>8.8633333333333315</v>
      </c>
      <c r="AA11" s="520">
        <f>2.7+0.08+0.08+0.08+0.08+0.08+0.06+0.06+0.06*10/90+0.03</f>
        <v>3.2566666666666673</v>
      </c>
      <c r="AB11" s="519">
        <f>9+1*5/90+0.85+0.85*30/90+0.65+0.55+0.5+0.4+0.35+0.35+0.25</f>
        <v>13.238888888888889</v>
      </c>
      <c r="AC11" s="351">
        <v>1011</v>
      </c>
      <c r="AD11" s="637">
        <f t="shared" si="4"/>
        <v>8.2305557577432094</v>
      </c>
      <c r="AE11" s="637">
        <f t="shared" si="5"/>
        <v>9.0161220986399631</v>
      </c>
      <c r="AF11" s="343">
        <f t="shared" si="17"/>
        <v>3.68590167170021</v>
      </c>
      <c r="AG11" s="343">
        <f t="shared" si="18"/>
        <v>9.0210915627662693</v>
      </c>
      <c r="AH11" s="343">
        <f t="shared" si="19"/>
        <v>8.6579479974955298</v>
      </c>
      <c r="AI11" s="343">
        <f t="shared" si="6"/>
        <v>0.7622242145751621</v>
      </c>
      <c r="AJ11" s="343">
        <f t="shared" si="7"/>
        <v>0.9572995210866001</v>
      </c>
      <c r="AK11" s="338">
        <f t="shared" si="8"/>
        <v>12.811820398561768</v>
      </c>
      <c r="AL11" s="338">
        <f t="shared" si="9"/>
        <v>14.034646069994215</v>
      </c>
      <c r="AM11" s="479">
        <v>3</v>
      </c>
      <c r="AN11" s="479">
        <v>2</v>
      </c>
      <c r="AO11" s="624">
        <f t="shared" si="20"/>
        <v>0.1158</v>
      </c>
      <c r="AP11" s="289">
        <v>30980</v>
      </c>
      <c r="AQ11">
        <f t="shared" si="21"/>
        <v>30980</v>
      </c>
      <c r="AR11" s="422">
        <f t="shared" si="22"/>
        <v>-2430</v>
      </c>
    </row>
    <row r="12" spans="1:44" s="289" customFormat="1" x14ac:dyDescent="0.25">
      <c r="A12" s="416" t="s">
        <v>448</v>
      </c>
      <c r="B12" s="416" t="s">
        <v>66</v>
      </c>
      <c r="C12" s="417">
        <f t="shared" ca="1" si="10"/>
        <v>3.4017857142857144</v>
      </c>
      <c r="D12" s="691" t="s">
        <v>982</v>
      </c>
      <c r="E12" s="419">
        <v>30</v>
      </c>
      <c r="F12" s="229">
        <f ca="1">46-41471+$D$1-112-112-112-112-112-112-112-112-112-112-112-112-112-112</f>
        <v>67</v>
      </c>
      <c r="G12" s="420" t="s">
        <v>311</v>
      </c>
      <c r="H12" s="401">
        <v>0</v>
      </c>
      <c r="I12" s="335">
        <v>12.2</v>
      </c>
      <c r="J12" s="520">
        <f t="shared" si="11"/>
        <v>1.4940985749411331</v>
      </c>
      <c r="K12" s="330">
        <f t="shared" si="12"/>
        <v>0</v>
      </c>
      <c r="L12" s="330">
        <f t="shared" si="13"/>
        <v>12.2</v>
      </c>
      <c r="M12" s="421">
        <v>7.4</v>
      </c>
      <c r="N12" s="478">
        <f t="shared" si="14"/>
        <v>93</v>
      </c>
      <c r="O12" s="478">
        <v>5</v>
      </c>
      <c r="P12" s="534">
        <f t="shared" si="15"/>
        <v>0.84515425472851657</v>
      </c>
      <c r="Q12" s="534">
        <f t="shared" si="16"/>
        <v>0.92504826128926143</v>
      </c>
      <c r="R12" s="351">
        <v>223420</v>
      </c>
      <c r="S12" s="660">
        <f t="shared" si="2"/>
        <v>18160</v>
      </c>
      <c r="T12" s="351">
        <v>15530</v>
      </c>
      <c r="U12" s="343">
        <f t="shared" si="3"/>
        <v>14.386349001931745</v>
      </c>
      <c r="V12" s="519">
        <v>0</v>
      </c>
      <c r="W12" s="520">
        <v>11.99</v>
      </c>
      <c r="X12" s="519">
        <f>9.9+0.17+(0.17/90*26)+0.17+0.15+0.15+0.15+0.13+0.13+(1/8)+0.13+0.13+0.13*0.5+0.11+0.11+0.11*0.5+0.11*0.5+0.1*0.5+0.1*0.5+0.1+0.1+0.1*0.5+0.09+0.09*0.5+0.09*0.5+0.09*0.5+0.09*0.5</f>
        <v>12.399111111111115</v>
      </c>
      <c r="Y12" s="520">
        <v>13.05</v>
      </c>
      <c r="Z12" s="519">
        <f>10.7+0.07+0.07+0.07</f>
        <v>10.91</v>
      </c>
      <c r="AA12" s="520">
        <f>5.71+0.29+0.29+0.29+0.25+0.25+0.2+0.2+0.2+0.015+0.15*0.5</f>
        <v>7.7700000000000005</v>
      </c>
      <c r="AB12" s="519">
        <f>10.8+0.67+0.55+0.55+0.45+0.45+0.4+0.4+0.35+0.35+0.33+0.33+0.3+0.3+0.25+0.25+0.2+0.2</f>
        <v>17.13</v>
      </c>
      <c r="AC12" s="351">
        <v>2108</v>
      </c>
      <c r="AD12" s="637">
        <f t="shared" si="4"/>
        <v>12.587059532731013</v>
      </c>
      <c r="AE12" s="637">
        <f t="shared" si="5"/>
        <v>13.788432877474422</v>
      </c>
      <c r="AF12" s="343">
        <f t="shared" si="17"/>
        <v>4.5207613501794262</v>
      </c>
      <c r="AG12" s="343">
        <f t="shared" si="18"/>
        <v>18.032767164138022</v>
      </c>
      <c r="AH12" s="343">
        <f t="shared" si="19"/>
        <v>12.104299236221813</v>
      </c>
      <c r="AI12" s="343">
        <f t="shared" si="6"/>
        <v>1.1419278859952908</v>
      </c>
      <c r="AJ12" s="343">
        <f t="shared" si="7"/>
        <v>1.2030869002458793</v>
      </c>
      <c r="AK12" s="338">
        <f t="shared" si="8"/>
        <v>16.546835482309223</v>
      </c>
      <c r="AL12" s="338">
        <f t="shared" si="9"/>
        <v>18.126150097975273</v>
      </c>
      <c r="AM12" s="478">
        <v>1</v>
      </c>
      <c r="AN12" s="478">
        <v>2</v>
      </c>
      <c r="AO12" s="624">
        <f t="shared" si="20"/>
        <v>4.9399999999999999E-2</v>
      </c>
      <c r="AP12" s="289">
        <v>205260</v>
      </c>
      <c r="AQ12">
        <f t="shared" si="21"/>
        <v>205260</v>
      </c>
      <c r="AR12" s="422">
        <f t="shared" si="22"/>
        <v>-18160</v>
      </c>
    </row>
    <row r="13" spans="1:44" s="272" customFormat="1" x14ac:dyDescent="0.25">
      <c r="A13" s="416" t="s">
        <v>450</v>
      </c>
      <c r="B13" s="416" t="s">
        <v>66</v>
      </c>
      <c r="C13" s="417">
        <f t="shared" ca="1" si="10"/>
        <v>3.875</v>
      </c>
      <c r="D13" s="691" t="s">
        <v>338</v>
      </c>
      <c r="E13" s="419">
        <v>30</v>
      </c>
      <c r="F13" s="427">
        <f ca="1">75-41471+$D$1-24-112-10-112-40-8-112-112-112-112-112-112-112-112-112-112-112-112</f>
        <v>14</v>
      </c>
      <c r="G13" s="420" t="s">
        <v>308</v>
      </c>
      <c r="H13" s="401">
        <v>2</v>
      </c>
      <c r="I13" s="335">
        <v>10.199999999999999</v>
      </c>
      <c r="J13" s="520">
        <f t="shared" si="11"/>
        <v>1.3989573635602419</v>
      </c>
      <c r="K13" s="330">
        <f t="shared" si="12"/>
        <v>40.799999999999997</v>
      </c>
      <c r="L13" s="330">
        <f t="shared" si="13"/>
        <v>91.8</v>
      </c>
      <c r="M13" s="421">
        <v>7.6</v>
      </c>
      <c r="N13" s="478">
        <f t="shared" si="14"/>
        <v>95</v>
      </c>
      <c r="O13" s="478">
        <v>6</v>
      </c>
      <c r="P13" s="534">
        <f t="shared" si="15"/>
        <v>0.92582009977255142</v>
      </c>
      <c r="Q13" s="534">
        <f t="shared" si="16"/>
        <v>0.99928545900129484</v>
      </c>
      <c r="R13" s="351">
        <v>102640</v>
      </c>
      <c r="S13" s="660">
        <f t="shared" si="2"/>
        <v>-2620</v>
      </c>
      <c r="T13" s="351">
        <v>10060</v>
      </c>
      <c r="U13" s="343">
        <f t="shared" si="3"/>
        <v>10.202783300198806</v>
      </c>
      <c r="V13" s="519">
        <v>0</v>
      </c>
      <c r="W13" s="520">
        <f>7+0.11</f>
        <v>7.11</v>
      </c>
      <c r="X13" s="519">
        <f>10+0.1*0.5+0.1*0.5+0.1*0.5+0.1*0.5+0.1*0.5</f>
        <v>10.250000000000004</v>
      </c>
      <c r="Y13" s="520">
        <f>12+0.165+0.15+0.15+0.15+0.13+0.13+0.12+0.11+0.1+0.1</f>
        <v>13.305</v>
      </c>
      <c r="Z13" s="519">
        <f>6.1+0.33+0.3+0.3+0.25+0.25+0.25+0.25+0.25+0.2+0.2+0.2+0.2+0.15+0.13+0.13+0.13+0.12+0.12+0.11+0.1+0.08+0.07+0.07+0.07</f>
        <v>10.359999999999998</v>
      </c>
      <c r="AA13" s="520">
        <f>2.7+0.06+0.33+0.33+0.33+0.33+0.33+0.33+0.33+0.25+0.17*0.5</f>
        <v>5.4050000000000002</v>
      </c>
      <c r="AB13" s="519">
        <f>11.48+0.6+0.6*1.25+0.5+0.5+0.39+0.39+0.39+0.3+0.3+0.3+0.25+0.25+0.25+0.25+0.2+0.2</f>
        <v>17.300000000000004</v>
      </c>
      <c r="AC13" s="351">
        <v>1615</v>
      </c>
      <c r="AD13" s="637">
        <f t="shared" si="4"/>
        <v>11.710658968350096</v>
      </c>
      <c r="AE13" s="637">
        <f t="shared" si="5"/>
        <v>12.648957363560246</v>
      </c>
      <c r="AF13" s="343">
        <f t="shared" si="17"/>
        <v>4.2271640454216568</v>
      </c>
      <c r="AG13" s="343">
        <f t="shared" si="18"/>
        <v>16.011128892458355</v>
      </c>
      <c r="AH13" s="343">
        <f t="shared" si="19"/>
        <v>12.712898700026791</v>
      </c>
      <c r="AI13" s="343">
        <f t="shared" si="6"/>
        <v>1.0211665890848196</v>
      </c>
      <c r="AJ13" s="343">
        <f t="shared" si="7"/>
        <v>1.0063270154492172</v>
      </c>
      <c r="AK13" s="338">
        <f t="shared" si="8"/>
        <v>18.187550908039334</v>
      </c>
      <c r="AL13" s="338">
        <f t="shared" si="9"/>
        <v>19.644800229015893</v>
      </c>
      <c r="AM13" s="478">
        <v>4</v>
      </c>
      <c r="AN13" s="478">
        <v>4</v>
      </c>
      <c r="AO13" s="624">
        <f t="shared" si="20"/>
        <v>0.157</v>
      </c>
      <c r="AP13" s="272">
        <v>105260</v>
      </c>
      <c r="AQ13">
        <f t="shared" si="21"/>
        <v>105260</v>
      </c>
      <c r="AR13" s="422">
        <f t="shared" si="22"/>
        <v>2620</v>
      </c>
    </row>
    <row r="14" spans="1:44" s="288" customFormat="1" x14ac:dyDescent="0.25">
      <c r="A14" s="416" t="s">
        <v>449</v>
      </c>
      <c r="B14" s="416" t="s">
        <v>66</v>
      </c>
      <c r="C14" s="417">
        <f t="shared" ca="1" si="10"/>
        <v>6.7410714285714288</v>
      </c>
      <c r="D14" s="691" t="s">
        <v>600</v>
      </c>
      <c r="E14" s="419">
        <v>27</v>
      </c>
      <c r="F14" s="229">
        <f ca="1">7-41471+$D$1-112-111-112+4-112-116-112-112-112-112-112-112-112-112-112</f>
        <v>29</v>
      </c>
      <c r="G14" s="420" t="s">
        <v>595</v>
      </c>
      <c r="H14" s="401">
        <v>2</v>
      </c>
      <c r="I14" s="335">
        <v>8.6</v>
      </c>
      <c r="J14" s="520">
        <f t="shared" si="11"/>
        <v>1.3096949773860913</v>
      </c>
      <c r="K14" s="330">
        <f t="shared" si="12"/>
        <v>34.4</v>
      </c>
      <c r="L14" s="330">
        <f t="shared" si="13"/>
        <v>77.399999999999991</v>
      </c>
      <c r="M14" s="421">
        <v>7.9</v>
      </c>
      <c r="N14" s="478">
        <f t="shared" si="14"/>
        <v>98</v>
      </c>
      <c r="O14" s="478">
        <v>3</v>
      </c>
      <c r="P14" s="534">
        <f t="shared" si="15"/>
        <v>0.65465367070797709</v>
      </c>
      <c r="Q14" s="534">
        <f t="shared" si="16"/>
        <v>0.75498344352707503</v>
      </c>
      <c r="R14" s="351">
        <v>162390</v>
      </c>
      <c r="S14" s="660">
        <f t="shared" si="2"/>
        <v>3830</v>
      </c>
      <c r="T14" s="351">
        <v>12550</v>
      </c>
      <c r="U14" s="343">
        <f t="shared" si="3"/>
        <v>12.939442231075697</v>
      </c>
      <c r="V14" s="519">
        <v>0</v>
      </c>
      <c r="W14" s="520">
        <f>8+0.12</f>
        <v>8.1199999999999992</v>
      </c>
      <c r="X14" s="519">
        <f>8.4+0.22+0.22+(0.22*75/90)+(0.05*15/90)+0.17+0.17+0.17+0.17+0.17+1/7+0.16+0.16+0.16+0.125+0.16+0.16+0.14+0.14+0.05*61/90+0.11+0.11*0.5+0.11+0.11+0.11+0.1+0.1</f>
        <v>11.958412698412697</v>
      </c>
      <c r="Y14" s="520">
        <f>10.6+0.21+0.2+0.18+0.17+0.17+0.03+0.15+0.15+0.14+0.13</f>
        <v>12.13</v>
      </c>
      <c r="Z14" s="519">
        <f>6+0.33+0.33+0.33+0.3+0.25+0.25+0.24+0.24+0.23+0.2+0.2+0.18+0.15+0.15+0.15+0.15+0.13+0.13+0.12+0.1+0.08</f>
        <v>10.24</v>
      </c>
      <c r="AA14" s="520">
        <f>4.7+0.33+0.33+(0.33*85/90)+0.33+0.32+0.3+0.3+0.27+0.21+0.15*0.5</f>
        <v>7.4766666666666666</v>
      </c>
      <c r="AB14" s="519">
        <f>9+0.67+0.67+0.67+0.55+0.55+0.45+0.45*70/90+0.4+0.35+0.35+0.3+0.25+0.25+0.25+0.21</f>
        <v>15.270000000000001</v>
      </c>
      <c r="AC14" s="351">
        <v>1694</v>
      </c>
      <c r="AD14" s="637">
        <f t="shared" si="4"/>
        <v>9.340669064018341</v>
      </c>
      <c r="AE14" s="637">
        <f t="shared" si="5"/>
        <v>10.785675597044397</v>
      </c>
      <c r="AF14" s="343">
        <f t="shared" si="17"/>
        <v>3.030153296724357</v>
      </c>
      <c r="AG14" s="343">
        <f t="shared" si="18"/>
        <v>12.712845695968625</v>
      </c>
      <c r="AH14" s="343">
        <f t="shared" si="19"/>
        <v>8.4659812695955594</v>
      </c>
      <c r="AI14" s="343">
        <f t="shared" si="6"/>
        <v>1.0567089315242206</v>
      </c>
      <c r="AJ14" s="343">
        <f t="shared" si="7"/>
        <v>0.97957864841702647</v>
      </c>
      <c r="AK14" s="338">
        <f t="shared" si="8"/>
        <v>11.466912344255483</v>
      </c>
      <c r="AL14" s="338">
        <f t="shared" si="9"/>
        <v>13.240849857459493</v>
      </c>
      <c r="AM14" s="478">
        <v>3</v>
      </c>
      <c r="AN14" s="478">
        <v>2</v>
      </c>
      <c r="AO14" s="624">
        <f t="shared" si="20"/>
        <v>0.1158</v>
      </c>
      <c r="AP14" s="288">
        <v>158560</v>
      </c>
      <c r="AQ14">
        <f t="shared" si="21"/>
        <v>158560</v>
      </c>
      <c r="AR14" s="422">
        <f t="shared" si="22"/>
        <v>-3830</v>
      </c>
    </row>
    <row r="15" spans="1:44" s="289" customFormat="1" x14ac:dyDescent="0.25">
      <c r="A15" s="416" t="s">
        <v>446</v>
      </c>
      <c r="B15" s="285" t="s">
        <v>65</v>
      </c>
      <c r="C15" s="417">
        <f t="shared" ca="1" si="10"/>
        <v>4.7678571428571432</v>
      </c>
      <c r="D15" s="692" t="s">
        <v>754</v>
      </c>
      <c r="E15" s="228">
        <v>29</v>
      </c>
      <c r="F15" s="229">
        <f ca="1">7-41471+$D$1-112-111-3-112-112-112-112-112-112-112-112-112-112-112-112</f>
        <v>26</v>
      </c>
      <c r="G15" s="420" t="s">
        <v>308</v>
      </c>
      <c r="H15" s="401">
        <v>3</v>
      </c>
      <c r="I15" s="232">
        <v>10.4</v>
      </c>
      <c r="J15" s="520">
        <f t="shared" si="11"/>
        <v>1.4092064684486303</v>
      </c>
      <c r="K15" s="330">
        <f t="shared" si="12"/>
        <v>93.600000000000009</v>
      </c>
      <c r="L15" s="330">
        <f t="shared" si="13"/>
        <v>166.4</v>
      </c>
      <c r="M15" s="323">
        <v>7.9</v>
      </c>
      <c r="N15" s="478">
        <f t="shared" si="14"/>
        <v>98</v>
      </c>
      <c r="O15" s="479">
        <v>6</v>
      </c>
      <c r="P15" s="534">
        <f t="shared" si="15"/>
        <v>0.92582009977255142</v>
      </c>
      <c r="Q15" s="534">
        <f t="shared" si="16"/>
        <v>0.99928545900129484</v>
      </c>
      <c r="R15" s="351">
        <v>216160</v>
      </c>
      <c r="S15" s="660">
        <f t="shared" si="2"/>
        <v>5420</v>
      </c>
      <c r="T15" s="661">
        <v>21080</v>
      </c>
      <c r="U15" s="343">
        <f t="shared" si="3"/>
        <v>10.25426944971537</v>
      </c>
      <c r="V15" s="519">
        <v>0</v>
      </c>
      <c r="W15" s="520">
        <f>5.6+0.26+0.26+0.26+(0.26*23/90)+(0.05*(90-23)/90)+0.26+0.26+0.23+0.23+0.22+0.15+0.15+0.14+0.13+0.13+0.13+0.12+0.12+0.12+0.02+0.1+0.1+0.1</f>
        <v>9.1936666666666653</v>
      </c>
      <c r="X15" s="519">
        <f>13+0.1+0.1+0.1+0.1+0.1</f>
        <v>13.499999999999998</v>
      </c>
      <c r="Y15" s="520">
        <f>11.58+0.17+(0.17/2)+0.17+0.15+0.03+0.15+0.14+0.13+0.12</f>
        <v>12.725000000000001</v>
      </c>
      <c r="Z15" s="519">
        <f>5.21+0.4+0.4+0.33+0.33+0.33+0.33+0.3+0.3+0.23+0.23+0.22*30/90+0.15+0.15+0.15+0.13+0.12+0.11+0.11+0.08+0.07+0.07+0.07</f>
        <v>9.6733333333333356</v>
      </c>
      <c r="AA15" s="520">
        <f>2.9+0.33+(0.33*46/90)+0.03+0.07+0.07+(0.33*33/90)+0.33+0.33+0.33+0.25+0.2*0.5</f>
        <v>5.0296666666666656</v>
      </c>
      <c r="AB15" s="519">
        <f>15+0.2</f>
        <v>15.2</v>
      </c>
      <c r="AC15" s="351">
        <v>1791</v>
      </c>
      <c r="AD15" s="637">
        <f t="shared" si="4"/>
        <v>14.72906311992123</v>
      </c>
      <c r="AE15" s="637">
        <f t="shared" si="5"/>
        <v>15.909206468448629</v>
      </c>
      <c r="AF15" s="343">
        <f t="shared" si="17"/>
        <v>4.312927465355342</v>
      </c>
      <c r="AG15" s="343">
        <f t="shared" si="18"/>
        <v>14.385941686346632</v>
      </c>
      <c r="AH15" s="343">
        <f t="shared" si="19"/>
        <v>11.247695810126748</v>
      </c>
      <c r="AI15" s="343">
        <f t="shared" si="6"/>
        <v>0.94021985080922366</v>
      </c>
      <c r="AJ15" s="343">
        <f t="shared" si="7"/>
        <v>1.0273911194580709</v>
      </c>
      <c r="AK15" s="338">
        <f t="shared" si="8"/>
        <v>16.25373882653081</v>
      </c>
      <c r="AL15" s="338">
        <f t="shared" si="9"/>
        <v>17.556044452398375</v>
      </c>
      <c r="AM15" s="479">
        <v>3</v>
      </c>
      <c r="AN15" s="479">
        <v>3</v>
      </c>
      <c r="AO15" s="624">
        <f t="shared" si="20"/>
        <v>0.1158</v>
      </c>
      <c r="AP15" s="289">
        <v>210740</v>
      </c>
      <c r="AQ15">
        <f t="shared" si="21"/>
        <v>210740</v>
      </c>
      <c r="AR15" s="422">
        <f t="shared" si="22"/>
        <v>-5420</v>
      </c>
    </row>
    <row r="16" spans="1:44" x14ac:dyDescent="0.25">
      <c r="A16" s="332" t="s">
        <v>447</v>
      </c>
      <c r="B16" s="416" t="s">
        <v>65</v>
      </c>
      <c r="C16" s="417">
        <f t="shared" ca="1" si="10"/>
        <v>2.4642857142857144</v>
      </c>
      <c r="D16" s="691" t="s">
        <v>325</v>
      </c>
      <c r="E16" s="419">
        <v>31</v>
      </c>
      <c r="F16" s="427">
        <f ca="1">33-41471+$D$1-112+6-112-112-112-112-112-112-112-112-112-112-112-112-112</f>
        <v>60</v>
      </c>
      <c r="G16" s="420" t="s">
        <v>308</v>
      </c>
      <c r="H16" s="426">
        <v>4</v>
      </c>
      <c r="I16" s="335">
        <v>10.9</v>
      </c>
      <c r="J16" s="520">
        <f t="shared" si="11"/>
        <v>1.4340626151900411</v>
      </c>
      <c r="K16" s="330">
        <f t="shared" si="12"/>
        <v>174.4</v>
      </c>
      <c r="L16" s="330">
        <f t="shared" si="13"/>
        <v>272.5</v>
      </c>
      <c r="M16" s="421">
        <v>7.1</v>
      </c>
      <c r="N16" s="478">
        <f t="shared" si="14"/>
        <v>90</v>
      </c>
      <c r="O16" s="478">
        <v>6</v>
      </c>
      <c r="P16" s="534">
        <f t="shared" si="15"/>
        <v>0.92582009977255142</v>
      </c>
      <c r="Q16" s="534">
        <f t="shared" si="16"/>
        <v>0.99928545900129484</v>
      </c>
      <c r="R16" s="351">
        <v>105790</v>
      </c>
      <c r="S16" s="660">
        <f t="shared" si="2"/>
        <v>-1110</v>
      </c>
      <c r="T16" s="351">
        <v>16970</v>
      </c>
      <c r="U16" s="343">
        <f t="shared" si="3"/>
        <v>6.2339422510312312</v>
      </c>
      <c r="V16" s="519">
        <v>0</v>
      </c>
      <c r="W16" s="520">
        <f>5.25+0.25+0.25+0.25+0.24+0.24+0.24+0.24+0.23+0.22+0.17+(0.17*25/90)+0.16+0.16+0.03+0.15+0.14+0.14+0.13+0.02+0.11*33/90+0.01</f>
        <v>8.6075555555555585</v>
      </c>
      <c r="X16" s="519">
        <f>11.65+0.13+0.13+0.13+0.11+0.11+0.11+0.1+0.1+0.1+0.1+0.1+0.1+0.1+0.1+0.1+0.1+0.091*83/90+0.091+0.091+0.091+0.091+0.091+0.091+1/21+1/21</f>
        <v>14.09516031746031</v>
      </c>
      <c r="Y16" s="520">
        <v>9.99</v>
      </c>
      <c r="Z16" s="519">
        <f>6.01+0.25+0.25+0.25+0.25+0.25+0.25+0.25+0.25+0.24+0.21+0.2+0.2+0.15+0.13+0.13+0.12+0.11+0.11+0.11+0.1+0.08+0.07+0.06+0.06</f>
        <v>10.09</v>
      </c>
      <c r="AA16" s="520">
        <f>3.79+0.04+0.04+0.03+0.03+0.21+0.03+0.03+0.2*45/90+0.2*0.5</f>
        <v>4.3999999999999995</v>
      </c>
      <c r="AB16" s="519">
        <f>10.7+0.5+0.5*80/90+0.5+0.45+0.45+0.45+0.45+0.35+0.3+0.3+0.25+0.25+0.25+0.25+0.25+0.2+0.2</f>
        <v>16.544444444444441</v>
      </c>
      <c r="AC16" s="351">
        <v>1778</v>
      </c>
      <c r="AD16" s="637">
        <f t="shared" si="4"/>
        <v>15.303086824669094</v>
      </c>
      <c r="AE16" s="637">
        <f t="shared" si="5"/>
        <v>16.529222932650352</v>
      </c>
      <c r="AF16" s="343">
        <f t="shared" si="17"/>
        <v>4.3501674982568481</v>
      </c>
      <c r="AG16" s="343">
        <f t="shared" si="18"/>
        <v>14.153681070224152</v>
      </c>
      <c r="AH16" s="343">
        <f t="shared" si="19"/>
        <v>11.944107976065657</v>
      </c>
      <c r="AI16" s="343">
        <f t="shared" si="6"/>
        <v>0.9510583425485365</v>
      </c>
      <c r="AJ16" s="343">
        <f t="shared" si="7"/>
        <v>1.0460199386188584</v>
      </c>
      <c r="AK16" s="338">
        <f t="shared" si="8"/>
        <v>17.523626377782975</v>
      </c>
      <c r="AL16" s="338">
        <f t="shared" si="9"/>
        <v>18.92767977503194</v>
      </c>
      <c r="AM16" s="478">
        <v>2</v>
      </c>
      <c r="AN16" s="478">
        <v>2</v>
      </c>
      <c r="AO16" s="624">
        <f t="shared" si="20"/>
        <v>6.1499999999999999E-2</v>
      </c>
      <c r="AP16">
        <v>106900</v>
      </c>
      <c r="AQ16">
        <f t="shared" si="21"/>
        <v>106900</v>
      </c>
      <c r="AR16" s="422">
        <f t="shared" si="22"/>
        <v>1110</v>
      </c>
    </row>
    <row r="17" spans="1:44" s="4" customFormat="1" x14ac:dyDescent="0.25">
      <c r="A17" s="416" t="s">
        <v>444</v>
      </c>
      <c r="B17" s="416" t="s">
        <v>65</v>
      </c>
      <c r="C17" s="417">
        <f t="shared" ca="1" si="10"/>
        <v>3.5178571428571428</v>
      </c>
      <c r="D17" s="691" t="s">
        <v>312</v>
      </c>
      <c r="E17" s="419">
        <v>30</v>
      </c>
      <c r="F17" s="427">
        <f ca="1">33-41471+$D$1-112-112-112-112-112-112-112-112-112-112-112-112-112-112</f>
        <v>54</v>
      </c>
      <c r="G17" s="420"/>
      <c r="H17" s="401">
        <v>3</v>
      </c>
      <c r="I17" s="335">
        <v>9</v>
      </c>
      <c r="J17" s="520">
        <f t="shared" si="11"/>
        <v>1.3333333333333333</v>
      </c>
      <c r="K17" s="330">
        <f t="shared" si="12"/>
        <v>81</v>
      </c>
      <c r="L17" s="330">
        <f t="shared" si="13"/>
        <v>144</v>
      </c>
      <c r="M17" s="421">
        <v>7.3</v>
      </c>
      <c r="N17" s="478">
        <f t="shared" si="14"/>
        <v>92</v>
      </c>
      <c r="O17" s="478">
        <v>6</v>
      </c>
      <c r="P17" s="534">
        <f t="shared" si="15"/>
        <v>0.92582009977255142</v>
      </c>
      <c r="Q17" s="534">
        <f t="shared" si="16"/>
        <v>0.99928545900129484</v>
      </c>
      <c r="R17" s="351">
        <v>80420</v>
      </c>
      <c r="S17" s="660">
        <f t="shared" si="2"/>
        <v>3440</v>
      </c>
      <c r="T17" s="351">
        <v>11270</v>
      </c>
      <c r="U17" s="343">
        <f t="shared" si="3"/>
        <v>7.1357586512866016</v>
      </c>
      <c r="V17" s="519">
        <v>0</v>
      </c>
      <c r="W17" s="520">
        <f>7.5+0.2+0.2+0.2+0.2+0.2+0.16+0.16+0.14+0.14+0.13+0.13+0.12+0.12+0.12+0.12+0.11+0.1+0.1+0.1+0.1</f>
        <v>10.349999999999996</v>
      </c>
      <c r="X17" s="519">
        <f>10.8+0.08+(0.16*77/90)+0.08+0.07+((0.07*37/90)+0.14*53/90)+(0.07*23/90)+0.06+0.06+0.06+0.06+0.06+0.12+0.1+0.1+0.1*0.5*32/90+0.1*0.5+0.1+0.1+0.1+0.1*0.16+0.1*0.5+0.1+0.1+0.1+0.1</f>
        <v>12.749777777777778</v>
      </c>
      <c r="Y17" s="520">
        <f>4.85+0.05+0.05+0.05+0.03+0.03+0.02+0.02+0.02</f>
        <v>5.1199999999999983</v>
      </c>
      <c r="Z17" s="519">
        <f>8.95+0.08+0.07+0.07+0.07</f>
        <v>9.24</v>
      </c>
      <c r="AA17" s="520">
        <v>2.98</v>
      </c>
      <c r="AB17" s="519">
        <f>11+0.5+0.5+0.5+0.45+0.45+0.45+0.4+0.35+0.33+0.33+0.3+0.3+0.3+0.2+0.2+0.2+0.2</f>
        <v>16.959999999999997</v>
      </c>
      <c r="AC17" s="351">
        <v>1451</v>
      </c>
      <c r="AD17" s="637">
        <f t="shared" si="4"/>
        <v>13.964247433769369</v>
      </c>
      <c r="AE17" s="637">
        <f t="shared" si="5"/>
        <v>15.083111111111112</v>
      </c>
      <c r="AF17" s="343">
        <f t="shared" si="17"/>
        <v>4.3201080405636683</v>
      </c>
      <c r="AG17" s="343">
        <f t="shared" si="18"/>
        <v>11.976840860037615</v>
      </c>
      <c r="AH17" s="343">
        <f t="shared" si="19"/>
        <v>11.81901939369639</v>
      </c>
      <c r="AI17" s="343">
        <f t="shared" si="6"/>
        <v>0.88446666666666651</v>
      </c>
      <c r="AJ17" s="343">
        <f t="shared" si="7"/>
        <v>1.1211333333333333</v>
      </c>
      <c r="AK17" s="338">
        <f t="shared" si="8"/>
        <v>17.805671518976791</v>
      </c>
      <c r="AL17" s="338">
        <f t="shared" si="9"/>
        <v>19.232323345919099</v>
      </c>
      <c r="AM17" s="478">
        <v>4</v>
      </c>
      <c r="AN17" s="478">
        <v>1</v>
      </c>
      <c r="AO17" s="624">
        <f t="shared" si="20"/>
        <v>0.157</v>
      </c>
      <c r="AP17" s="4">
        <v>76980</v>
      </c>
      <c r="AQ17">
        <f t="shared" si="21"/>
        <v>76980</v>
      </c>
      <c r="AR17" s="422">
        <f t="shared" si="22"/>
        <v>-3440</v>
      </c>
    </row>
    <row r="18" spans="1:44" s="288" customFormat="1" x14ac:dyDescent="0.25">
      <c r="A18" s="332" t="s">
        <v>451</v>
      </c>
      <c r="B18" s="285" t="s">
        <v>65</v>
      </c>
      <c r="C18" s="417">
        <f t="shared" ca="1" si="10"/>
        <v>3.7410714285714284</v>
      </c>
      <c r="D18" s="692" t="s">
        <v>440</v>
      </c>
      <c r="E18" s="228">
        <v>30</v>
      </c>
      <c r="F18" s="229">
        <f ca="1">7-41471+$D$1-112-111-112-112-112-112-112-112-112-112-112-112-112-112</f>
        <v>29</v>
      </c>
      <c r="G18" s="287"/>
      <c r="H18" s="401">
        <v>0</v>
      </c>
      <c r="I18" s="232">
        <v>8</v>
      </c>
      <c r="J18" s="520">
        <f t="shared" si="11"/>
        <v>1.2723233459190999</v>
      </c>
      <c r="K18" s="330">
        <f t="shared" si="12"/>
        <v>0</v>
      </c>
      <c r="L18" s="330">
        <f t="shared" si="13"/>
        <v>8</v>
      </c>
      <c r="M18" s="323">
        <v>7.5</v>
      </c>
      <c r="N18" s="478">
        <f t="shared" si="14"/>
        <v>94</v>
      </c>
      <c r="O18" s="479">
        <v>7</v>
      </c>
      <c r="P18" s="534">
        <f t="shared" si="15"/>
        <v>1</v>
      </c>
      <c r="Q18" s="534">
        <f t="shared" si="16"/>
        <v>1</v>
      </c>
      <c r="R18" s="351">
        <v>87770</v>
      </c>
      <c r="S18" s="660">
        <f t="shared" si="2"/>
        <v>1040</v>
      </c>
      <c r="T18" s="661">
        <v>20790</v>
      </c>
      <c r="U18" s="343">
        <f t="shared" si="3"/>
        <v>4.2217412217412216</v>
      </c>
      <c r="V18" s="519">
        <v>0</v>
      </c>
      <c r="W18" s="520">
        <f>3.4+0.06+0.06+0.06+0.06+0.06+0.06+0.06+0.06+(0.06*40/90)+(0.25*35/90)+0.06+(0.25*35/90)+0.05+0.25+0.05+0.05+0.22+0.2+0.15+0.15</f>
        <v>5.2811111111111115</v>
      </c>
      <c r="X18" s="519">
        <f>11.7+0.13+0.13+0.13+0.12+0.12+0.12+0.1+0.1+0.1+0.1+0.1+0.1+0.091+0.091*33/90+0.1+0.091+0.091+0.091+0.091+0.091+0.091+0.091+0.092+1/21+1/21+1/21+1/21</f>
        <v>14.193842857142847</v>
      </c>
      <c r="Y18" s="520">
        <f>3.0625+0.06+0.06+0.06+0.05+0.05+0.05+0.04+0.03+0.03</f>
        <v>3.4924999999999993</v>
      </c>
      <c r="Z18" s="519">
        <f>4.21+0.4+0.4+0.4+0.33+0.33+0.33+0.15+0.33+0.3+0.25+0.2+0.22+0.15+0.15+0.15+0.02+0.15+0.14+0.13+0.11+0.08+0.07+0.07+0.07</f>
        <v>9.1400000000000041</v>
      </c>
      <c r="AA18" s="520">
        <f>5.75+0.28+(0.28*44/90)+0.28+0.28+0.28+0.04+0.04+0.25+0.02+0.15*0.5</f>
        <v>7.4318888888888894</v>
      </c>
      <c r="AB18" s="519">
        <f>11+0.67+0.5+0.5+0.5+0.45+0.35+0.3+0.3+0.3+0.3+0.25+0.25+0.2+0.2</f>
        <v>16.07</v>
      </c>
      <c r="AC18" s="351">
        <v>1497</v>
      </c>
      <c r="AD18" s="637">
        <f t="shared" si="4"/>
        <v>16.466166203061949</v>
      </c>
      <c r="AE18" s="637">
        <f t="shared" si="5"/>
        <v>16.466166203061949</v>
      </c>
      <c r="AF18" s="343">
        <f t="shared" si="17"/>
        <v>3.9847601436085522</v>
      </c>
      <c r="AG18" s="343">
        <f t="shared" si="18"/>
        <v>19.702270150036767</v>
      </c>
      <c r="AH18" s="343">
        <f t="shared" si="19"/>
        <v>13.478566666666666</v>
      </c>
      <c r="AI18" s="343">
        <f t="shared" si="6"/>
        <v>1.0754803121179726</v>
      </c>
      <c r="AJ18" s="343">
        <f t="shared" si="7"/>
        <v>0.88740707865878155</v>
      </c>
      <c r="AK18" s="338">
        <f t="shared" si="8"/>
        <v>18.274119982655925</v>
      </c>
      <c r="AL18" s="338">
        <f t="shared" si="9"/>
        <v>18.274119982655925</v>
      </c>
      <c r="AM18" s="479">
        <v>2</v>
      </c>
      <c r="AN18" s="479">
        <v>1</v>
      </c>
      <c r="AO18" s="624">
        <f t="shared" si="20"/>
        <v>6.1499999999999999E-2</v>
      </c>
      <c r="AP18" s="288">
        <v>86730</v>
      </c>
      <c r="AQ18">
        <f t="shared" si="21"/>
        <v>86730</v>
      </c>
      <c r="AR18" s="422">
        <f t="shared" si="22"/>
        <v>-1040</v>
      </c>
    </row>
    <row r="19" spans="1:44" s="289" customFormat="1" ht="14.25" customHeight="1" x14ac:dyDescent="0.25">
      <c r="A19" s="332" t="s">
        <v>598</v>
      </c>
      <c r="B19" s="285" t="s">
        <v>65</v>
      </c>
      <c r="C19" s="417">
        <f t="shared" ca="1" si="10"/>
        <v>5.1875</v>
      </c>
      <c r="D19" s="692" t="s">
        <v>454</v>
      </c>
      <c r="E19" s="228">
        <v>28</v>
      </c>
      <c r="F19" s="229">
        <f ca="1">59-41471+$D$1-325-112-112-112-112-112-112-112-112-112-112-112</f>
        <v>91</v>
      </c>
      <c r="G19" s="287"/>
      <c r="H19" s="401">
        <v>2</v>
      </c>
      <c r="I19" s="232">
        <v>4</v>
      </c>
      <c r="J19" s="520">
        <f t="shared" si="11"/>
        <v>0.93196000578135851</v>
      </c>
      <c r="K19" s="330">
        <f t="shared" si="12"/>
        <v>16</v>
      </c>
      <c r="L19" s="330">
        <f t="shared" si="13"/>
        <v>36</v>
      </c>
      <c r="M19" s="323">
        <v>7.1</v>
      </c>
      <c r="N19" s="478">
        <f t="shared" si="14"/>
        <v>90</v>
      </c>
      <c r="O19" s="479">
        <v>5</v>
      </c>
      <c r="P19" s="534">
        <f t="shared" si="15"/>
        <v>0.84515425472851657</v>
      </c>
      <c r="Q19" s="534">
        <f t="shared" si="16"/>
        <v>0.92504826128926143</v>
      </c>
      <c r="R19" s="351">
        <v>29860</v>
      </c>
      <c r="S19" s="660">
        <f t="shared" si="2"/>
        <v>2830</v>
      </c>
      <c r="T19" s="661">
        <v>3310</v>
      </c>
      <c r="U19" s="343">
        <f t="shared" si="3"/>
        <v>9.021148036253777</v>
      </c>
      <c r="V19" s="519">
        <v>0</v>
      </c>
      <c r="W19" s="520">
        <f>4.45+0.06+0.2+0.06+0.06+(0.06*68/90)+0.06+0.06+0.06+0.04+(0.22*35/90)+0.04+0.04+0.04+0.04+0.04+0.04*0.5+0.2*66/90+0.02+0.12*33/90+0.02</f>
        <v>5.6315555555555523</v>
      </c>
      <c r="X19" s="519">
        <f>8.7+0.13+0.13+0.13+0.08+(0.08*53/90)+0.02+0.01+0.02+(0.13*30/90)+(0.13*60/90*0.16)+0.02+0.02+0.143*0.5+0.143*57/90+0.143*61/90*0.5+0.02+0.143*0.5+0.14+0.01+0.01</f>
        <v>9.8263388888888876</v>
      </c>
      <c r="Y19" s="520">
        <f>6.8+0.04+0.04+0.04+0.03+0.03+0.03*17/90+0.18*33/90+0.03*3/90</f>
        <v>7.0526666666666671</v>
      </c>
      <c r="Z19" s="519">
        <f>5.2+0.38+0.38+0.33+0.3+0.3+0.3+0.3+0.28+0.25+0.2+0.2+0.15+0.15*40/90+0.14+0.13+0.12+0.12+0.11+0.01</f>
        <v>9.2666666666666639</v>
      </c>
      <c r="AA19" s="520">
        <f>3.07+0.07+0.07+0.07+0.07+0.07+(0.07*28/90)+0.07+0.03</f>
        <v>3.5417777777777766</v>
      </c>
      <c r="AB19" s="519">
        <f>10+0.65+0.65+0.5+0.4+0.25</f>
        <v>12.450000000000001</v>
      </c>
      <c r="AC19" s="351">
        <v>962</v>
      </c>
      <c r="AD19" s="637">
        <f t="shared" si="4"/>
        <v>9.9375763392001719</v>
      </c>
      <c r="AE19" s="637">
        <f t="shared" si="5"/>
        <v>10.886069455819088</v>
      </c>
      <c r="AF19" s="343">
        <f t="shared" si="17"/>
        <v>3.3236503372666748</v>
      </c>
      <c r="AG19" s="343">
        <f t="shared" si="18"/>
        <v>8.8753728050518816</v>
      </c>
      <c r="AH19" s="343">
        <f t="shared" si="19"/>
        <v>8.2635238974165617</v>
      </c>
      <c r="AI19" s="343">
        <f t="shared" si="6"/>
        <v>0.74514568935139747</v>
      </c>
      <c r="AJ19" s="343">
        <f t="shared" si="7"/>
        <v>0.76899942262691712</v>
      </c>
      <c r="AK19" s="338">
        <f t="shared" si="8"/>
        <v>12.045769477128738</v>
      </c>
      <c r="AL19" s="338">
        <f t="shared" si="9"/>
        <v>13.195479330261239</v>
      </c>
      <c r="AM19" s="479">
        <v>1</v>
      </c>
      <c r="AN19" s="479">
        <v>2</v>
      </c>
      <c r="AO19" s="624">
        <f t="shared" si="20"/>
        <v>4.9399999999999999E-2</v>
      </c>
      <c r="AP19" s="289">
        <v>27030</v>
      </c>
      <c r="AQ19">
        <f t="shared" si="21"/>
        <v>27030</v>
      </c>
      <c r="AR19" s="422">
        <f t="shared" si="22"/>
        <v>-2830</v>
      </c>
    </row>
    <row r="20" spans="1:44" s="288" customFormat="1" x14ac:dyDescent="0.25">
      <c r="A20" s="331" t="s">
        <v>719</v>
      </c>
      <c r="B20" s="285" t="s">
        <v>65</v>
      </c>
      <c r="C20" s="417">
        <f t="shared" ca="1" si="10"/>
        <v>5.125</v>
      </c>
      <c r="D20" s="692" t="s">
        <v>441</v>
      </c>
      <c r="E20" s="228">
        <v>28</v>
      </c>
      <c r="F20" s="229">
        <f ca="1">7-41471+$D$1-112-111-43-112-112-112-112-112-112-112-112-112-112-112</f>
        <v>98</v>
      </c>
      <c r="G20" s="287" t="s">
        <v>311</v>
      </c>
      <c r="H20" s="426">
        <v>4</v>
      </c>
      <c r="I20" s="232">
        <v>1.2</v>
      </c>
      <c r="J20" s="520">
        <f t="shared" si="11"/>
        <v>0.45656357442960838</v>
      </c>
      <c r="K20" s="330">
        <f t="shared" si="12"/>
        <v>19.2</v>
      </c>
      <c r="L20" s="330">
        <f t="shared" si="13"/>
        <v>30</v>
      </c>
      <c r="M20" s="323">
        <v>6.9</v>
      </c>
      <c r="N20" s="478">
        <f t="shared" si="14"/>
        <v>88</v>
      </c>
      <c r="O20" s="479">
        <v>5</v>
      </c>
      <c r="P20" s="534">
        <f t="shared" si="15"/>
        <v>0.84515425472851657</v>
      </c>
      <c r="Q20" s="534">
        <f t="shared" si="16"/>
        <v>0.92504826128926143</v>
      </c>
      <c r="R20" s="661">
        <v>5080</v>
      </c>
      <c r="S20" s="660">
        <f t="shared" si="2"/>
        <v>-300</v>
      </c>
      <c r="T20" s="661">
        <v>690</v>
      </c>
      <c r="U20" s="343">
        <f t="shared" si="3"/>
        <v>7.36231884057971</v>
      </c>
      <c r="V20" s="519">
        <v>0</v>
      </c>
      <c r="W20" s="520">
        <f>2+0.05+0.05+0.05+0.05+0.05+(0.25*31/90)+0.05+0.04+0.03+0.02</f>
        <v>2.47611111111111</v>
      </c>
      <c r="X20" s="519">
        <f>7.1+0.01+0.02+0.04+0.04+0.04+0.02+0.02</f>
        <v>7.2899999999999983</v>
      </c>
      <c r="Y20" s="520">
        <v>4.1588235294117641</v>
      </c>
      <c r="Z20" s="519">
        <f>6+(0.35/3)+(0.35/3)+0.32+(0.3*60/90)+0.3*61/90+0.04+0.04+0.06+0.15*29/90+0.12</f>
        <v>7.2649999999999988</v>
      </c>
      <c r="AA20" s="520">
        <f>4+0.06+0.06+0.06+0.06+0.06+0.03</f>
        <v>4.3299999999999983</v>
      </c>
      <c r="AB20" s="519">
        <f>9+0.5</f>
        <v>9.5</v>
      </c>
      <c r="AC20" s="351">
        <v>634</v>
      </c>
      <c r="AD20" s="637">
        <f t="shared" si="4"/>
        <v>7.3921954191826451</v>
      </c>
      <c r="AE20" s="637">
        <f t="shared" si="5"/>
        <v>8.0977443611453843</v>
      </c>
      <c r="AF20" s="343">
        <f t="shared" si="17"/>
        <v>2.4166976563336884</v>
      </c>
      <c r="AG20" s="343">
        <f t="shared" si="18"/>
        <v>7.7220100425204024</v>
      </c>
      <c r="AH20" s="343">
        <f t="shared" si="19"/>
        <v>6.7181311708369771</v>
      </c>
      <c r="AI20" s="343">
        <f t="shared" si="6"/>
        <v>0.65802508595436859</v>
      </c>
      <c r="AJ20" s="343">
        <f t="shared" si="7"/>
        <v>0.52100389465451702</v>
      </c>
      <c r="AK20" s="338">
        <f t="shared" si="8"/>
        <v>8.9633468306385637</v>
      </c>
      <c r="AL20" s="338">
        <f t="shared" si="9"/>
        <v>9.818854499766358</v>
      </c>
      <c r="AM20" s="479">
        <v>0</v>
      </c>
      <c r="AN20" s="479">
        <v>2</v>
      </c>
      <c r="AO20" s="624">
        <f t="shared" si="20"/>
        <v>2.63E-2</v>
      </c>
      <c r="AP20" s="288">
        <v>5380</v>
      </c>
      <c r="AQ20">
        <f t="shared" si="21"/>
        <v>5380</v>
      </c>
      <c r="AR20" s="422">
        <f t="shared" si="22"/>
        <v>300</v>
      </c>
    </row>
    <row r="21" spans="1:44" s="288" customFormat="1" x14ac:dyDescent="0.25">
      <c r="A21" s="331" t="s">
        <v>764</v>
      </c>
      <c r="B21" s="416" t="s">
        <v>67</v>
      </c>
      <c r="C21" s="417">
        <f t="shared" ca="1" si="10"/>
        <v>5.5</v>
      </c>
      <c r="D21" s="692" t="s">
        <v>1057</v>
      </c>
      <c r="E21" s="228">
        <v>28</v>
      </c>
      <c r="F21" s="229">
        <f ca="1">64-41471+$D$1-112-112-29-112-112-112-112-112-112-112-112-112-112-112-112</f>
        <v>56</v>
      </c>
      <c r="G21" s="287" t="s">
        <v>595</v>
      </c>
      <c r="H21" s="426">
        <v>1</v>
      </c>
      <c r="I21" s="232">
        <v>8.6</v>
      </c>
      <c r="J21" s="520">
        <f t="shared" si="11"/>
        <v>1.3096949773860913</v>
      </c>
      <c r="K21" s="330">
        <f t="shared" si="12"/>
        <v>8.6</v>
      </c>
      <c r="L21" s="330">
        <f t="shared" si="13"/>
        <v>34.4</v>
      </c>
      <c r="M21" s="323">
        <v>6.2</v>
      </c>
      <c r="N21" s="478">
        <f t="shared" si="14"/>
        <v>81</v>
      </c>
      <c r="O21" s="479">
        <v>6</v>
      </c>
      <c r="P21" s="534">
        <f t="shared" si="15"/>
        <v>0.92582009977255142</v>
      </c>
      <c r="Q21" s="534">
        <f t="shared" si="16"/>
        <v>0.99928545900129484</v>
      </c>
      <c r="R21" s="661">
        <v>273190</v>
      </c>
      <c r="S21" s="660">
        <f t="shared" si="2"/>
        <v>0</v>
      </c>
      <c r="T21" s="661">
        <f>42600</f>
        <v>42600</v>
      </c>
      <c r="U21" s="343">
        <f t="shared" si="3"/>
        <v>6.4129107981220654</v>
      </c>
      <c r="V21" s="519">
        <v>0</v>
      </c>
      <c r="W21" s="520">
        <v>2</v>
      </c>
      <c r="X21" s="519">
        <v>14.5</v>
      </c>
      <c r="Y21" s="520">
        <v>12</v>
      </c>
      <c r="Z21" s="519">
        <v>12</v>
      </c>
      <c r="AA21" s="520">
        <v>8</v>
      </c>
      <c r="AB21" s="519">
        <v>2</v>
      </c>
      <c r="AC21" s="351">
        <v>1782</v>
      </c>
      <c r="AD21" s="637">
        <f t="shared" ref="AD21" si="23">(X21+1+J21)*(O21/7)^0.5</f>
        <v>15.562753481109747</v>
      </c>
      <c r="AE21" s="637">
        <f t="shared" ref="AE21" si="24">(X21+1+J21)*(IF(O21=7, (O21/7)^0.5, ((O21+1)/7)^0.5))</f>
        <v>16.809694977386091</v>
      </c>
      <c r="AF21" s="343">
        <f t="shared" ref="AF21" si="25">(((W21+1.5+J21)+(Z21+1.5+J21)*2)/8)*(O21/7)^0.5</f>
        <v>3.9843923558710528</v>
      </c>
      <c r="AG21" s="343">
        <f t="shared" ref="AG21" si="26">(1.66*(AA21+J21+1.5)+0.55*(AB21+J21+1.5)-7.6)*(O21/7)^0.5</f>
        <v>12.025871582747696</v>
      </c>
      <c r="AH21" s="343">
        <f t="shared" ref="AH21" si="27">(AB21*0.7+AA21*0.3)*(O21/7)^0.5</f>
        <v>3.5181163791356953</v>
      </c>
      <c r="AI21" s="343">
        <f t="shared" ref="AI21" si="28">(0.5*(AA21+1.5+J21)+ 0.3*(AB21+1.5+J21))/10</f>
        <v>0.68477559819088729</v>
      </c>
      <c r="AJ21" s="343">
        <f t="shared" ref="AJ21" si="29">(0.4*(W21+1.5+J21)+0.3*(AB21+1.5+J21))/10</f>
        <v>0.33667864841702644</v>
      </c>
      <c r="AK21" s="338">
        <f t="shared" ref="AK21" si="30">(AB21+1+(LOG(I21)*4/3))*(O21/7)^0.5</f>
        <v>3.9310302318078074</v>
      </c>
      <c r="AL21" s="338">
        <f t="shared" ref="AL21" si="31">(AB21+1+(LOG(I21)*4/3))*(IF(O21=7, (O21/7)^0.5, ((O21+1)/7)^0.5))</f>
        <v>4.2459979349914239</v>
      </c>
      <c r="AM21" s="479">
        <v>3</v>
      </c>
      <c r="AN21" s="479">
        <v>3</v>
      </c>
      <c r="AO21" s="624">
        <f t="shared" si="20"/>
        <v>0.1158</v>
      </c>
      <c r="AP21" s="288">
        <v>273190</v>
      </c>
      <c r="AQ21">
        <f t="shared" si="21"/>
        <v>273190</v>
      </c>
      <c r="AR21" s="422">
        <f t="shared" si="22"/>
        <v>0</v>
      </c>
    </row>
    <row r="22" spans="1:44" s="272" customFormat="1" x14ac:dyDescent="0.25">
      <c r="A22" s="416" t="s">
        <v>599</v>
      </c>
      <c r="B22" s="416" t="s">
        <v>67</v>
      </c>
      <c r="C22" s="417">
        <f t="shared" ca="1" si="10"/>
        <v>4.4107142857142856</v>
      </c>
      <c r="D22" s="691" t="s">
        <v>327</v>
      </c>
      <c r="E22" s="419">
        <v>29</v>
      </c>
      <c r="F22" s="427">
        <f ca="1">74-41471+$D$1-112-112-29-112-112-112-112-112-112-112-112-112-112-112-112</f>
        <v>66</v>
      </c>
      <c r="G22" s="420" t="s">
        <v>336</v>
      </c>
      <c r="H22" s="401">
        <v>3</v>
      </c>
      <c r="I22" s="335">
        <v>9.9</v>
      </c>
      <c r="J22" s="520">
        <f t="shared" si="11"/>
        <v>1.383235330587498</v>
      </c>
      <c r="K22" s="330">
        <f t="shared" si="12"/>
        <v>89.100000000000009</v>
      </c>
      <c r="L22" s="330">
        <f t="shared" si="13"/>
        <v>158.4</v>
      </c>
      <c r="M22" s="421">
        <v>7.5</v>
      </c>
      <c r="N22" s="478">
        <f t="shared" si="14"/>
        <v>94</v>
      </c>
      <c r="O22" s="478">
        <v>7</v>
      </c>
      <c r="P22" s="534">
        <f t="shared" si="15"/>
        <v>1</v>
      </c>
      <c r="Q22" s="534">
        <f t="shared" si="16"/>
        <v>1</v>
      </c>
      <c r="R22" s="351">
        <v>50990</v>
      </c>
      <c r="S22" s="660">
        <f t="shared" si="2"/>
        <v>190</v>
      </c>
      <c r="T22" s="351">
        <v>2360</v>
      </c>
      <c r="U22" s="343">
        <f t="shared" si="3"/>
        <v>21.60593220338983</v>
      </c>
      <c r="V22" s="519">
        <v>0</v>
      </c>
      <c r="W22" s="520">
        <f>5+(5/7)+0.07+0.21+0.07+0.07+0.07+0.07+0.07+0.07+0.06+0.03+0.03+0.03+0.03+0.03+0.2*33/90+0.03+0.03+0.02+0.02+0.01+0.01</f>
        <v>6.8176190476190497</v>
      </c>
      <c r="X22" s="519">
        <f>8+1/8*0.5+1/8*0.5+1/8+1/8*0.5</f>
        <v>8.3125</v>
      </c>
      <c r="Y22" s="520">
        <f>7.9+0.165+0.165+0.21+0.13+0.03+0.03+0.03+0.02+0.02+0.02</f>
        <v>8.7199999999999971</v>
      </c>
      <c r="Z22" s="519">
        <f>5.1+0.33+0.33+0.33+0.3+0.29+0.04+0.28+0.28+0.27+0.27+0.27+0.22+0.22+0.15+0.15+0.15+0.14+0.13+0.12+0.11+0.1+0.08+0.01+0.01+0.01</f>
        <v>9.6900000000000013</v>
      </c>
      <c r="AA22" s="520">
        <f>6.48+0.25+0.25+0.23+0.21+0.21+0.2+0.19+0.17+0.16+0.15+1/16</f>
        <v>8.5625000000000018</v>
      </c>
      <c r="AB22" s="519">
        <f>17.99+0.2+0.15+0.15+0.15</f>
        <v>18.639999999999993</v>
      </c>
      <c r="AC22" s="351">
        <v>1314</v>
      </c>
      <c r="AD22" s="637">
        <f t="shared" si="4"/>
        <v>10.695735330587498</v>
      </c>
      <c r="AE22" s="637">
        <f t="shared" si="5"/>
        <v>10.695735330587498</v>
      </c>
      <c r="AF22" s="343">
        <f t="shared" si="17"/>
        <v>4.3559156299226931</v>
      </c>
      <c r="AG22" s="343">
        <f t="shared" si="18"/>
        <v>23.237700080598373</v>
      </c>
      <c r="AH22" s="343">
        <f t="shared" si="19"/>
        <v>15.616749999999996</v>
      </c>
      <c r="AI22" s="343">
        <f t="shared" si="6"/>
        <v>1.2179838264469995</v>
      </c>
      <c r="AJ22" s="343">
        <f t="shared" si="7"/>
        <v>1.0337312350458867</v>
      </c>
      <c r="AK22" s="338">
        <f t="shared" si="8"/>
        <v>20.967513592796728</v>
      </c>
      <c r="AL22" s="338">
        <f t="shared" si="9"/>
        <v>20.967513592796728</v>
      </c>
      <c r="AM22" s="478">
        <v>4</v>
      </c>
      <c r="AN22" s="478">
        <v>2</v>
      </c>
      <c r="AO22" s="624">
        <f t="shared" si="20"/>
        <v>0.157</v>
      </c>
      <c r="AP22" s="272">
        <v>50800</v>
      </c>
      <c r="AQ22">
        <f t="shared" si="21"/>
        <v>50800</v>
      </c>
      <c r="AR22" s="422">
        <f t="shared" si="22"/>
        <v>-190</v>
      </c>
    </row>
    <row r="23" spans="1:44" s="284" customFormat="1" x14ac:dyDescent="0.25">
      <c r="A23" s="416" t="s">
        <v>703</v>
      </c>
      <c r="B23" s="416" t="s">
        <v>67</v>
      </c>
      <c r="C23" s="417">
        <f t="shared" ca="1" si="10"/>
        <v>3.7946428571428572</v>
      </c>
      <c r="D23" s="691" t="s">
        <v>1027</v>
      </c>
      <c r="E23" s="419">
        <v>30</v>
      </c>
      <c r="F23" s="229">
        <f ca="1">-41471+$D$1-748-112-112-12-112-112-112-22-112-112</f>
        <v>23</v>
      </c>
      <c r="G23" s="420" t="s">
        <v>308</v>
      </c>
      <c r="H23" s="401">
        <v>3</v>
      </c>
      <c r="I23" s="335">
        <v>10.1</v>
      </c>
      <c r="J23" s="520">
        <f t="shared" si="11"/>
        <v>1.3937639717155432</v>
      </c>
      <c r="K23" s="330">
        <f t="shared" si="12"/>
        <v>90.899999999999991</v>
      </c>
      <c r="L23" s="330">
        <f t="shared" si="13"/>
        <v>161.6</v>
      </c>
      <c r="M23" s="421">
        <v>7.5</v>
      </c>
      <c r="N23" s="478">
        <f t="shared" si="14"/>
        <v>94</v>
      </c>
      <c r="O23" s="478">
        <v>5</v>
      </c>
      <c r="P23" s="534">
        <f t="shared" si="15"/>
        <v>0.84515425472851657</v>
      </c>
      <c r="Q23" s="534">
        <f t="shared" si="16"/>
        <v>0.92504826128926143</v>
      </c>
      <c r="R23" s="351">
        <v>260020</v>
      </c>
      <c r="S23" s="660">
        <f t="shared" si="2"/>
        <v>-14380</v>
      </c>
      <c r="T23" s="351">
        <v>34128</v>
      </c>
      <c r="U23" s="343">
        <f t="shared" si="3"/>
        <v>7.6189639006094705</v>
      </c>
      <c r="V23" s="519">
        <v>0</v>
      </c>
      <c r="W23" s="520">
        <v>2</v>
      </c>
      <c r="X23" s="519">
        <f>14+0.09*0.16+0.09*0.5+0.09*0.16+0.01+0.01</f>
        <v>14.0938</v>
      </c>
      <c r="Y23" s="520">
        <v>3</v>
      </c>
      <c r="Z23" s="519">
        <f>15+0.01+0.01</f>
        <v>15.02</v>
      </c>
      <c r="AA23" s="520">
        <v>10</v>
      </c>
      <c r="AB23" s="519">
        <f>9+0.3</f>
        <v>9.3000000000000007</v>
      </c>
      <c r="AC23" s="351">
        <v>1915</v>
      </c>
      <c r="AD23" s="637">
        <f t="shared" si="4"/>
        <v>13.934534840803989</v>
      </c>
      <c r="AE23" s="637">
        <f t="shared" si="5"/>
        <v>15.264518121300007</v>
      </c>
      <c r="AF23" s="343">
        <f t="shared" si="17"/>
        <v>4.3019716400160144</v>
      </c>
      <c r="AG23" s="343">
        <f t="shared" si="18"/>
        <v>17.334298327147824</v>
      </c>
      <c r="AH23" s="343">
        <f t="shared" si="19"/>
        <v>8.0374169624681926</v>
      </c>
      <c r="AI23" s="343">
        <f t="shared" si="6"/>
        <v>1.0105011177372434</v>
      </c>
      <c r="AJ23" s="343">
        <f t="shared" si="7"/>
        <v>0.56156347802008799</v>
      </c>
      <c r="AK23" s="338">
        <f t="shared" si="8"/>
        <v>9.8368307999266413</v>
      </c>
      <c r="AL23" s="338">
        <f t="shared" si="9"/>
        <v>10.775708246962816</v>
      </c>
      <c r="AM23" s="478">
        <v>1</v>
      </c>
      <c r="AN23" s="478">
        <v>3</v>
      </c>
      <c r="AO23" s="624">
        <f t="shared" si="20"/>
        <v>4.9399999999999999E-2</v>
      </c>
      <c r="AP23" s="284">
        <v>274400</v>
      </c>
      <c r="AQ23">
        <f t="shared" si="21"/>
        <v>274400</v>
      </c>
      <c r="AR23" s="422">
        <f t="shared" si="22"/>
        <v>14380</v>
      </c>
    </row>
    <row r="24" spans="1:44" s="289" customFormat="1" x14ac:dyDescent="0.25">
      <c r="A24" s="416" t="s">
        <v>633</v>
      </c>
      <c r="B24" s="416" t="s">
        <v>67</v>
      </c>
      <c r="C24" s="417">
        <f t="shared" ca="1" si="10"/>
        <v>7.1339285714285712</v>
      </c>
      <c r="D24" s="692" t="s">
        <v>634</v>
      </c>
      <c r="E24" s="228">
        <v>26</v>
      </c>
      <c r="F24" s="229">
        <f ca="1">7-41471+$D$1-112-111-43-112-112-1-112-112-112-112-112-112-112-112-112</f>
        <v>97</v>
      </c>
      <c r="G24" s="287"/>
      <c r="H24" s="428">
        <v>5</v>
      </c>
      <c r="I24" s="232">
        <v>5.3</v>
      </c>
      <c r="J24" s="520">
        <f t="shared" si="11"/>
        <v>1.0657873992714422</v>
      </c>
      <c r="K24" s="330">
        <f t="shared" si="12"/>
        <v>132.5</v>
      </c>
      <c r="L24" s="330">
        <f t="shared" si="13"/>
        <v>190.79999999999998</v>
      </c>
      <c r="M24" s="323">
        <v>7.6</v>
      </c>
      <c r="N24" s="478">
        <f t="shared" si="14"/>
        <v>95</v>
      </c>
      <c r="O24" s="479">
        <v>5</v>
      </c>
      <c r="P24" s="534">
        <f t="shared" si="15"/>
        <v>0.84515425472851657</v>
      </c>
      <c r="Q24" s="534">
        <f t="shared" si="16"/>
        <v>0.92504826128926143</v>
      </c>
      <c r="R24" s="661">
        <v>32230</v>
      </c>
      <c r="S24" s="660">
        <f t="shared" si="2"/>
        <v>-5330</v>
      </c>
      <c r="T24" s="661">
        <v>3070</v>
      </c>
      <c r="U24" s="343">
        <f t="shared" si="3"/>
        <v>10.498371335504887</v>
      </c>
      <c r="V24" s="519">
        <v>0</v>
      </c>
      <c r="W24" s="520">
        <v>4</v>
      </c>
      <c r="X24" s="519">
        <f>4.6+0.05+0.05+0.05+0.04+0.04+0.16+(0.16*30/90)+(0.16*60/90*0.16)+0.04+0.04+0.04+0.25/8+0.04+0.04+0.04+0.04+0.04+0.04+0.02+0.02*10/90+0.02+0.02</f>
        <v>5.5138722222222212</v>
      </c>
      <c r="Y24" s="520">
        <f>4.9+0.25+0.05+0.05+0.05+0.04+0.03+0.03+0.03+0.02+0.02</f>
        <v>5.47</v>
      </c>
      <c r="Z24" s="519">
        <f>7.1+0.31+0.31+0.31+0.25+0.25+0.25+0.23+0.2+0.2+0.2+0.17+0.15+0.15+0.13+0.13+0.13+0.11+0.1+0.1+0.01+0.01</f>
        <v>10.799999999999999</v>
      </c>
      <c r="AA24" s="520">
        <f>6.5+0.25+0.25+0.25+0.24+0.24+0.22+0.21+0.18*1/90+0.16+1/16</f>
        <v>8.384500000000001</v>
      </c>
      <c r="AB24" s="519">
        <f>9+1*5/90+0.65+0.65*61/90+0.65*52/90+0.55+0.55*27/90+0.55+0.5+0.5+0.3+0.25*0.6+0.25+(0.2*36/90)</f>
        <v>13.566666666666668</v>
      </c>
      <c r="AC24" s="351">
        <v>962</v>
      </c>
      <c r="AD24" s="637">
        <f t="shared" si="4"/>
        <v>6.4059815784993068</v>
      </c>
      <c r="AE24" s="637">
        <f t="shared" si="5"/>
        <v>7.0174012270132424</v>
      </c>
      <c r="AF24" s="343">
        <f t="shared" si="17"/>
        <v>3.5176759165899054</v>
      </c>
      <c r="AG24" s="343">
        <f t="shared" si="18"/>
        <v>16.438526466985824</v>
      </c>
      <c r="AH24" s="343">
        <f t="shared" si="19"/>
        <v>10.152006993703187</v>
      </c>
      <c r="AI24" s="343">
        <f t="shared" si="6"/>
        <v>1.0314879919417155</v>
      </c>
      <c r="AJ24" s="343">
        <f t="shared" si="7"/>
        <v>0.74660511794900086</v>
      </c>
      <c r="AK24" s="338">
        <f t="shared" si="8"/>
        <v>13.127246754265796</v>
      </c>
      <c r="AL24" s="338">
        <f t="shared" si="9"/>
        <v>14.380178330495704</v>
      </c>
      <c r="AM24" s="479">
        <v>2</v>
      </c>
      <c r="AN24" s="479">
        <v>1</v>
      </c>
      <c r="AO24" s="624">
        <f t="shared" si="20"/>
        <v>6.1499999999999999E-2</v>
      </c>
      <c r="AP24" s="289">
        <v>37560</v>
      </c>
      <c r="AQ24">
        <f t="shared" si="21"/>
        <v>37560</v>
      </c>
      <c r="AR24" s="422">
        <f>AQ24-R24</f>
        <v>5330</v>
      </c>
    </row>
    <row r="25" spans="1:44" x14ac:dyDescent="0.25">
      <c r="G25" s="4"/>
      <c r="H25"/>
      <c r="I25" s="309"/>
      <c r="J25" s="521"/>
      <c r="K25"/>
      <c r="R25" s="262">
        <f>SUM(R5:R24)+R3</f>
        <v>2271460</v>
      </c>
      <c r="S25" s="262">
        <f>SUM(S5:S24)</f>
        <v>23010</v>
      </c>
      <c r="T25" s="262">
        <f>SUM(T5:T24)+T3</f>
        <v>301740</v>
      </c>
      <c r="U25" s="342">
        <f t="shared" si="3"/>
        <v>7.5278716776032342</v>
      </c>
      <c r="V25"/>
      <c r="AB25" s="339"/>
      <c r="AC25" s="262">
        <f>AVERAGE(AC5:AC24)</f>
        <v>1461.7</v>
      </c>
      <c r="AF25" s="262"/>
      <c r="AG25" s="262"/>
      <c r="AH25" s="262"/>
      <c r="AI25" s="262"/>
      <c r="AJ25" s="262"/>
      <c r="AK25" s="262"/>
      <c r="AL25" s="262"/>
    </row>
    <row r="26" spans="1:44" x14ac:dyDescent="0.25">
      <c r="G26" s="489"/>
      <c r="K26" s="489"/>
      <c r="M26" s="489"/>
      <c r="N26" s="489"/>
      <c r="O26" s="489"/>
      <c r="R26" s="340"/>
      <c r="S26" s="340"/>
      <c r="T26" s="340">
        <f>T25-T3</f>
        <v>301416</v>
      </c>
      <c r="U26" s="320"/>
      <c r="AC26" s="320"/>
      <c r="AF26" s="320"/>
      <c r="AG26" s="320"/>
      <c r="AH26" s="320"/>
      <c r="AI26" s="320"/>
      <c r="AJ26" s="320"/>
      <c r="AK26" s="320"/>
      <c r="AL26" s="320"/>
    </row>
    <row r="27" spans="1:44" x14ac:dyDescent="0.25">
      <c r="I27" s="290"/>
      <c r="W27" s="159"/>
    </row>
    <row r="28" spans="1:44" x14ac:dyDescent="0.25">
      <c r="D28" s="639"/>
      <c r="I28" s="290"/>
      <c r="W28" s="159"/>
      <c r="AC28" s="694"/>
    </row>
    <row r="29" spans="1:44" x14ac:dyDescent="0.25">
      <c r="D29" s="639"/>
      <c r="I29" s="290"/>
      <c r="W29" s="159"/>
    </row>
    <row r="30" spans="1:44" x14ac:dyDescent="0.25">
      <c r="D30" s="640"/>
      <c r="I30" s="290"/>
      <c r="W30" s="159"/>
    </row>
    <row r="31" spans="1:44" x14ac:dyDescent="0.25">
      <c r="I31" s="290"/>
      <c r="W31" s="159"/>
    </row>
    <row r="32" spans="1:44" x14ac:dyDescent="0.25">
      <c r="I32" s="290"/>
      <c r="W32" s="159"/>
    </row>
    <row r="33" spans="3:38" x14ac:dyDescent="0.25">
      <c r="I33" s="290"/>
      <c r="W33" s="159"/>
    </row>
    <row r="34" spans="3:38" x14ac:dyDescent="0.25">
      <c r="I34" s="290"/>
      <c r="W34" s="159"/>
    </row>
    <row r="35" spans="3:38" x14ac:dyDescent="0.25">
      <c r="C35"/>
      <c r="D35"/>
      <c r="G35"/>
      <c r="H35"/>
      <c r="I35" s="290"/>
      <c r="K35"/>
      <c r="M35"/>
      <c r="N35"/>
      <c r="O35"/>
      <c r="P35"/>
      <c r="Q35"/>
      <c r="T35"/>
      <c r="U35"/>
      <c r="V35"/>
      <c r="AC35"/>
      <c r="AF35"/>
      <c r="AG35"/>
      <c r="AI35"/>
      <c r="AJ35"/>
      <c r="AK35"/>
      <c r="AL35"/>
    </row>
    <row r="36" spans="3:38" x14ac:dyDescent="0.25">
      <c r="C36"/>
      <c r="D36"/>
      <c r="G36"/>
      <c r="H36"/>
      <c r="I36" s="290"/>
      <c r="K36"/>
      <c r="M36"/>
      <c r="N36"/>
      <c r="O36"/>
      <c r="P36"/>
      <c r="Q36"/>
      <c r="T36"/>
      <c r="U36"/>
      <c r="V36"/>
      <c r="AC36"/>
      <c r="AF36"/>
      <c r="AG36"/>
      <c r="AI36"/>
      <c r="AJ36"/>
      <c r="AK36"/>
      <c r="AL36"/>
    </row>
    <row r="37" spans="3:38" x14ac:dyDescent="0.25">
      <c r="C37"/>
      <c r="D37"/>
      <c r="G37"/>
      <c r="H37"/>
      <c r="I37" s="290"/>
      <c r="K37"/>
      <c r="M37"/>
      <c r="N37"/>
      <c r="O37"/>
      <c r="P37"/>
      <c r="Q37"/>
      <c r="T37"/>
      <c r="U37"/>
      <c r="V37"/>
      <c r="AC37"/>
      <c r="AF37"/>
      <c r="AG37"/>
      <c r="AI37"/>
      <c r="AJ37"/>
      <c r="AK37"/>
      <c r="AL37"/>
    </row>
    <row r="38" spans="3:38" x14ac:dyDescent="0.25">
      <c r="C38"/>
      <c r="D38"/>
      <c r="G38"/>
      <c r="H38"/>
      <c r="I38" s="290"/>
      <c r="K38"/>
      <c r="M38"/>
      <c r="N38"/>
      <c r="O38"/>
      <c r="P38"/>
      <c r="Q38"/>
      <c r="T38"/>
      <c r="U38"/>
      <c r="V38"/>
      <c r="AC38"/>
      <c r="AF38"/>
      <c r="AG38"/>
      <c r="AI38"/>
      <c r="AJ38"/>
      <c r="AK38"/>
      <c r="AL38"/>
    </row>
  </sheetData>
  <sortState ref="A6:AR28">
    <sortCondition descending="1" ref="B6:B28"/>
  </sortState>
  <mergeCells count="1">
    <mergeCell ref="E1:G1"/>
  </mergeCells>
  <conditionalFormatting sqref="N6:N24">
    <cfRule type="cellIs" dxfId="378" priority="450" operator="greaterThan">
      <formula>82</formula>
    </cfRule>
    <cfRule type="cellIs" dxfId="377" priority="451" operator="lessThan">
      <formula>79</formula>
    </cfRule>
  </conditionalFormatting>
  <conditionalFormatting sqref="O6:O24">
    <cfRule type="cellIs" dxfId="376" priority="424" operator="greaterThan">
      <formula>6</formula>
    </cfRule>
    <cfRule type="cellIs" dxfId="375" priority="425" operator="lessThan">
      <formula>5</formula>
    </cfRule>
  </conditionalFormatting>
  <conditionalFormatting sqref="P6:Q24">
    <cfRule type="cellIs" dxfId="374" priority="418" operator="greaterThan">
      <formula>0.95</formula>
    </cfRule>
    <cfRule type="cellIs" dxfId="373" priority="419" operator="lessThan">
      <formula>0.85</formula>
    </cfRule>
  </conditionalFormatting>
  <conditionalFormatting sqref="N5">
    <cfRule type="cellIs" dxfId="372" priority="299" operator="greaterThan">
      <formula>82</formula>
    </cfRule>
    <cfRule type="cellIs" dxfId="371" priority="300" operator="lessThan">
      <formula>79</formula>
    </cfRule>
  </conditionalFormatting>
  <conditionalFormatting sqref="O5">
    <cfRule type="cellIs" dxfId="370" priority="297" operator="greaterThan">
      <formula>6</formula>
    </cfRule>
    <cfRule type="cellIs" dxfId="369" priority="298" operator="lessThan">
      <formula>5</formula>
    </cfRule>
  </conditionalFormatting>
  <conditionalFormatting sqref="P5:Q5">
    <cfRule type="cellIs" dxfId="368" priority="295" operator="greaterThan">
      <formula>0.95</formula>
    </cfRule>
    <cfRule type="cellIs" dxfId="367" priority="296" operator="lessThan">
      <formula>0.85</formula>
    </cfRule>
  </conditionalFormatting>
  <conditionalFormatting sqref="AF5:AF24">
    <cfRule type="cellIs" dxfId="366" priority="29" operator="lessThan">
      <formula>3.6</formula>
    </cfRule>
    <cfRule type="cellIs" dxfId="365" priority="30" operator="greaterThan">
      <formula>3.6</formula>
    </cfRule>
  </conditionalFormatting>
  <conditionalFormatting sqref="AG5:AG24">
    <cfRule type="cellIs" dxfId="364" priority="26" operator="lessThan">
      <formula>12</formula>
    </cfRule>
    <cfRule type="cellIs" dxfId="363" priority="27" operator="between">
      <formula>12</formula>
      <formula>14</formula>
    </cfRule>
    <cfRule type="cellIs" dxfId="362" priority="28" operator="greaterThan">
      <formula>14</formula>
    </cfRule>
  </conditionalFormatting>
  <conditionalFormatting sqref="AH5:AH24">
    <cfRule type="cellIs" dxfId="361" priority="24" operator="lessThan">
      <formula>7.5</formula>
    </cfRule>
    <cfRule type="cellIs" dxfId="360" priority="25" operator="greaterThan">
      <formula>10</formula>
    </cfRule>
  </conditionalFormatting>
  <conditionalFormatting sqref="AI5:AJ24">
    <cfRule type="cellIs" dxfId="359" priority="22" operator="lessThan">
      <formula>0.7</formula>
    </cfRule>
    <cfRule type="cellIs" dxfId="358" priority="23" operator="greaterThan">
      <formula>0.8</formula>
    </cfRule>
  </conditionalFormatting>
  <conditionalFormatting sqref="AK5:AL24">
    <cfRule type="cellIs" dxfId="357" priority="20" operator="lessThan">
      <formula>10</formula>
    </cfRule>
    <cfRule type="cellIs" dxfId="356" priority="21" operator="greaterThan">
      <formula>14</formula>
    </cfRule>
  </conditionalFormatting>
  <conditionalFormatting sqref="AM5:AM24">
    <cfRule type="cellIs" dxfId="355" priority="17" operator="lessThan">
      <formula>3</formula>
    </cfRule>
    <cfRule type="cellIs" dxfId="354" priority="18" operator="equal">
      <formula>3</formula>
    </cfRule>
    <cfRule type="cellIs" dxfId="353" priority="19" operator="equal">
      <formula>4</formula>
    </cfRule>
  </conditionalFormatting>
  <conditionalFormatting sqref="AN5:AN24">
    <cfRule type="cellIs" dxfId="352" priority="15" operator="greaterThan">
      <formula>0</formula>
    </cfRule>
    <cfRule type="cellIs" dxfId="351" priority="16" operator="equal">
      <formula>0</formula>
    </cfRule>
  </conditionalFormatting>
  <conditionalFormatting sqref="AO5:AO24">
    <cfRule type="cellIs" dxfId="350" priority="13" operator="lessThan">
      <formula>0.07</formula>
    </cfRule>
    <cfRule type="cellIs" dxfId="349" priority="14" operator="greaterThan">
      <formula>0.1</formula>
    </cfRule>
  </conditionalFormatting>
  <conditionalFormatting sqref="AD5:AE24">
    <cfRule type="cellIs" dxfId="348" priority="12" operator="greaterThan">
      <formula>12</formula>
    </cfRule>
  </conditionalFormatting>
  <conditionalFormatting sqref="I5:I24">
    <cfRule type="cellIs" dxfId="347" priority="7" operator="lessThan">
      <formula>3</formula>
    </cfRule>
    <cfRule type="cellIs" dxfId="346" priority="8" operator="greaterThan">
      <formula>7</formula>
    </cfRule>
  </conditionalFormatting>
  <conditionalFormatting sqref="T5:T24">
    <cfRule type="dataBar" priority="1663">
      <dataBar>
        <cfvo type="min"/>
        <cfvo type="max"/>
        <color rgb="FFFF555A"/>
      </dataBar>
      <extLst>
        <ext xmlns:x14="http://schemas.microsoft.com/office/spreadsheetml/2009/9/main" uri="{B025F937-C7B1-47D3-B67F-A62EFF666E3E}">
          <x14:id>{E7C097D9-B680-432D-BF62-5F3C642AF0AD}</x14:id>
        </ext>
      </extLst>
    </cfRule>
  </conditionalFormatting>
  <conditionalFormatting sqref="U5:U24">
    <cfRule type="dataBar" priority="1665">
      <dataBar>
        <cfvo type="min"/>
        <cfvo type="max"/>
        <color rgb="FFFFB628"/>
      </dataBar>
      <extLst>
        <ext xmlns:x14="http://schemas.microsoft.com/office/spreadsheetml/2009/9/main" uri="{B025F937-C7B1-47D3-B67F-A62EFF666E3E}">
          <x14:id>{3567EDC3-F608-464A-AE0A-1EA832FCF3E8}</x14:id>
        </ext>
      </extLst>
    </cfRule>
  </conditionalFormatting>
  <conditionalFormatting sqref="V5:AB24">
    <cfRule type="colorScale" priority="1672">
      <colorScale>
        <cfvo type="min"/>
        <cfvo type="max"/>
        <color rgb="FFFFEF9C"/>
        <color rgb="FF63BE7B"/>
      </colorScale>
    </cfRule>
  </conditionalFormatting>
  <conditionalFormatting sqref="R5:R24">
    <cfRule type="dataBar" priority="1675">
      <dataBar>
        <cfvo type="min"/>
        <cfvo type="max"/>
        <color rgb="FF638EC6"/>
      </dataBar>
      <extLst>
        <ext xmlns:x14="http://schemas.microsoft.com/office/spreadsheetml/2009/9/main" uri="{B025F937-C7B1-47D3-B67F-A62EFF666E3E}">
          <x14:id>{6526EE56-1374-458B-BF7F-FE05CE7F5717}</x14:id>
        </ext>
      </extLst>
    </cfRule>
  </conditionalFormatting>
  <conditionalFormatting sqref="S5:S24">
    <cfRule type="dataBar" priority="167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79">
      <colorScale>
        <cfvo type="min"/>
        <cfvo type="max"/>
        <color rgb="FFFFEF9C"/>
        <color rgb="FF63BE7B"/>
      </colorScale>
    </cfRule>
  </conditionalFormatting>
  <conditionalFormatting sqref="C3">
    <cfRule type="colorScale" priority="1846">
      <colorScale>
        <cfvo type="min"/>
        <cfvo type="max"/>
        <color rgb="FFFFEF9C"/>
        <color rgb="FF63BE7B"/>
      </colorScale>
    </cfRule>
  </conditionalFormatting>
  <conditionalFormatting sqref="U3">
    <cfRule type="dataBar" priority="1847">
      <dataBar>
        <cfvo type="min"/>
        <cfvo type="max"/>
        <color rgb="FFFFB628"/>
      </dataBar>
    </cfRule>
  </conditionalFormatting>
  <conditionalFormatting sqref="AC5:AC24">
    <cfRule type="dataBar" priority="1848">
      <dataBar>
        <cfvo type="min"/>
        <cfvo type="max"/>
        <color rgb="FF008AEF"/>
      </dataBar>
      <extLst>
        <ext xmlns:x14="http://schemas.microsoft.com/office/spreadsheetml/2009/9/main" uri="{B025F937-C7B1-47D3-B67F-A62EFF666E3E}">
          <x14:id>{9C1C1947-295C-4847-A125-212D9BCEE319}</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T5:T24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U5:U24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R5:R24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S5:S24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AC5:AC24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1"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1"/>
      <c r="X1" t="s">
        <v>824</v>
      </c>
      <c r="AA1" t="s">
        <v>825</v>
      </c>
      <c r="AE1" t="s">
        <v>826</v>
      </c>
      <c r="AI1" t="s">
        <v>827</v>
      </c>
      <c r="AM1" t="s">
        <v>828</v>
      </c>
      <c r="AQ1" t="s">
        <v>823</v>
      </c>
      <c r="AX1" t="s">
        <v>829</v>
      </c>
      <c r="BE1" t="s">
        <v>596</v>
      </c>
      <c r="BJ1" t="s">
        <v>830</v>
      </c>
      <c r="BO1" t="s">
        <v>772</v>
      </c>
      <c r="BT1" t="s">
        <v>972</v>
      </c>
      <c r="BY1" t="s">
        <v>766</v>
      </c>
      <c r="CD1" t="s">
        <v>738</v>
      </c>
      <c r="CH1" t="s">
        <v>67</v>
      </c>
    </row>
    <row r="2" spans="1:89" x14ac:dyDescent="0.25">
      <c r="A2" s="522" t="s">
        <v>182</v>
      </c>
      <c r="B2" s="522" t="s">
        <v>831</v>
      </c>
      <c r="C2" s="522" t="s">
        <v>63</v>
      </c>
      <c r="D2" s="523" t="s">
        <v>832</v>
      </c>
      <c r="E2" s="522" t="s">
        <v>833</v>
      </c>
      <c r="F2" s="524" t="s">
        <v>834</v>
      </c>
      <c r="G2" s="524" t="s">
        <v>835</v>
      </c>
      <c r="H2" s="524" t="s">
        <v>836</v>
      </c>
      <c r="I2" s="525" t="s">
        <v>837</v>
      </c>
      <c r="J2" s="526" t="s">
        <v>838</v>
      </c>
      <c r="K2" s="526" t="s">
        <v>1</v>
      </c>
      <c r="L2" s="526" t="s">
        <v>2</v>
      </c>
      <c r="M2" s="526" t="s">
        <v>839</v>
      </c>
      <c r="N2" s="526" t="s">
        <v>66</v>
      </c>
      <c r="O2" s="526" t="s">
        <v>713</v>
      </c>
      <c r="P2" s="526" t="s">
        <v>840</v>
      </c>
      <c r="Q2" s="526" t="s">
        <v>0</v>
      </c>
      <c r="R2" s="527" t="s">
        <v>700</v>
      </c>
      <c r="S2" s="527" t="s">
        <v>994</v>
      </c>
      <c r="T2" s="527" t="s">
        <v>841</v>
      </c>
      <c r="U2" s="527" t="s">
        <v>842</v>
      </c>
      <c r="V2" s="527" t="s">
        <v>723</v>
      </c>
      <c r="W2" s="527" t="s">
        <v>724</v>
      </c>
      <c r="X2" s="528" t="s">
        <v>843</v>
      </c>
      <c r="Y2" s="528" t="s">
        <v>844</v>
      </c>
      <c r="Z2" s="528" t="s">
        <v>843</v>
      </c>
      <c r="AA2" s="529" t="s">
        <v>843</v>
      </c>
      <c r="AB2" s="529" t="s">
        <v>844</v>
      </c>
      <c r="AC2" s="529" t="s">
        <v>843</v>
      </c>
      <c r="AD2" s="529" t="s">
        <v>65</v>
      </c>
      <c r="AE2" s="529" t="s">
        <v>843</v>
      </c>
      <c r="AF2" s="529" t="s">
        <v>844</v>
      </c>
      <c r="AG2" s="529" t="s">
        <v>843</v>
      </c>
      <c r="AH2" s="529" t="s">
        <v>65</v>
      </c>
      <c r="AI2" s="528" t="s">
        <v>843</v>
      </c>
      <c r="AJ2" s="528" t="s">
        <v>844</v>
      </c>
      <c r="AK2" s="528" t="s">
        <v>65</v>
      </c>
      <c r="AL2" s="528" t="s">
        <v>845</v>
      </c>
      <c r="AM2" s="528" t="s">
        <v>843</v>
      </c>
      <c r="AN2" s="528" t="s">
        <v>844</v>
      </c>
      <c r="AO2" s="528" t="s">
        <v>65</v>
      </c>
      <c r="AP2" s="528" t="s">
        <v>845</v>
      </c>
      <c r="AQ2" s="528" t="s">
        <v>843</v>
      </c>
      <c r="AR2" s="528" t="s">
        <v>844</v>
      </c>
      <c r="AS2" s="528" t="s">
        <v>843</v>
      </c>
      <c r="AT2" s="528" t="s">
        <v>65</v>
      </c>
      <c r="AU2" s="528" t="s">
        <v>845</v>
      </c>
      <c r="AV2" s="528" t="s">
        <v>846</v>
      </c>
      <c r="AW2" s="528" t="s">
        <v>845</v>
      </c>
      <c r="AX2" s="528" t="s">
        <v>843</v>
      </c>
      <c r="AY2" s="528" t="s">
        <v>844</v>
      </c>
      <c r="AZ2" s="528" t="s">
        <v>843</v>
      </c>
      <c r="BA2" s="528" t="s">
        <v>65</v>
      </c>
      <c r="BB2" s="528" t="s">
        <v>845</v>
      </c>
      <c r="BC2" s="528" t="s">
        <v>846</v>
      </c>
      <c r="BD2" s="528" t="s">
        <v>845</v>
      </c>
      <c r="BE2" s="529" t="s">
        <v>843</v>
      </c>
      <c r="BF2" s="529" t="s">
        <v>844</v>
      </c>
      <c r="BG2" s="529" t="s">
        <v>65</v>
      </c>
      <c r="BH2" s="529" t="s">
        <v>845</v>
      </c>
      <c r="BI2" s="529" t="s">
        <v>846</v>
      </c>
      <c r="BJ2" s="529" t="s">
        <v>843</v>
      </c>
      <c r="BK2" s="529" t="s">
        <v>844</v>
      </c>
      <c r="BL2" s="529" t="s">
        <v>65</v>
      </c>
      <c r="BM2" s="529" t="s">
        <v>845</v>
      </c>
      <c r="BN2" s="529" t="s">
        <v>846</v>
      </c>
      <c r="BO2" s="528" t="s">
        <v>843</v>
      </c>
      <c r="BP2" s="528" t="s">
        <v>844</v>
      </c>
      <c r="BQ2" s="528" t="s">
        <v>65</v>
      </c>
      <c r="BR2" s="528" t="s">
        <v>845</v>
      </c>
      <c r="BS2" s="528" t="s">
        <v>846</v>
      </c>
      <c r="BT2" s="528" t="s">
        <v>843</v>
      </c>
      <c r="BU2" s="528" t="s">
        <v>844</v>
      </c>
      <c r="BV2" s="528" t="s">
        <v>65</v>
      </c>
      <c r="BW2" s="528" t="s">
        <v>845</v>
      </c>
      <c r="BX2" s="528" t="s">
        <v>846</v>
      </c>
      <c r="BY2" s="528" t="s">
        <v>843</v>
      </c>
      <c r="BZ2" s="528" t="s">
        <v>844</v>
      </c>
      <c r="CA2" s="528" t="s">
        <v>65</v>
      </c>
      <c r="CB2" s="528" t="s">
        <v>845</v>
      </c>
      <c r="CC2" s="528" t="s">
        <v>846</v>
      </c>
      <c r="CD2" s="529" t="s">
        <v>65</v>
      </c>
      <c r="CE2" s="529" t="s">
        <v>845</v>
      </c>
      <c r="CF2" s="529" t="s">
        <v>846</v>
      </c>
      <c r="CG2" s="529" t="s">
        <v>845</v>
      </c>
      <c r="CH2" s="528" t="s">
        <v>845</v>
      </c>
      <c r="CI2" s="528" t="s">
        <v>846</v>
      </c>
      <c r="CJ2" s="528" t="s">
        <v>845</v>
      </c>
      <c r="CK2" s="528" t="s">
        <v>65</v>
      </c>
    </row>
    <row r="3" spans="1:89" x14ac:dyDescent="0.25">
      <c r="A3" t="str">
        <f>PLANTILLA!D5</f>
        <v>D. Gehmacher</v>
      </c>
      <c r="B3" s="521">
        <f>PLANTILLA!E5</f>
        <v>29</v>
      </c>
      <c r="C3" s="371">
        <f ca="1">PLANTILLA!F5</f>
        <v>94</v>
      </c>
      <c r="D3" s="521"/>
      <c r="E3" s="317">
        <v>42468</v>
      </c>
      <c r="F3" s="371">
        <f>PLANTILLA!O5</f>
        <v>6</v>
      </c>
      <c r="G3" s="439">
        <f>(F3/7)^0.5</f>
        <v>0.92582009977255142</v>
      </c>
      <c r="H3" s="439">
        <f>IF(F3=7,1,((F3+0.99)/7)^0.5)</f>
        <v>0.99928545900129484</v>
      </c>
      <c r="I3" s="530">
        <v>1</v>
      </c>
      <c r="J3" s="531">
        <f>PLANTILLA!I5</f>
        <v>18</v>
      </c>
      <c r="K3" s="163">
        <f>PLANTILLA!V5</f>
        <v>16.666666666666668</v>
      </c>
      <c r="L3" s="163">
        <f>PLANTILLA!W5</f>
        <v>11.832727272727276</v>
      </c>
      <c r="M3" s="163">
        <f>PLANTILLA!X5</f>
        <v>2.0199999999999996</v>
      </c>
      <c r="N3" s="163">
        <f>PLANTILLA!Y5</f>
        <v>2.1199999999999992</v>
      </c>
      <c r="O3" s="163">
        <f>PLANTILLA!Z5</f>
        <v>1.0400000000000003</v>
      </c>
      <c r="P3" s="163">
        <f>PLANTILLA!AA5</f>
        <v>0.14055555555555557</v>
      </c>
      <c r="Q3" s="163">
        <f>PLANTILLA!AB5</f>
        <v>17.849999999999998</v>
      </c>
      <c r="R3" s="163">
        <f>((2*(O3+1))+(L3+1))/8</f>
        <v>2.1140909090909092</v>
      </c>
      <c r="S3" s="163">
        <f>1.66*(P3+(LOG(J3)*4/3)+I3)+0.55*(Q3+(LOG(J3)*4/3)+I3)-7.6</f>
        <v>8.3596918705932968</v>
      </c>
      <c r="T3" s="163">
        <f>(0.5*P3+ 0.3*Q3)/10</f>
        <v>0.54252777777777772</v>
      </c>
      <c r="U3" s="163">
        <f>(0.4*L3+0.3*Q3)/10</f>
        <v>1.008809090909091</v>
      </c>
      <c r="V3" s="163">
        <f ca="1">IF(TODAY()-E3&gt;335,(Q3+1+(LOG(J3)*4/3))*(F3/7)^0.5,(Q3+((TODAY()-E3)^0.5)/(336^0.5)+(LOG(J3)*4/3))*(F3/7)^0.5)</f>
        <v>19.001250901934569</v>
      </c>
      <c r="W3" s="163">
        <f ca="1">IF(F3=7,V3,IF(TODAY()-E3&gt;335,(Q3+1+(LOG(J3)*4/3))*((F3+0.99)/7)^0.5,(Q3+((TODAY()-E3)^0.5)/(336^0.5)+(LOG(J3)*4/3))*((F3+0.99)/7)^0.5))</f>
        <v>20.509031650752888</v>
      </c>
      <c r="X3" s="159">
        <f>((K3+I3+(LOG(J3)*4/3))*0.597)+((L3+I3+(LOG(J3)*4/3))*0.276)</f>
        <v>15.549969923212977</v>
      </c>
      <c r="Y3" s="159">
        <f>((K3+I3+(LOG(J3)*4/3))*0.866)+((L3+I3+(LOG(J3)*4/3))*0.425)</f>
        <v>22.913984829693582</v>
      </c>
      <c r="Z3" s="159">
        <f>X3</f>
        <v>15.549969923212977</v>
      </c>
      <c r="AA3" s="159">
        <f>((L3+I3+(LOG(J3)*4/3))*0.516)</f>
        <v>7.4853147562383491</v>
      </c>
      <c r="AB3" s="159">
        <f>(L3+I3+(LOG(J3)*4/3))*1</f>
        <v>14.50642394619835</v>
      </c>
      <c r="AC3" s="159">
        <f>AA3/2</f>
        <v>3.7426573781191745</v>
      </c>
      <c r="AD3" s="159">
        <f>(M3+I3+(LOG(J3)*4/3))*0.238</f>
        <v>1.1170998082861157</v>
      </c>
      <c r="AE3" s="159">
        <f>((L3+I3+(LOG(J3)*4/3))*0.378)</f>
        <v>5.4834282516629766</v>
      </c>
      <c r="AF3" s="159">
        <f>(L3+I3+(LOG(J3)*4/3))*0.723</f>
        <v>10.488144513101407</v>
      </c>
      <c r="AG3" s="159">
        <f>AE3/2</f>
        <v>2.7417141258314883</v>
      </c>
      <c r="AH3" s="159">
        <f>(M3+I3+(LOG(J3)*4/3))*0.385</f>
        <v>1.8070732192863637</v>
      </c>
      <c r="AI3" s="159">
        <f>((L3+I3+(LOG(J3)*4/3))*0.92)</f>
        <v>13.345910030502482</v>
      </c>
      <c r="AJ3" s="159">
        <f>(L3+I3+(LOG(J3)*4/3))*0.414</f>
        <v>6.0056595137261164</v>
      </c>
      <c r="AK3" s="159">
        <f>((M3+I3+(LOG(J3)*4/3))*0.167)</f>
        <v>0.78384734446966953</v>
      </c>
      <c r="AL3" s="159">
        <f>(N3+I3+(LOG(J3)*4/3))*0.588</f>
        <v>2.8186936440009913</v>
      </c>
      <c r="AM3" s="159">
        <f>((L3+I3+(LOG(J3)*4/3))*0.754)</f>
        <v>10.937843655433555</v>
      </c>
      <c r="AN3" s="159">
        <f>((L3+I3+(LOG(J3)*4/3))*0.708)</f>
        <v>10.270548153908431</v>
      </c>
      <c r="AO3" s="159">
        <f>((Q3+I3+(LOG(J3)*4/3))*0.167)</f>
        <v>3.4274573444696692</v>
      </c>
      <c r="AP3" s="159">
        <f>((R3+I3+(LOG(J3)*4/3))*0.288)</f>
        <v>1.3788828237778514</v>
      </c>
      <c r="AQ3" s="159">
        <f>((L3+I3+(LOG(J3)*4/3))*0.27)</f>
        <v>3.9167344654735547</v>
      </c>
      <c r="AR3" s="159">
        <f>((L3+I3+(LOG(J3)*4/3))*0.594)</f>
        <v>8.6168158240418187</v>
      </c>
      <c r="AS3" s="159">
        <f>AQ3/2</f>
        <v>1.9583672327367774</v>
      </c>
      <c r="AT3" s="159">
        <f>((M3+I3+(LOG(J3)*4/3))*0.944)</f>
        <v>4.430849659756694</v>
      </c>
      <c r="AU3" s="159">
        <f>((O3+I3+(LOG(J3)*4/3))*0.13)</f>
        <v>0.48278056755123977</v>
      </c>
      <c r="AV3" s="159">
        <f>((P3+I3+(LOG(J3)*4/3))*0.173)+((O3+I3+(LOG(J3)*4/3))*0.12)</f>
        <v>0.93250923643813599</v>
      </c>
      <c r="AW3" s="159">
        <f>AU3/2</f>
        <v>0.24139028377561988</v>
      </c>
      <c r="AX3" s="159">
        <f>((L3+I3+(LOG(J3)*4/3))*0.189)</f>
        <v>2.7417141258314883</v>
      </c>
      <c r="AY3" s="159">
        <f>((L3+I3+(LOG(J3)*4/3))*0.4)</f>
        <v>5.8025695784793401</v>
      </c>
      <c r="AZ3" s="159">
        <f>AX3/2</f>
        <v>1.3708570629157442</v>
      </c>
      <c r="BA3" s="159">
        <f>((M3+I3+(LOG(J3)*4/3))*1)</f>
        <v>4.6936966734710746</v>
      </c>
      <c r="BB3" s="159">
        <f>((O3+I3+(LOG(J3)*4/3))*0.253)</f>
        <v>0.93956525838818195</v>
      </c>
      <c r="BC3" s="159">
        <f>((P3+I3+(LOG(J3)*4/3))*0.21)+((O3+I3+(LOG(J3)*4/3))*0.341)</f>
        <v>1.8573635337492289</v>
      </c>
      <c r="BD3" s="159">
        <f>BB3/2</f>
        <v>0.46978262919409097</v>
      </c>
      <c r="BE3" s="159">
        <f>((L3+I3+(LOG(J3)*4/3))*0.291)</f>
        <v>4.2213693683437192</v>
      </c>
      <c r="BF3" s="159">
        <f>((L3+I3+(LOG(J3)*4/3))*0.348)</f>
        <v>5.0482355332770252</v>
      </c>
      <c r="BG3" s="159">
        <f>((M3+I3+(LOG(J3)*4/3))*0.881)</f>
        <v>4.1351467693280171</v>
      </c>
      <c r="BH3" s="159">
        <f>((N3+I3+(LOG(J3)*4/3))*0.574)+((O3+I3+(LOG(J3)*4/3))*0.315)</f>
        <v>3.9213963427157852</v>
      </c>
      <c r="BI3" s="159">
        <f>((O3+I3+(LOG(J3)*4/3))*0.241)</f>
        <v>0.89500089830652907</v>
      </c>
      <c r="BJ3" s="159">
        <f>((L3+I3+(LOG(J3)*4/3))*0.485)</f>
        <v>7.0356156139061996</v>
      </c>
      <c r="BK3" s="159">
        <f>((L3+I3+(LOG(J3)*4/3))*0.264)</f>
        <v>3.8296959217963646</v>
      </c>
      <c r="BL3" s="159">
        <f>((M3+I3+(LOG(J3)*4/3))*0.381)</f>
        <v>1.7882984325924793</v>
      </c>
      <c r="BM3" s="159">
        <f>((N3+I3+(LOG(J3)*4/3))*0.673)+((O3+I3+(LOG(J3)*4/3))*0.201)</f>
        <v>3.9726108926137194</v>
      </c>
      <c r="BN3" s="159">
        <f>((O3+I3+(LOG(J3)*4/3))*0.052)</f>
        <v>0.19311222702049588</v>
      </c>
      <c r="BO3" s="159">
        <f>((L3+I3+(LOG(J3)*4/3))*0.18)</f>
        <v>2.6111563103157027</v>
      </c>
      <c r="BP3" s="159">
        <f>(L3+I3+(LOG(J3)*4/3))*0.068</f>
        <v>0.98643682834148783</v>
      </c>
      <c r="BQ3" s="159">
        <f>((M3+I3+(LOG(J3)*4/3))*0.305)</f>
        <v>1.4315774854086778</v>
      </c>
      <c r="BR3" s="159">
        <f>((N3+I3+(LOG(J3)*4/3))*1)+((O3+I3+(LOG(J3)*4/3))*0.286)</f>
        <v>5.8558139220838017</v>
      </c>
      <c r="BS3" s="159">
        <f>((O3+I3+(LOG(J3)*4/3))*0.135)</f>
        <v>0.50134905091859516</v>
      </c>
      <c r="BT3" s="159">
        <f>((L3+I3+(LOG(J3)*4/3))*0.284)</f>
        <v>4.1198244007203311</v>
      </c>
      <c r="BU3" s="159">
        <f>(L3+I3+(LOG(J3)*4/3))*0.244</f>
        <v>3.5395674428723973</v>
      </c>
      <c r="BV3" s="159">
        <f>((M3+I3+(LOG(J3)*4/3))*0.455)</f>
        <v>2.1356319864293392</v>
      </c>
      <c r="BW3" s="159">
        <f>((N3+I3+(LOG(J3)*4/3))*0.864)+((O3+I3+(LOG(J3)*4/3))*0.244)</f>
        <v>5.0478959142059496</v>
      </c>
      <c r="BX3" s="159">
        <f>((O3+I3+(LOG(J3)*4/3))*0.121)</f>
        <v>0.44935729749000008</v>
      </c>
      <c r="BY3" s="159">
        <f>((L3+I3+(LOG(J3)*4/3))*0.284)</f>
        <v>4.1198244007203311</v>
      </c>
      <c r="BZ3" s="159">
        <f>((L3+I3+(LOG(J3)*4/3))*0.244)</f>
        <v>3.5395674428723973</v>
      </c>
      <c r="CA3" s="159">
        <f>((M3+I3+(LOG(J3)*4/3))*0.631)</f>
        <v>2.9617226009602482</v>
      </c>
      <c r="CB3" s="159">
        <f>((N3+I3+(LOG(J3)*4/3))*0.702)+((O3+I3+(LOG(J3)*4/3))*0.193)</f>
        <v>4.0819185227566113</v>
      </c>
      <c r="CC3" s="159">
        <f>((O3+I3+(LOG(J3)*4/3))*0.148)</f>
        <v>0.54962710767371903</v>
      </c>
      <c r="CD3" s="159">
        <f>((M3+I3+(LOG(J3)*4/3))*0.406)</f>
        <v>1.9056408494292565</v>
      </c>
      <c r="CE3" s="159">
        <f>IF(D3="TEC",((N3+I3+(LOG(J3)*4/3))*0.15)+((O3+I3+(LOG(J3)*4/3))*0.324)+((P3+I3+(LOG(J3)*4/3))*0.127),(((N3+I3+(LOG(J3)*4/3))*0.144)+((O3+I3+(LOG(J3)*4/3))*0.25)+((P3+I3+(LOG(J3)*4/3))*0.127)))</f>
        <v>1.9761265224339855</v>
      </c>
      <c r="CF3" s="159">
        <f>((O3+I3+(LOG(J3)*4/3))*0.543)+((P3+I3+(LOG(J3)*4/3))*0.583)</f>
        <v>3.6572463432173192</v>
      </c>
      <c r="CG3" s="159">
        <f>CE3</f>
        <v>1.9761265224339855</v>
      </c>
      <c r="CH3" s="159">
        <f>((P3+1+(LOG(J3)*4/3))*0.26)+((N3+I3+(LOG(J3)*4/3))*0.221)+((O3+I3+(LOG(J3)*4/3))*0.142)</f>
        <v>2.3184574720169238</v>
      </c>
      <c r="CI3" s="159">
        <f>((P3+I3+(LOG(J3)*4/3))*1)+((O3+I3+(LOG(J3)*4/3))*0.369)</f>
        <v>4.1846063015374568</v>
      </c>
      <c r="CJ3" s="159">
        <f>CH3</f>
        <v>2.3184574720169238</v>
      </c>
      <c r="CK3" s="159">
        <f>((M3+I3+(LOG(J3)*4/3))*0.25)</f>
        <v>1.1734241683677686</v>
      </c>
    </row>
    <row r="4" spans="1:89" x14ac:dyDescent="0.25">
      <c r="A4" t="str">
        <f>PLANTILLA!D6</f>
        <v>T. Hammond</v>
      </c>
      <c r="B4" s="521">
        <f>PLANTILLA!E6</f>
        <v>33</v>
      </c>
      <c r="C4" s="521">
        <f ca="1">PLANTILLA!F6</f>
        <v>103</v>
      </c>
      <c r="D4" s="521" t="str">
        <f>PLANTILLA!G6</f>
        <v>CAB</v>
      </c>
      <c r="E4" s="317">
        <v>41400</v>
      </c>
      <c r="F4" s="371">
        <f>PLANTILLA!O6</f>
        <v>5</v>
      </c>
      <c r="G4" s="439">
        <f t="shared" ref="G4:G5" si="0">(F4/7)^0.5</f>
        <v>0.84515425472851657</v>
      </c>
      <c r="H4" s="439">
        <f t="shared" ref="H4:H5" si="1">IF(F4=7,1,((F4+0.99)/7)^0.5)</f>
        <v>0.92504826128926143</v>
      </c>
      <c r="I4" s="530">
        <v>1.5</v>
      </c>
      <c r="J4" s="531">
        <f>PLANTILLA!I6</f>
        <v>7.8</v>
      </c>
      <c r="K4" s="163">
        <f>PLANTILLA!V6</f>
        <v>10.3</v>
      </c>
      <c r="L4" s="163">
        <f>PLANTILLA!W6</f>
        <v>10.794999999999998</v>
      </c>
      <c r="M4" s="163">
        <f>PLANTILLA!X6</f>
        <v>4.6100000000000012</v>
      </c>
      <c r="N4" s="163">
        <f>PLANTILLA!Y6</f>
        <v>4.99</v>
      </c>
      <c r="O4" s="163">
        <f>PLANTILLA!Z6</f>
        <v>6.5444444444444434</v>
      </c>
      <c r="P4" s="163">
        <f>PLANTILLA!AA6</f>
        <v>3.99</v>
      </c>
      <c r="Q4" s="163">
        <f>PLANTILLA!AB6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1.7372713539204461</v>
      </c>
      <c r="AE4" s="159">
        <f t="shared" ref="AE4:AE21" si="15">((L4+I4+(LOG(J4)*4/3))*0.378)</f>
        <v>5.0971256797560018</v>
      </c>
      <c r="AF4" s="159">
        <f t="shared" ref="AF4:AF21" si="16">(L4+I4+(LOG(J4)*4/3))*0.723</f>
        <v>9.7492641969936216</v>
      </c>
      <c r="AG4" s="159">
        <f t="shared" ref="AG4:AG21" si="17">AE4/2</f>
        <v>2.5485628398780009</v>
      </c>
      <c r="AH4" s="159">
        <f t="shared" ref="AH4:AH21" si="18">(M4+I4+(LOG(J4)*4/3))*0.385</f>
        <v>2.8102918960477803</v>
      </c>
      <c r="AI4" s="159">
        <f t="shared" ref="AI4:AI21" si="19">((L4+I4+(LOG(J4)*4/3))*0.92)</f>
        <v>12.405702712633655</v>
      </c>
      <c r="AJ4" s="159">
        <f t="shared" ref="AJ4:AJ21" si="20">(L4+I4+(LOG(J4)*4/3))*0.414</f>
        <v>5.5825662206851439</v>
      </c>
      <c r="AK4" s="159">
        <f t="shared" ref="AK4:AK21" si="21">((M4+I4+(LOG(J4)*4/3))*0.167)</f>
        <v>1.219009731532414</v>
      </c>
      <c r="AL4" s="159">
        <f t="shared" ref="AL4:AL21" si="22">(N4+I4+(LOG(J4)*4/3))*0.588</f>
        <v>4.5155221685093361</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6.8906897399197522</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7.299459470253975</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6.4308237932937518</v>
      </c>
      <c r="BH4" s="159">
        <f t="shared" ref="BH4:BH21" si="44">((N4+I4+(LOG(J4)*4/3))*0.574)+((O4+I4+(LOG(J4)*4/3))*0.315)</f>
        <v>7.3166894690557829</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2.7810940581667647</v>
      </c>
      <c r="BM4" s="159">
        <f t="shared" ref="BM4:BM21" si="49">((N4+I4+(LOG(J4)*4/3))*0.673)+((O4+I4+(LOG(J4)*4/3))*0.201)</f>
        <v>7.0242909103353073</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2.2263351384274621</v>
      </c>
      <c r="BR4" s="159">
        <f t="shared" ref="BR4:BR21" si="54">((N4+I4+(LOG(J4)*4/3))*1)+((O4+I4+(LOG(J4)*4/3))*0.286)</f>
        <v>10.32035598985772</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3.3212540589655588</v>
      </c>
      <c r="BW4" s="159">
        <f t="shared" ref="BW4:BW21" si="59">((N4+I4+(LOG(J4)*4/3))*0.864)+((O4+I4+(LOG(J4)*4/3))*0.244)</f>
        <v>8.8881255374858483</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4.605958925730258</v>
      </c>
      <c r="CB4" s="159">
        <f t="shared" ref="CB4:CB21" si="64">((N4+I4+(LOG(J4)*4/3))*0.702)+((O4+I4+(LOG(J4)*4/3))*0.193)</f>
        <v>7.1731240036550838</v>
      </c>
      <c r="CC4" s="159">
        <f t="shared" ref="CC4:CC21" si="65">((O4+I4+(LOG(J4)*4/3))*0.148)</f>
        <v>1.3666177793753658</v>
      </c>
      <c r="CD4" s="159">
        <f t="shared" ref="CD4:CD21" si="66">((M4+I4+(LOG(J4)*4/3))*0.406)</f>
        <v>2.9635805449231141</v>
      </c>
      <c r="CE4" s="159">
        <f t="shared" ref="CE4:CE21" si="67">IF(D4="TEC",((N4+I4+(LOG(J4)*4/3))*0.15)+((O4+I4+(LOG(J4)*4/3))*0.324)+((P4+I4+(LOG(J4)*4/3))*0.127),(((N4+I4+(LOG(J4)*4/3))*0.144)+((O4+I4+(LOG(J4)*4/3))*0.25)+((P4+I4+(LOG(J4)*4/3))*0.127)))</f>
        <v>4.2626094951134315</v>
      </c>
      <c r="CF4" s="159">
        <f t="shared" ref="CF4:CF21" si="68">((O4+I4+(LOG(J4)*4/3))*0.543)+((P4+I4+(LOG(J4)*4/3))*0.583)</f>
        <v>8.9081346968393085</v>
      </c>
      <c r="CG4" s="159">
        <f t="shared" ref="CG4:CG21" si="69">CE4</f>
        <v>4.2626094951134315</v>
      </c>
      <c r="CH4" s="159">
        <f t="shared" ref="CH4:CH21" si="70">((P4+1+(LOG(J4)*4/3))*0.26)+((N4+I4+(LOG(J4)*4/3))*0.221)+((O4+I4+(LOG(J4)*4/3))*0.142)</f>
        <v>4.6150343610793367</v>
      </c>
      <c r="CI4" s="159">
        <f t="shared" ref="CI4:CI21" si="71">((P4+I4+(LOG(J4)*4/3))*1)+((O4+I4+(LOG(J4)*4/3))*0.369)</f>
        <v>10.08677001477769</v>
      </c>
      <c r="CJ4" s="159">
        <f t="shared" ref="CJ4:CJ21" si="72">CH4</f>
        <v>4.6150343610793367</v>
      </c>
      <c r="CK4" s="159">
        <f t="shared" ref="CK4:CK21" si="73">((M4+I4+(LOG(J4)*4/3))*0.25)</f>
        <v>1.8248648675634938</v>
      </c>
    </row>
    <row r="5" spans="1:89" x14ac:dyDescent="0.25">
      <c r="A5" t="str">
        <f>PLANTILLA!D8</f>
        <v>D. Toh</v>
      </c>
      <c r="B5" s="521">
        <f>PLANTILLA!E8</f>
        <v>31</v>
      </c>
      <c r="C5" s="521">
        <f ca="1">PLANTILLA!F8</f>
        <v>39</v>
      </c>
      <c r="D5" s="521" t="str">
        <f>PLANTILLA!G8</f>
        <v>CAB</v>
      </c>
      <c r="E5" s="317">
        <v>41519</v>
      </c>
      <c r="F5" s="371">
        <f>PLANTILLA!O8</f>
        <v>5</v>
      </c>
      <c r="G5" s="439">
        <f t="shared" si="0"/>
        <v>0.84515425472851657</v>
      </c>
      <c r="H5" s="439">
        <f t="shared" si="1"/>
        <v>0.92504826128926143</v>
      </c>
      <c r="I5" s="530">
        <v>1.5</v>
      </c>
      <c r="J5" s="531">
        <f>PLANTILLA!I8</f>
        <v>7.5</v>
      </c>
      <c r="K5" s="163">
        <f>PLANTILLA!V8</f>
        <v>0</v>
      </c>
      <c r="L5" s="163">
        <f>PLANTILLA!W8</f>
        <v>11</v>
      </c>
      <c r="M5" s="163">
        <f>PLANTILLA!X8</f>
        <v>6.1594444444444418</v>
      </c>
      <c r="N5" s="163">
        <f>PLANTILLA!Y8</f>
        <v>5.98</v>
      </c>
      <c r="O5" s="163">
        <f>PLANTILLA!Z8</f>
        <v>7.7227777777777789</v>
      </c>
      <c r="P5" s="163">
        <f>PLANTILLA!AA8</f>
        <v>4.383333333333332</v>
      </c>
      <c r="Q5" s="163">
        <f>PLANTILLA!AB8</f>
        <v>15.349999999999998</v>
      </c>
      <c r="R5" s="163">
        <f t="shared" si="2"/>
        <v>3.6806944444444447</v>
      </c>
      <c r="S5" s="163">
        <f t="shared" si="3"/>
        <v>14.01234718946087</v>
      </c>
      <c r="T5" s="163">
        <f t="shared" si="4"/>
        <v>0.67966666666666653</v>
      </c>
      <c r="U5" s="163">
        <f t="shared" si="5"/>
        <v>0.90049999999999986</v>
      </c>
      <c r="V5" s="163">
        <f t="shared" ca="1" si="6"/>
        <v>14.804354398016052</v>
      </c>
      <c r="W5" s="163">
        <f t="shared" ca="1" si="7"/>
        <v>16.203837605708856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2.1006338853607431</v>
      </c>
      <c r="AE5" s="159">
        <f t="shared" si="15"/>
        <v>5.1660308767494172</v>
      </c>
      <c r="AF5" s="159">
        <f t="shared" si="16"/>
        <v>9.8810590579095994</v>
      </c>
      <c r="AG5" s="159">
        <f t="shared" si="17"/>
        <v>2.5830154383747086</v>
      </c>
      <c r="AH5" s="159">
        <f t="shared" si="18"/>
        <v>3.3980842263188493</v>
      </c>
      <c r="AI5" s="159">
        <f t="shared" si="19"/>
        <v>12.57340848309382</v>
      </c>
      <c r="AJ5" s="159">
        <f t="shared" si="20"/>
        <v>5.6580338173922184</v>
      </c>
      <c r="AK5" s="159">
        <f t="shared" si="21"/>
        <v>1.4739741968707738</v>
      </c>
      <c r="AL5" s="159">
        <f t="shared" si="22"/>
        <v>5.0842880304990929</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8.3319259990779049</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8.826192795633375</v>
      </c>
      <c r="BB5" s="159">
        <f t="shared" si="38"/>
        <v>2.6285501106285785</v>
      </c>
      <c r="BC5" s="159">
        <f t="shared" si="39"/>
        <v>5.0233455637273252</v>
      </c>
      <c r="BD5" s="159">
        <f t="shared" si="40"/>
        <v>1.3142750553142892</v>
      </c>
      <c r="BE5" s="159">
        <f t="shared" si="41"/>
        <v>3.9770237701959794</v>
      </c>
      <c r="BF5" s="159">
        <f t="shared" si="42"/>
        <v>4.7560284262137484</v>
      </c>
      <c r="BG5" s="159">
        <f t="shared" si="43"/>
        <v>7.7758758529530034</v>
      </c>
      <c r="BH5" s="159">
        <f t="shared" si="44"/>
        <v>8.2359342842069623</v>
      </c>
      <c r="BI5" s="159">
        <f t="shared" si="45"/>
        <v>2.5038757970809775</v>
      </c>
      <c r="BJ5" s="159">
        <f t="shared" si="46"/>
        <v>6.6283729503266331</v>
      </c>
      <c r="BK5" s="159">
        <f t="shared" si="47"/>
        <v>3.6080215647138787</v>
      </c>
      <c r="BL5" s="159">
        <f t="shared" si="48"/>
        <v>3.3627794551363159</v>
      </c>
      <c r="BM5" s="159">
        <f t="shared" si="49"/>
        <v>7.907556392272463</v>
      </c>
      <c r="BN5" s="159">
        <f t="shared" si="50"/>
        <v>0.54025535870626906</v>
      </c>
      <c r="BO5" s="159">
        <f t="shared" si="51"/>
        <v>2.4600147032140081</v>
      </c>
      <c r="BP5" s="159">
        <f t="shared" si="52"/>
        <v>0.92933888788084762</v>
      </c>
      <c r="BQ5" s="159">
        <f t="shared" si="53"/>
        <v>2.6919888026681793</v>
      </c>
      <c r="BR5" s="159">
        <f t="shared" si="54"/>
        <v>11.618152824073414</v>
      </c>
      <c r="BS5" s="159">
        <f t="shared" si="55"/>
        <v>1.4025860274105064</v>
      </c>
      <c r="BT5" s="159">
        <f t="shared" si="56"/>
        <v>3.8813565317376568</v>
      </c>
      <c r="BU5" s="159">
        <f t="shared" si="57"/>
        <v>3.3346865976900997</v>
      </c>
      <c r="BV5" s="159">
        <f t="shared" si="58"/>
        <v>4.0159177220131861</v>
      </c>
      <c r="BW5" s="159">
        <f t="shared" si="59"/>
        <v>10.005834950895117</v>
      </c>
      <c r="BX5" s="159">
        <f t="shared" si="60"/>
        <v>1.2571326616049723</v>
      </c>
      <c r="BY5" s="159">
        <f t="shared" si="61"/>
        <v>3.8813565317376568</v>
      </c>
      <c r="BZ5" s="159">
        <f t="shared" si="62"/>
        <v>3.3346865976900997</v>
      </c>
      <c r="CA5" s="159">
        <f t="shared" si="63"/>
        <v>5.5693276540446597</v>
      </c>
      <c r="CB5" s="159">
        <f t="shared" si="64"/>
        <v>8.0751958854252077</v>
      </c>
      <c r="CC5" s="159">
        <f t="shared" si="65"/>
        <v>1.5376498670870735</v>
      </c>
      <c r="CD5" s="159">
        <f t="shared" si="66"/>
        <v>3.5834342750271504</v>
      </c>
      <c r="CE5" s="159">
        <f t="shared" si="67"/>
        <v>4.7378736687472127</v>
      </c>
      <c r="CF5" s="159">
        <f t="shared" si="68"/>
        <v>9.7517103101054055</v>
      </c>
      <c r="CG5" s="159">
        <f t="shared" si="69"/>
        <v>4.7378736687472127</v>
      </c>
      <c r="CH5" s="159">
        <f t="shared" si="70"/>
        <v>5.0892653339018166</v>
      </c>
      <c r="CI5" s="159">
        <f t="shared" si="71"/>
        <v>10.883816826110982</v>
      </c>
      <c r="CJ5" s="159">
        <f t="shared" si="72"/>
        <v>5.0892653339018166</v>
      </c>
      <c r="CK5" s="159">
        <f t="shared" si="73"/>
        <v>2.2065481989083437</v>
      </c>
    </row>
    <row r="6" spans="1:89" x14ac:dyDescent="0.25">
      <c r="A6" t="str">
        <f>PLANTILLA!D9</f>
        <v>E. Toney</v>
      </c>
      <c r="B6" s="521">
        <f>PLANTILLA!E9</f>
        <v>30</v>
      </c>
      <c r="C6" s="521">
        <f ca="1">PLANTILLA!F9</f>
        <v>105</v>
      </c>
      <c r="D6" s="521"/>
      <c r="E6" s="317">
        <v>41539</v>
      </c>
      <c r="F6" s="371">
        <f>PLANTILLA!O9</f>
        <v>5</v>
      </c>
      <c r="G6" s="439">
        <f t="shared" ref="G6:G10" si="74">(F6/7)^0.5</f>
        <v>0.84515425472851657</v>
      </c>
      <c r="H6" s="439">
        <f>IF(F6=7,1,((F6+0.99)/7)^0.5)</f>
        <v>0.92504826128926143</v>
      </c>
      <c r="I6" s="530">
        <v>1.5</v>
      </c>
      <c r="J6" s="531">
        <f>PLANTILLA!I9</f>
        <v>12.1</v>
      </c>
      <c r="K6" s="163">
        <f>PLANTILLA!V9</f>
        <v>0</v>
      </c>
      <c r="L6" s="163">
        <f>PLANTILLA!W9</f>
        <v>12.060000000000004</v>
      </c>
      <c r="M6" s="163">
        <f>PLANTILLA!X9</f>
        <v>13.020999999999999</v>
      </c>
      <c r="N6" s="163">
        <f>PLANTILLA!Y9</f>
        <v>9.7100000000000062</v>
      </c>
      <c r="O6" s="163">
        <f>PLANTILLA!Z9</f>
        <v>9.6</v>
      </c>
      <c r="P6" s="163">
        <f>PLANTILLA!AA9</f>
        <v>3.6816666666666658</v>
      </c>
      <c r="Q6" s="163">
        <f>PLANTILLA!AB9</f>
        <v>16.627777777777773</v>
      </c>
      <c r="R6" s="163">
        <f t="shared" si="2"/>
        <v>4.2825000000000006</v>
      </c>
      <c r="S6" s="163">
        <f t="shared" si="3"/>
        <v>14.162452002310248</v>
      </c>
      <c r="T6" s="163">
        <f t="shared" si="4"/>
        <v>0.68291666666666639</v>
      </c>
      <c r="U6" s="163">
        <f t="shared" si="5"/>
        <v>0.98123333333333329</v>
      </c>
      <c r="V6" s="163">
        <f t="shared" ca="1" si="6"/>
        <v>16.118352273872002</v>
      </c>
      <c r="W6" s="163">
        <f t="shared" ca="1" si="7"/>
        <v>17.642050149274386</v>
      </c>
      <c r="X6" s="159">
        <f t="shared" si="8"/>
        <v>5.8984221710483489</v>
      </c>
      <c r="Y6" s="159">
        <f t="shared" si="9"/>
        <v>8.9258345507713841</v>
      </c>
      <c r="Z6" s="159">
        <f t="shared" si="10"/>
        <v>5.8984221710483489</v>
      </c>
      <c r="AA6" s="159">
        <f t="shared" si="11"/>
        <v>7.7419163347777191</v>
      </c>
      <c r="AB6" s="159">
        <f t="shared" si="12"/>
        <v>15.003713827088603</v>
      </c>
      <c r="AC6" s="159">
        <f t="shared" si="13"/>
        <v>3.8709581673888596</v>
      </c>
      <c r="AD6" s="159">
        <f t="shared" si="14"/>
        <v>3.7996018908470863</v>
      </c>
      <c r="AE6" s="159">
        <f t="shared" si="15"/>
        <v>5.6714038266394917</v>
      </c>
      <c r="AF6" s="159">
        <f t="shared" si="16"/>
        <v>10.84768509698506</v>
      </c>
      <c r="AG6" s="159">
        <f t="shared" si="17"/>
        <v>2.8357019133197459</v>
      </c>
      <c r="AH6" s="159">
        <f t="shared" si="18"/>
        <v>6.1464148234291107</v>
      </c>
      <c r="AI6" s="159">
        <f t="shared" si="19"/>
        <v>13.803416720921515</v>
      </c>
      <c r="AJ6" s="159">
        <f t="shared" si="20"/>
        <v>6.2115375244146813</v>
      </c>
      <c r="AK6" s="159">
        <f t="shared" si="21"/>
        <v>2.6661072091237958</v>
      </c>
      <c r="AL6" s="159">
        <f t="shared" si="22"/>
        <v>7.4403837303281</v>
      </c>
      <c r="AM6" s="159">
        <f t="shared" si="23"/>
        <v>11.312800225624807</v>
      </c>
      <c r="AN6" s="159">
        <f t="shared" si="24"/>
        <v>10.62262938957873</v>
      </c>
      <c r="AO6" s="159">
        <f t="shared" si="25"/>
        <v>3.2684390980126845</v>
      </c>
      <c r="AP6" s="159">
        <f t="shared" si="26"/>
        <v>2.0811495822015167</v>
      </c>
      <c r="AQ6" s="159">
        <f t="shared" si="27"/>
        <v>4.0510027333139229</v>
      </c>
      <c r="AR6" s="159">
        <f t="shared" si="28"/>
        <v>8.9122060132906302</v>
      </c>
      <c r="AS6" s="159">
        <f t="shared" si="29"/>
        <v>2.0255013666569615</v>
      </c>
      <c r="AT6" s="159">
        <f t="shared" si="30"/>
        <v>15.070689852771636</v>
      </c>
      <c r="AU6" s="159">
        <f t="shared" si="31"/>
        <v>1.6306827975215179</v>
      </c>
      <c r="AV6" s="159">
        <f t="shared" si="32"/>
        <v>2.6514364846702927</v>
      </c>
      <c r="AW6" s="159">
        <f t="shared" si="33"/>
        <v>0.81534139876075895</v>
      </c>
      <c r="AX6" s="159">
        <f t="shared" si="34"/>
        <v>2.8357019133197459</v>
      </c>
      <c r="AY6" s="159">
        <f t="shared" si="35"/>
        <v>6.001485530835442</v>
      </c>
      <c r="AZ6" s="159">
        <f t="shared" si="36"/>
        <v>1.4178509566598729</v>
      </c>
      <c r="BA6" s="159">
        <f t="shared" si="37"/>
        <v>15.964713827088598</v>
      </c>
      <c r="BB6" s="159">
        <f t="shared" si="38"/>
        <v>3.1735595982534157</v>
      </c>
      <c r="BC6" s="159">
        <f t="shared" si="39"/>
        <v>5.6687363187258182</v>
      </c>
      <c r="BD6" s="159">
        <f t="shared" si="40"/>
        <v>1.5867797991267079</v>
      </c>
      <c r="BE6" s="159">
        <f t="shared" si="41"/>
        <v>4.3660807236827832</v>
      </c>
      <c r="BF6" s="159">
        <f t="shared" si="42"/>
        <v>5.2212924118268331</v>
      </c>
      <c r="BG6" s="159">
        <f t="shared" si="43"/>
        <v>14.064912881665055</v>
      </c>
      <c r="BH6" s="159">
        <f t="shared" si="44"/>
        <v>11.214501592281767</v>
      </c>
      <c r="BI6" s="159">
        <f t="shared" si="45"/>
        <v>3.0230350323283521</v>
      </c>
      <c r="BJ6" s="159">
        <f t="shared" si="46"/>
        <v>7.2768012061379723</v>
      </c>
      <c r="BK6" s="159">
        <f t="shared" si="47"/>
        <v>3.9609804503513915</v>
      </c>
      <c r="BL6" s="159">
        <f t="shared" si="48"/>
        <v>6.0825559681207562</v>
      </c>
      <c r="BM6" s="159">
        <f t="shared" si="49"/>
        <v>11.037235884875441</v>
      </c>
      <c r="BN6" s="159">
        <f t="shared" si="50"/>
        <v>0.65227311900860707</v>
      </c>
      <c r="BO6" s="159">
        <f t="shared" si="51"/>
        <v>2.7006684888759485</v>
      </c>
      <c r="BP6" s="159">
        <f t="shared" si="52"/>
        <v>1.0202525402420251</v>
      </c>
      <c r="BQ6" s="159">
        <f t="shared" si="53"/>
        <v>4.8692377172620223</v>
      </c>
      <c r="BR6" s="159">
        <f t="shared" si="54"/>
        <v>16.241215981635946</v>
      </c>
      <c r="BS6" s="159">
        <f t="shared" si="55"/>
        <v>1.6934013666569609</v>
      </c>
      <c r="BT6" s="159">
        <f t="shared" si="56"/>
        <v>4.2610547268931631</v>
      </c>
      <c r="BU6" s="159">
        <f t="shared" si="57"/>
        <v>3.6609061738096189</v>
      </c>
      <c r="BV6" s="159">
        <f t="shared" si="58"/>
        <v>7.2639447913253123</v>
      </c>
      <c r="BW6" s="159">
        <f t="shared" si="59"/>
        <v>13.993474920414174</v>
      </c>
      <c r="BX6" s="159">
        <f t="shared" si="60"/>
        <v>1.5177893730777203</v>
      </c>
      <c r="BY6" s="159">
        <f t="shared" si="61"/>
        <v>4.2610547268931631</v>
      </c>
      <c r="BZ6" s="159">
        <f t="shared" si="62"/>
        <v>3.6609061738096189</v>
      </c>
      <c r="CA6" s="159">
        <f t="shared" si="63"/>
        <v>10.073734424892905</v>
      </c>
      <c r="CB6" s="159">
        <f t="shared" si="64"/>
        <v>11.303843875244299</v>
      </c>
      <c r="CC6" s="159">
        <f t="shared" si="65"/>
        <v>1.8564696464091126</v>
      </c>
      <c r="CD6" s="159">
        <f t="shared" si="66"/>
        <v>6.481673813797971</v>
      </c>
      <c r="CE6" s="159">
        <f t="shared" si="67"/>
        <v>5.7994865705798277</v>
      </c>
      <c r="CF6" s="159">
        <f t="shared" si="68"/>
        <v>10.673833435968429</v>
      </c>
      <c r="CG6" s="159">
        <f t="shared" si="69"/>
        <v>5.7994865705798277</v>
      </c>
      <c r="CH6" s="159">
        <f t="shared" si="70"/>
        <v>6.1702770476095319</v>
      </c>
      <c r="CI6" s="159">
        <f t="shared" si="71"/>
        <v>11.254010895950959</v>
      </c>
      <c r="CJ6" s="159">
        <f t="shared" si="72"/>
        <v>6.1702770476095319</v>
      </c>
      <c r="CK6" s="159">
        <f t="shared" si="73"/>
        <v>3.9911784567721496</v>
      </c>
    </row>
    <row r="7" spans="1:89" x14ac:dyDescent="0.25">
      <c r="A7" t="str">
        <f>PLANTILLA!D10</f>
        <v>B. Bartolache</v>
      </c>
      <c r="B7" s="521">
        <f>PLANTILLA!E10</f>
        <v>30</v>
      </c>
      <c r="C7" s="521">
        <f ca="1">PLANTILLA!F10</f>
        <v>90</v>
      </c>
      <c r="D7" s="521"/>
      <c r="E7" s="317">
        <v>41527</v>
      </c>
      <c r="F7" s="371">
        <f>PLANTILLA!O10</f>
        <v>6</v>
      </c>
      <c r="G7" s="439">
        <f t="shared" si="74"/>
        <v>0.92582009977255142</v>
      </c>
      <c r="H7" s="439">
        <f t="shared" ref="H7:H21" si="75">IF(F7=7,1,((F7+0.99)/7)^0.5)</f>
        <v>0.99928545900129484</v>
      </c>
      <c r="I7" s="530">
        <v>1.5</v>
      </c>
      <c r="J7" s="531">
        <f>PLANTILLA!I10</f>
        <v>9.1999999999999993</v>
      </c>
      <c r="K7" s="163">
        <f>PLANTILLA!V10</f>
        <v>0</v>
      </c>
      <c r="L7" s="163">
        <f>PLANTILLA!W10</f>
        <v>11.649999999999997</v>
      </c>
      <c r="M7" s="163">
        <f>PLANTILLA!X10</f>
        <v>6.6275000000000022</v>
      </c>
      <c r="N7" s="163">
        <f>PLANTILLA!Y10</f>
        <v>7.3600000000000012</v>
      </c>
      <c r="O7" s="163">
        <f>PLANTILLA!Z10</f>
        <v>9.0199999999999978</v>
      </c>
      <c r="P7" s="163">
        <f>PLANTILLA!AA10</f>
        <v>4.6199999999999966</v>
      </c>
      <c r="Q7" s="163">
        <f>PLANTILLA!AB10</f>
        <v>15.6</v>
      </c>
      <c r="R7" s="163">
        <f t="shared" si="2"/>
        <v>4.0862499999999988</v>
      </c>
      <c r="S7" s="163">
        <f t="shared" si="3"/>
        <v>14.804161464578231</v>
      </c>
      <c r="T7" s="163">
        <f t="shared" si="4"/>
        <v>0.69899999999999984</v>
      </c>
      <c r="U7" s="163">
        <f t="shared" si="5"/>
        <v>0.93399999999999994</v>
      </c>
      <c r="V7" s="163">
        <f t="shared" ca="1" si="6"/>
        <v>16.558339179521198</v>
      </c>
      <c r="W7" s="163">
        <f t="shared" ca="1" si="7"/>
        <v>17.872270834659979</v>
      </c>
      <c r="X7" s="159">
        <f t="shared" si="8"/>
        <v>5.6467490310302253</v>
      </c>
      <c r="Y7" s="159">
        <f t="shared" si="9"/>
        <v>8.5467501134708144</v>
      </c>
      <c r="Z7" s="159">
        <f t="shared" si="10"/>
        <v>5.6467490310302253</v>
      </c>
      <c r="AA7" s="159">
        <f t="shared" si="11"/>
        <v>7.4484860252137404</v>
      </c>
      <c r="AB7" s="159">
        <f t="shared" si="12"/>
        <v>14.435050436460736</v>
      </c>
      <c r="AC7" s="159">
        <f t="shared" si="13"/>
        <v>3.7242430126068702</v>
      </c>
      <c r="AD7" s="159">
        <f t="shared" si="14"/>
        <v>2.2401870038776561</v>
      </c>
      <c r="AE7" s="159">
        <f t="shared" si="15"/>
        <v>5.4564490649821584</v>
      </c>
      <c r="AF7" s="159">
        <f t="shared" si="16"/>
        <v>10.436541465561112</v>
      </c>
      <c r="AG7" s="159">
        <f t="shared" si="17"/>
        <v>2.7282245324910792</v>
      </c>
      <c r="AH7" s="159">
        <f t="shared" si="18"/>
        <v>3.6238319180373852</v>
      </c>
      <c r="AI7" s="159">
        <f t="shared" si="19"/>
        <v>13.280246401543877</v>
      </c>
      <c r="AJ7" s="159">
        <f t="shared" si="20"/>
        <v>5.9761108806947449</v>
      </c>
      <c r="AK7" s="159">
        <f t="shared" si="21"/>
        <v>1.5718959228889438</v>
      </c>
      <c r="AL7" s="159">
        <f t="shared" si="22"/>
        <v>5.9652896566389151</v>
      </c>
      <c r="AM7" s="159">
        <f t="shared" si="23"/>
        <v>10.884028029091395</v>
      </c>
      <c r="AN7" s="159">
        <f t="shared" si="24"/>
        <v>10.2200157090142</v>
      </c>
      <c r="AO7" s="159">
        <f t="shared" si="25"/>
        <v>3.0703034228889439</v>
      </c>
      <c r="AP7" s="159">
        <f t="shared" si="26"/>
        <v>1.9789345257006927</v>
      </c>
      <c r="AQ7" s="159">
        <f t="shared" si="27"/>
        <v>3.8974636178443989</v>
      </c>
      <c r="AR7" s="159">
        <f t="shared" si="28"/>
        <v>8.5744199592576766</v>
      </c>
      <c r="AS7" s="159">
        <f t="shared" si="29"/>
        <v>1.9487318089221994</v>
      </c>
      <c r="AT7" s="159">
        <f t="shared" si="30"/>
        <v>8.8854476120189396</v>
      </c>
      <c r="AU7" s="159">
        <f t="shared" si="31"/>
        <v>1.534656556739896</v>
      </c>
      <c r="AV7" s="159">
        <f t="shared" si="32"/>
        <v>2.6976797778829957</v>
      </c>
      <c r="AW7" s="159">
        <f t="shared" si="33"/>
        <v>0.76732827836994799</v>
      </c>
      <c r="AX7" s="159">
        <f t="shared" si="34"/>
        <v>2.7282245324910792</v>
      </c>
      <c r="AY7" s="159">
        <f t="shared" si="35"/>
        <v>5.7740201745842947</v>
      </c>
      <c r="AZ7" s="159">
        <f t="shared" si="36"/>
        <v>1.3641122662455396</v>
      </c>
      <c r="BA7" s="159">
        <f t="shared" si="37"/>
        <v>9.4125504364607409</v>
      </c>
      <c r="BB7" s="159">
        <f t="shared" si="38"/>
        <v>2.9866777604245667</v>
      </c>
      <c r="BC7" s="159">
        <f t="shared" si="39"/>
        <v>5.5805827904898662</v>
      </c>
      <c r="BD7" s="159">
        <f t="shared" si="40"/>
        <v>1.4933388802122833</v>
      </c>
      <c r="BE7" s="159">
        <f t="shared" si="41"/>
        <v>4.2005996770100742</v>
      </c>
      <c r="BF7" s="159">
        <f t="shared" si="42"/>
        <v>5.023397551888336</v>
      </c>
      <c r="BG7" s="159">
        <f t="shared" si="43"/>
        <v>8.2924569345219119</v>
      </c>
      <c r="BH7" s="159">
        <f t="shared" si="44"/>
        <v>9.5418498380135972</v>
      </c>
      <c r="BI7" s="159">
        <f t="shared" si="45"/>
        <v>2.8450171551870378</v>
      </c>
      <c r="BJ7" s="159">
        <f t="shared" si="46"/>
        <v>7.000999461683457</v>
      </c>
      <c r="BK7" s="159">
        <f t="shared" si="47"/>
        <v>3.8108533152256348</v>
      </c>
      <c r="BL7" s="159">
        <f t="shared" si="48"/>
        <v>3.5861817162915424</v>
      </c>
      <c r="BM7" s="159">
        <f t="shared" si="49"/>
        <v>9.2004340814666872</v>
      </c>
      <c r="BN7" s="159">
        <f t="shared" si="50"/>
        <v>0.61386262269595826</v>
      </c>
      <c r="BO7" s="159">
        <f t="shared" si="51"/>
        <v>2.5983090785629326</v>
      </c>
      <c r="BP7" s="159">
        <f t="shared" si="52"/>
        <v>0.9815834296793301</v>
      </c>
      <c r="BQ7" s="159">
        <f t="shared" si="53"/>
        <v>2.8708278831205258</v>
      </c>
      <c r="BR7" s="159">
        <f t="shared" si="54"/>
        <v>13.521294861288512</v>
      </c>
      <c r="BS7" s="159">
        <f t="shared" si="55"/>
        <v>1.5936818089221996</v>
      </c>
      <c r="BT7" s="159">
        <f t="shared" si="56"/>
        <v>4.0995543239548491</v>
      </c>
      <c r="BU7" s="159">
        <f t="shared" si="57"/>
        <v>3.5221523064964195</v>
      </c>
      <c r="BV7" s="159">
        <f t="shared" si="58"/>
        <v>4.2827104485896372</v>
      </c>
      <c r="BW7" s="159">
        <f t="shared" si="59"/>
        <v>11.6457558835985</v>
      </c>
      <c r="BX7" s="159">
        <f t="shared" si="60"/>
        <v>1.4284111028117492</v>
      </c>
      <c r="BY7" s="159">
        <f t="shared" si="61"/>
        <v>4.0995543239548491</v>
      </c>
      <c r="BZ7" s="159">
        <f t="shared" si="62"/>
        <v>3.5221523064964195</v>
      </c>
      <c r="CA7" s="159">
        <f t="shared" si="63"/>
        <v>5.9393193254067276</v>
      </c>
      <c r="CB7" s="159">
        <f t="shared" si="64"/>
        <v>9.4002001406323608</v>
      </c>
      <c r="CC7" s="159">
        <f t="shared" si="65"/>
        <v>1.7471474645961891</v>
      </c>
      <c r="CD7" s="159">
        <f t="shared" si="66"/>
        <v>3.8214954772030612</v>
      </c>
      <c r="CE7" s="159">
        <f t="shared" si="67"/>
        <v>5.3525912773960451</v>
      </c>
      <c r="CF7" s="159">
        <f t="shared" si="68"/>
        <v>10.727286791454791</v>
      </c>
      <c r="CG7" s="159">
        <f t="shared" si="69"/>
        <v>5.3525912773960451</v>
      </c>
      <c r="CH7" s="159">
        <f t="shared" si="70"/>
        <v>5.7136864219150398</v>
      </c>
      <c r="CI7" s="159">
        <f t="shared" si="71"/>
        <v>11.761114047514749</v>
      </c>
      <c r="CJ7" s="159">
        <f t="shared" si="72"/>
        <v>5.7136864219150398</v>
      </c>
      <c r="CK7" s="159">
        <f t="shared" si="73"/>
        <v>2.3531376091151852</v>
      </c>
    </row>
    <row r="8" spans="1:89" x14ac:dyDescent="0.25">
      <c r="A8" t="str">
        <f>PLANTILLA!D11</f>
        <v>F. Lasprilla</v>
      </c>
      <c r="B8" s="521">
        <f>PLANTILLA!E11</f>
        <v>27</v>
      </c>
      <c r="C8" s="521">
        <f ca="1">PLANTILLA!F11</f>
        <v>1</v>
      </c>
      <c r="D8" s="521"/>
      <c r="E8" s="317">
        <v>42106</v>
      </c>
      <c r="F8" s="371">
        <f>PLANTILLA!O11</f>
        <v>5</v>
      </c>
      <c r="G8" s="439">
        <f t="shared" si="74"/>
        <v>0.84515425472851657</v>
      </c>
      <c r="H8" s="439">
        <f t="shared" si="75"/>
        <v>0.92504826128926143</v>
      </c>
      <c r="I8" s="530">
        <v>1.5</v>
      </c>
      <c r="J8" s="531">
        <f>PLANTILLA!I11</f>
        <v>4.9000000000000004</v>
      </c>
      <c r="K8" s="163">
        <f>PLANTILLA!V11</f>
        <v>0</v>
      </c>
      <c r="L8" s="163">
        <f>PLANTILLA!W11</f>
        <v>9.5796666666666663</v>
      </c>
      <c r="M8" s="163">
        <f>PLANTILLA!X11</f>
        <v>7.7107222222222234</v>
      </c>
      <c r="N8" s="163">
        <f>PLANTILLA!Y11</f>
        <v>6.129999999999999</v>
      </c>
      <c r="O8" s="163">
        <f>PLANTILLA!Z11</f>
        <v>8.8633333333333315</v>
      </c>
      <c r="P8" s="163">
        <f>PLANTILLA!AA11</f>
        <v>3.2566666666666673</v>
      </c>
      <c r="Q8" s="163">
        <f>PLANTILLA!AB11</f>
        <v>13.238888888888889</v>
      </c>
      <c r="R8" s="163">
        <f t="shared" si="2"/>
        <v>3.7882916666666659</v>
      </c>
      <c r="S8" s="163">
        <f t="shared" si="3"/>
        <v>10.436233338039576</v>
      </c>
      <c r="T8" s="163">
        <f t="shared" si="4"/>
        <v>0.56000000000000005</v>
      </c>
      <c r="U8" s="163">
        <f t="shared" si="5"/>
        <v>0.78035333333333334</v>
      </c>
      <c r="V8" s="163">
        <f t="shared" ca="1" si="6"/>
        <v>12.811820398561768</v>
      </c>
      <c r="W8" s="163">
        <f t="shared" ca="1" si="7"/>
        <v>14.022945654396372</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2.4111741116179375</v>
      </c>
      <c r="AE8" s="159">
        <f t="shared" si="15"/>
        <v>4.5359728243343707</v>
      </c>
      <c r="AF8" s="159">
        <f t="shared" si="16"/>
        <v>8.6759480211474873</v>
      </c>
      <c r="AG8" s="159">
        <f t="shared" si="17"/>
        <v>2.2679864121671853</v>
      </c>
      <c r="AH8" s="159">
        <f t="shared" si="18"/>
        <v>3.9004287099701931</v>
      </c>
      <c r="AI8" s="159">
        <f t="shared" si="19"/>
        <v>11.039933858168311</v>
      </c>
      <c r="AJ8" s="159">
        <f t="shared" si="20"/>
        <v>4.9679702361757396</v>
      </c>
      <c r="AK8" s="159">
        <f t="shared" si="21"/>
        <v>1.6918742715974604</v>
      </c>
      <c r="AL8" s="159">
        <f t="shared" si="22"/>
        <v>5.0275537267423536</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9.5636485771736677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10.130983662260242</v>
      </c>
      <c r="BB8" s="159">
        <f t="shared" si="38"/>
        <v>2.8547494776629514</v>
      </c>
      <c r="BC8" s="159">
        <f t="shared" si="39"/>
        <v>5.0398607201276144</v>
      </c>
      <c r="BD8" s="159">
        <f t="shared" si="40"/>
        <v>1.4273747388314757</v>
      </c>
      <c r="BE8" s="159">
        <f t="shared" si="41"/>
        <v>3.4919790790510632</v>
      </c>
      <c r="BF8" s="159">
        <f t="shared" si="42"/>
        <v>4.1759749811332298</v>
      </c>
      <c r="BG8" s="159">
        <f t="shared" si="43"/>
        <v>8.9253966064512724</v>
      </c>
      <c r="BH8" s="159">
        <f t="shared" si="44"/>
        <v>8.4621824201937965</v>
      </c>
      <c r="BI8" s="159">
        <f t="shared" si="45"/>
        <v>2.7193463403824953</v>
      </c>
      <c r="BJ8" s="159">
        <f t="shared" si="46"/>
        <v>5.819965131751772</v>
      </c>
      <c r="BK8" s="159">
        <f t="shared" si="47"/>
        <v>3.1679810201700369</v>
      </c>
      <c r="BL8" s="159">
        <f t="shared" si="48"/>
        <v>3.8599047753211524</v>
      </c>
      <c r="BM8" s="159">
        <f t="shared" si="49"/>
        <v>8.0223284985932271</v>
      </c>
      <c r="BN8" s="159">
        <f t="shared" si="50"/>
        <v>0.58674692821531016</v>
      </c>
      <c r="BO8" s="159">
        <f t="shared" si="51"/>
        <v>2.1599870592068431</v>
      </c>
      <c r="BP8" s="159">
        <f t="shared" si="52"/>
        <v>0.81599511125591861</v>
      </c>
      <c r="BQ8" s="159">
        <f t="shared" si="53"/>
        <v>3.0899500169893739</v>
      </c>
      <c r="BR8" s="159">
        <f t="shared" si="54"/>
        <v>11.777369545222223</v>
      </c>
      <c r="BS8" s="159">
        <f t="shared" si="55"/>
        <v>1.5232852944051323</v>
      </c>
      <c r="BT8" s="159">
        <f t="shared" si="56"/>
        <v>3.4079795823041303</v>
      </c>
      <c r="BU8" s="159">
        <f t="shared" si="57"/>
        <v>2.927982458035943</v>
      </c>
      <c r="BV8" s="159">
        <f t="shared" si="58"/>
        <v>4.6095975663284099</v>
      </c>
      <c r="BW8" s="159">
        <f t="shared" si="59"/>
        <v>10.140623008895457</v>
      </c>
      <c r="BX8" s="159">
        <f t="shared" si="60"/>
        <v>1.3653149675779332</v>
      </c>
      <c r="BY8" s="159">
        <f t="shared" si="61"/>
        <v>3.4079795823041303</v>
      </c>
      <c r="BZ8" s="159">
        <f t="shared" si="62"/>
        <v>2.927982458035943</v>
      </c>
      <c r="CA8" s="159">
        <f t="shared" si="63"/>
        <v>6.3926506908862128</v>
      </c>
      <c r="CB8" s="159">
        <f t="shared" si="64"/>
        <v>8.1800173221673589</v>
      </c>
      <c r="CC8" s="159">
        <f t="shared" si="65"/>
        <v>1.6699720264589597</v>
      </c>
      <c r="CD8" s="159">
        <f t="shared" si="66"/>
        <v>4.1131793668776586</v>
      </c>
      <c r="CE8" s="159">
        <f t="shared" si="67"/>
        <v>4.7731062102598072</v>
      </c>
      <c r="CF8" s="159">
        <f t="shared" si="68"/>
        <v>9.4366410481494754</v>
      </c>
      <c r="CG8" s="159">
        <f t="shared" si="69"/>
        <v>4.7731062102598072</v>
      </c>
      <c r="CH8" s="159">
        <f t="shared" si="70"/>
        <v>4.8378795438103515</v>
      </c>
      <c r="CI8" s="159">
        <f t="shared" si="71"/>
        <v>9.8405745780787139</v>
      </c>
      <c r="CJ8" s="159">
        <f t="shared" si="72"/>
        <v>4.8378795438103515</v>
      </c>
      <c r="CK8" s="159">
        <f t="shared" si="73"/>
        <v>2.5327459155650605</v>
      </c>
    </row>
    <row r="9" spans="1:89" x14ac:dyDescent="0.25">
      <c r="A9" t="str">
        <f>PLANTILLA!D7</f>
        <v>B. Pinczehelyi</v>
      </c>
      <c r="B9" s="521">
        <f>PLANTILLA!E7</f>
        <v>29</v>
      </c>
      <c r="C9" s="521">
        <f ca="1">PLANTILLA!F7</f>
        <v>106</v>
      </c>
      <c r="D9" s="521" t="str">
        <f>PLANTILLA!G7</f>
        <v>CAB</v>
      </c>
      <c r="E9" s="317">
        <v>42716</v>
      </c>
      <c r="F9" s="371">
        <f>PLANTILLA!O7</f>
        <v>6</v>
      </c>
      <c r="G9" s="439">
        <f>(F9/7)^0.5</f>
        <v>0.92582009977255142</v>
      </c>
      <c r="H9" s="439">
        <f>IF(F9=7,1,((F9+0.99)/7)^0.5)</f>
        <v>0.99928545900129484</v>
      </c>
      <c r="I9" s="530">
        <v>1</v>
      </c>
      <c r="J9" s="531">
        <f>PLANTILLA!I7</f>
        <v>14</v>
      </c>
      <c r="K9" s="163">
        <f>PLANTILLA!V7</f>
        <v>0</v>
      </c>
      <c r="L9" s="163">
        <f>PLANTILLA!W7</f>
        <v>14.200000000000003</v>
      </c>
      <c r="M9" s="163">
        <f>PLANTILLA!X7</f>
        <v>9.283333333333335</v>
      </c>
      <c r="N9" s="163">
        <f>PLANTILLA!Y7</f>
        <v>14.249999999999996</v>
      </c>
      <c r="O9" s="163">
        <f>PLANTILLA!Z7</f>
        <v>9.4199999999999982</v>
      </c>
      <c r="P9" s="163">
        <f>PLANTILLA!AA7</f>
        <v>1.1428571428571428</v>
      </c>
      <c r="Q9" s="163">
        <f>PLANTILLA!AB7</f>
        <v>9.4</v>
      </c>
      <c r="R9" s="163">
        <f>((2*(O9+1))+(L9+1))/8</f>
        <v>4.5049999999999999</v>
      </c>
      <c r="S9" s="163">
        <f t="shared" si="3"/>
        <v>5.0544001356080663</v>
      </c>
      <c r="T9" s="163">
        <f>(0.5*P9+ 0.3*Q9)/10</f>
        <v>0.33914285714285713</v>
      </c>
      <c r="U9" s="163">
        <f>(0.4*L9+0.3*Q9)/10</f>
        <v>0.8500000000000002</v>
      </c>
      <c r="V9" s="163">
        <f t="shared" ref="V9" ca="1" si="76">IF(TODAY()-E9&gt;335,(Q9+1+(LOG(J9)*4/3))*(F9/7)^0.5,(Q9+((TODAY()-E9)^0.5)/(336^0.5)+(LOG(J9)*4/3))*(F9/7)^0.5)</f>
        <v>11.043340200759529</v>
      </c>
      <c r="W9" s="163">
        <f t="shared" ref="W9" ca="1" si="77">IF(F9=7,V9,IF(TODAY()-E9&gt;335,(Q9+1+(LOG(J9)*4/3))*((F9+0.99)/7)^0.5,(Q9+((TODAY()-E9)^0.5)/(336^0.5)+(LOG(J9)*4/3))*((F9+0.99)/7)^0.5))</f>
        <v>11.919647547222775</v>
      </c>
      <c r="X9" s="159">
        <f>((K9+I9+(LOG(J9)*4/3))*0.597)+((L9+I9+(LOG(J9)*4/3))*0.276)</f>
        <v>6.1262930335294694</v>
      </c>
      <c r="Y9" s="159">
        <f>((K9+I9+(LOG(J9)*4/3))*0.866)+((L9+I9+(LOG(J9)*4/3))*0.425)</f>
        <v>9.2988683920808075</v>
      </c>
      <c r="Z9" s="159">
        <f>X9</f>
        <v>6.1262930335294694</v>
      </c>
      <c r="AA9" s="159">
        <f>((L9+I9+(LOG(J9)*4/3))*0.516)</f>
        <v>8.6317360885466297</v>
      </c>
      <c r="AB9" s="159">
        <f>(L9+I9+(LOG(J9)*4/3))*1</f>
        <v>16.728170714237653</v>
      </c>
      <c r="AC9" s="159">
        <f>AA9/2</f>
        <v>4.3158680442733148</v>
      </c>
      <c r="AD9" s="159">
        <f>(M9+I9+(LOG(J9)*4/3))*0.238</f>
        <v>2.8111379633218943</v>
      </c>
      <c r="AE9" s="159">
        <f>((L9+I9+(LOG(J9)*4/3))*0.378)</f>
        <v>6.3232485299818331</v>
      </c>
      <c r="AF9" s="159">
        <f>(L9+I9+(LOG(J9)*4/3))*0.723</f>
        <v>12.094467426393823</v>
      </c>
      <c r="AG9" s="159">
        <f>AE9/2</f>
        <v>3.1616242649909165</v>
      </c>
      <c r="AH9" s="159">
        <f>(M9+I9+(LOG(J9)*4/3))*0.385</f>
        <v>4.5474290583148296</v>
      </c>
      <c r="AI9" s="159">
        <f>((L9+I9+(LOG(J9)*4/3))*0.92)</f>
        <v>15.389917057098641</v>
      </c>
      <c r="AJ9" s="159">
        <f>(L9+I9+(LOG(J9)*4/3))*0.414</f>
        <v>6.925462675694388</v>
      </c>
      <c r="AK9" s="159">
        <f>((M9+I9+(LOG(J9)*4/3))*0.167)</f>
        <v>1.9725211759443546</v>
      </c>
      <c r="AL9" s="159">
        <f>(N9+I9+(LOG(J9)*4/3))*0.588</f>
        <v>9.865564379971735</v>
      </c>
      <c r="AM9" s="159">
        <f>((L9+I9+(LOG(J9)*4/3))*0.754)</f>
        <v>12.61304071853519</v>
      </c>
      <c r="AN9" s="159">
        <f>((L9+I9+(LOG(J9)*4/3))*0.708)</f>
        <v>11.843544865680258</v>
      </c>
      <c r="AO9" s="159">
        <f>((Q9+I9+(LOG(J9)*4/3))*0.167)</f>
        <v>1.9920045092776879</v>
      </c>
      <c r="AP9" s="159">
        <f>((R9+I9+(LOG(J9)*4/3))*0.288)</f>
        <v>2.0255531657004431</v>
      </c>
      <c r="AQ9" s="159">
        <f>((L9+I9+(LOG(J9)*4/3))*0.27)</f>
        <v>4.5166060928441665</v>
      </c>
      <c r="AR9" s="159">
        <f>((L9+I9+(LOG(J9)*4/3))*0.594)</f>
        <v>9.9365334042571654</v>
      </c>
      <c r="AS9" s="159">
        <f>AQ9/2</f>
        <v>2.2583030464220832</v>
      </c>
      <c r="AT9" s="159">
        <f>((M9+I9+(LOG(J9)*4/3))*0.944)</f>
        <v>11.150059820907009</v>
      </c>
      <c r="AU9" s="159">
        <f>((O9+I9+(LOG(J9)*4/3))*0.13)</f>
        <v>1.5532621928508943</v>
      </c>
      <c r="AV9" s="159">
        <f>((P9+I9+(LOG(J9)*4/3))*0.173)+((O9+I9+(LOG(J9)*4/3))*0.12)</f>
        <v>2.0688683049859167</v>
      </c>
      <c r="AW9" s="159">
        <f>AU9/2</f>
        <v>0.77663109642544714</v>
      </c>
      <c r="AX9" s="159">
        <f>((L9+I9+(LOG(J9)*4/3))*0.189)</f>
        <v>3.1616242649909165</v>
      </c>
      <c r="AY9" s="159">
        <f>((L9+I9+(LOG(J9)*4/3))*0.4)</f>
        <v>6.6912682856950614</v>
      </c>
      <c r="AZ9" s="159">
        <f>AX9/2</f>
        <v>1.5808121324954583</v>
      </c>
      <c r="BA9" s="159">
        <f>((M9+I9+(LOG(J9)*4/3))*1)</f>
        <v>11.811504047570985</v>
      </c>
      <c r="BB9" s="159">
        <f>((O9+I9+(LOG(J9)*4/3))*0.253)</f>
        <v>3.0228871907021251</v>
      </c>
      <c r="BC9" s="159">
        <f>((P9+I9+(LOG(J9)*4/3))*0.21)+((O9+I9+(LOG(J9)*4/3))*0.341)</f>
        <v>4.8452420635449451</v>
      </c>
      <c r="BD9" s="159">
        <f>BB9/2</f>
        <v>1.5114435953510625</v>
      </c>
      <c r="BE9" s="159">
        <f>((L9+I9+(LOG(J9)*4/3))*0.291)</f>
        <v>4.8678976778431569</v>
      </c>
      <c r="BF9" s="159">
        <f>((L9+I9+(LOG(J9)*4/3))*0.348)</f>
        <v>5.8214034085547031</v>
      </c>
      <c r="BG9" s="159">
        <f>((M9+I9+(LOG(J9)*4/3))*0.881)</f>
        <v>10.405935065910038</v>
      </c>
      <c r="BH9" s="159">
        <f>((N9+I9+(LOG(J9)*4/3))*0.574)+((O9+I9+(LOG(J9)*4/3))*0.315)</f>
        <v>13.394343764957267</v>
      </c>
      <c r="BI9" s="159">
        <f>((O9+I9+(LOG(J9)*4/3))*0.241)</f>
        <v>2.8795091421312731</v>
      </c>
      <c r="BJ9" s="159">
        <f>((L9+I9+(LOG(J9)*4/3))*0.485)</f>
        <v>8.1131627964052608</v>
      </c>
      <c r="BK9" s="159">
        <f>((L9+I9+(LOG(J9)*4/3))*0.264)</f>
        <v>4.4162370685587407</v>
      </c>
      <c r="BL9" s="159">
        <f>((M9+I9+(LOG(J9)*4/3))*0.381)</f>
        <v>4.5001830421245455</v>
      </c>
      <c r="BM9" s="159">
        <f>((N9+I9+(LOG(J9)*4/3))*0.673)+((O9+I9+(LOG(J9)*4/3))*0.201)</f>
        <v>13.693291204243705</v>
      </c>
      <c r="BN9" s="159">
        <f>((O9+I9+(LOG(J9)*4/3))*0.052)</f>
        <v>0.62130487714035765</v>
      </c>
      <c r="BO9" s="159">
        <f>((L9+I9+(LOG(J9)*4/3))*0.18)</f>
        <v>3.0110707285627774</v>
      </c>
      <c r="BP9" s="159">
        <f>(L9+I9+(LOG(J9)*4/3))*0.068</f>
        <v>1.1375156085681604</v>
      </c>
      <c r="BQ9" s="159">
        <f>((M9+I9+(LOG(J9)*4/3))*0.305)</f>
        <v>3.6025087345091502</v>
      </c>
      <c r="BR9" s="159">
        <f>((N9+I9+(LOG(J9)*4/3))*1)+((O9+I9+(LOG(J9)*4/3))*0.286)</f>
        <v>20.195347538509612</v>
      </c>
      <c r="BS9" s="159">
        <f>((O9+I9+(LOG(J9)*4/3))*0.135)</f>
        <v>1.6130030464220826</v>
      </c>
      <c r="BT9" s="159">
        <f t="shared" si="56"/>
        <v>4.7508004828434931</v>
      </c>
      <c r="BU9" s="159">
        <f t="shared" si="57"/>
        <v>4.0816736542739873</v>
      </c>
      <c r="BV9" s="159">
        <f t="shared" si="58"/>
        <v>5.3742343416447982</v>
      </c>
      <c r="BW9" s="159">
        <f t="shared" si="59"/>
        <v>17.411693151375314</v>
      </c>
      <c r="BX9" s="159">
        <f t="shared" si="60"/>
        <v>1.4457286564227554</v>
      </c>
      <c r="BY9" s="159">
        <f>((L9+I9+(LOG(J9)*4/3))*0.284)</f>
        <v>4.7508004828434931</v>
      </c>
      <c r="BZ9" s="159">
        <f>((L9+I9+(LOG(J9)*4/3))*0.244)</f>
        <v>4.0816736542739873</v>
      </c>
      <c r="CA9" s="159">
        <f>((M9+I9+(LOG(J9)*4/3))*0.631)</f>
        <v>7.4530590540172916</v>
      </c>
      <c r="CB9" s="159">
        <f>((N9+I9+(LOG(J9)*4/3))*0.702)+((O9+I9+(LOG(J9)*4/3))*0.193)</f>
        <v>14.084272789242693</v>
      </c>
      <c r="CC9" s="159">
        <f>((O9+I9+(LOG(J9)*4/3))*0.148)</f>
        <v>1.7683292657071719</v>
      </c>
      <c r="CD9" s="159">
        <f>((M9+I9+(LOG(J9)*4/3))*0.406)</f>
        <v>4.7954706433138199</v>
      </c>
      <c r="CE9" s="159">
        <f>IF(D9="TEC",((N9+I9+(LOG(J9)*4/3))*0.15)+((O9+I9+(LOG(J9)*4/3))*0.324)+((P9+I9+(LOG(J9)*4/3))*0.127),(((N9+I9+(LOG(J9)*4/3))*0.144)+((O9+I9+(LOG(J9)*4/3))*0.25)+((P9+I9+(LOG(J9)*4/3))*0.127)))</f>
        <v>5.8693197992606718</v>
      </c>
      <c r="CF9" s="159">
        <f>((O9+I9+(LOG(J9)*4/3))*0.543)+((P9+I9+(LOG(J9)*4/3))*0.583)</f>
        <v>8.6280659385173077</v>
      </c>
      <c r="CG9" s="159">
        <f>CE9</f>
        <v>5.8693197992606718</v>
      </c>
      <c r="CH9" s="159">
        <f>((P9+1+(LOG(J9)*4/3))*0.26)+((N9+I9+(LOG(J9)*4/3))*0.221)+((O9+I9+(LOG(J9)*4/3))*0.142)</f>
        <v>6.3590832121129122</v>
      </c>
      <c r="CI9" s="159">
        <f>((P9+I9+(LOG(J9)*4/3))*1)+((O9+I9+(LOG(J9)*4/3))*0.369)</f>
        <v>8.0799028506484856</v>
      </c>
      <c r="CJ9" s="159">
        <f>CH9</f>
        <v>6.3590832121129122</v>
      </c>
      <c r="CK9" s="159">
        <f>((M9+I9+(LOG(J9)*4/3))*0.25)</f>
        <v>2.9528760118927462</v>
      </c>
    </row>
    <row r="10" spans="1:89" x14ac:dyDescent="0.25">
      <c r="A10" t="str">
        <f>PLANTILLA!D12</f>
        <v>E. Romweber</v>
      </c>
      <c r="B10" s="521">
        <f>PLANTILLA!E12</f>
        <v>30</v>
      </c>
      <c r="C10" s="521">
        <f ca="1">PLANTILLA!F12</f>
        <v>67</v>
      </c>
      <c r="D10" s="521" t="str">
        <f>PLANTILLA!G12</f>
        <v>IMP</v>
      </c>
      <c r="E10" s="317">
        <v>41583</v>
      </c>
      <c r="F10" s="371">
        <f>PLANTILLA!O12</f>
        <v>5</v>
      </c>
      <c r="G10" s="439">
        <f t="shared" si="74"/>
        <v>0.84515425472851657</v>
      </c>
      <c r="H10" s="439">
        <f t="shared" si="75"/>
        <v>0.92504826128926143</v>
      </c>
      <c r="I10" s="530">
        <v>1.5</v>
      </c>
      <c r="J10" s="531">
        <f>PLANTILLA!I12</f>
        <v>12.2</v>
      </c>
      <c r="K10" s="163">
        <f>PLANTILLA!V12</f>
        <v>0</v>
      </c>
      <c r="L10" s="163">
        <f>PLANTILLA!W12</f>
        <v>11.99</v>
      </c>
      <c r="M10" s="163">
        <f>PLANTILLA!X12</f>
        <v>12.399111111111115</v>
      </c>
      <c r="N10" s="163">
        <f>PLANTILLA!Y12</f>
        <v>13.05</v>
      </c>
      <c r="O10" s="163">
        <f>PLANTILLA!Z12</f>
        <v>10.91</v>
      </c>
      <c r="P10" s="163">
        <f>PLANTILLA!AA12</f>
        <v>7.7700000000000005</v>
      </c>
      <c r="Q10" s="163">
        <f>PLANTILLA!AB12</f>
        <v>17.13</v>
      </c>
      <c r="R10" s="163">
        <f t="shared" si="2"/>
        <v>4.6012500000000003</v>
      </c>
      <c r="S10" s="163">
        <f t="shared" si="3"/>
        <v>21.235840301054928</v>
      </c>
      <c r="T10" s="163">
        <f t="shared" si="4"/>
        <v>0.90239999999999987</v>
      </c>
      <c r="U10" s="163">
        <f t="shared" si="5"/>
        <v>0.99349999999999983</v>
      </c>
      <c r="V10" s="163">
        <f t="shared" ca="1" si="6"/>
        <v>16.546835482309223</v>
      </c>
      <c r="W10" s="163">
        <f t="shared" ca="1" si="7"/>
        <v>18.111038673841204</v>
      </c>
      <c r="X10" s="159">
        <f t="shared" si="8"/>
        <v>5.8832628429054079</v>
      </c>
      <c r="Y10" s="159">
        <f t="shared" si="9"/>
        <v>8.9022373885348003</v>
      </c>
      <c r="Z10" s="159">
        <f t="shared" si="10"/>
        <v>5.8832628429054079</v>
      </c>
      <c r="AA10" s="159">
        <f t="shared" si="11"/>
        <v>7.7082555635042276</v>
      </c>
      <c r="AB10" s="159">
        <f t="shared" si="12"/>
        <v>14.938479774232999</v>
      </c>
      <c r="AC10" s="159">
        <f t="shared" si="13"/>
        <v>3.8541277817521138</v>
      </c>
      <c r="AD10" s="159">
        <f t="shared" si="14"/>
        <v>3.6527266307118982</v>
      </c>
      <c r="AE10" s="159">
        <f t="shared" si="15"/>
        <v>5.6467453546600739</v>
      </c>
      <c r="AF10" s="159">
        <f t="shared" si="16"/>
        <v>10.800520876770458</v>
      </c>
      <c r="AG10" s="159">
        <f t="shared" si="17"/>
        <v>2.8233726773300369</v>
      </c>
      <c r="AH10" s="159">
        <f t="shared" si="18"/>
        <v>5.9088224908574833</v>
      </c>
      <c r="AI10" s="159">
        <f t="shared" si="19"/>
        <v>13.743401392294359</v>
      </c>
      <c r="AJ10" s="159">
        <f t="shared" si="20"/>
        <v>6.1845306265324611</v>
      </c>
      <c r="AK10" s="159">
        <f t="shared" si="21"/>
        <v>2.5630476778524667</v>
      </c>
      <c r="AL10" s="159">
        <f t="shared" si="22"/>
        <v>9.4071061072490014</v>
      </c>
      <c r="AM10" s="159">
        <f t="shared" si="23"/>
        <v>11.263613749771681</v>
      </c>
      <c r="AN10" s="159">
        <f t="shared" si="24"/>
        <v>10.576443680156963</v>
      </c>
      <c r="AO10" s="159">
        <f t="shared" si="25"/>
        <v>3.3531061222969103</v>
      </c>
      <c r="AP10" s="159">
        <f t="shared" si="26"/>
        <v>2.1743221749791033</v>
      </c>
      <c r="AQ10" s="159">
        <f t="shared" si="27"/>
        <v>4.0333895390429095</v>
      </c>
      <c r="AR10" s="159">
        <f t="shared" si="28"/>
        <v>8.8734569858944017</v>
      </c>
      <c r="AS10" s="159">
        <f t="shared" si="29"/>
        <v>2.0166947695214548</v>
      </c>
      <c r="AT10" s="159">
        <f t="shared" si="30"/>
        <v>14.488125795764841</v>
      </c>
      <c r="AU10" s="159">
        <f t="shared" si="31"/>
        <v>1.8016023706502897</v>
      </c>
      <c r="AV10" s="159">
        <f t="shared" si="32"/>
        <v>3.5173145738502676</v>
      </c>
      <c r="AW10" s="159">
        <f t="shared" si="33"/>
        <v>0.90080118532514486</v>
      </c>
      <c r="AX10" s="159">
        <f t="shared" si="34"/>
        <v>2.8233726773300369</v>
      </c>
      <c r="AY10" s="159">
        <f t="shared" si="35"/>
        <v>5.9753919096932</v>
      </c>
      <c r="AZ10" s="159">
        <f t="shared" si="36"/>
        <v>1.4116863386650185</v>
      </c>
      <c r="BA10" s="159">
        <f t="shared" si="37"/>
        <v>15.347590885344111</v>
      </c>
      <c r="BB10" s="159">
        <f t="shared" si="38"/>
        <v>3.5061953828809482</v>
      </c>
      <c r="BC10" s="159">
        <f t="shared" si="39"/>
        <v>6.9766223556023821</v>
      </c>
      <c r="BD10" s="159">
        <f t="shared" si="40"/>
        <v>1.7530976914404741</v>
      </c>
      <c r="BE10" s="159">
        <f t="shared" si="41"/>
        <v>4.3470976143018021</v>
      </c>
      <c r="BF10" s="159">
        <f t="shared" si="42"/>
        <v>5.1985909614330827</v>
      </c>
      <c r="BG10" s="159">
        <f t="shared" si="43"/>
        <v>13.521227569988161</v>
      </c>
      <c r="BH10" s="159">
        <f t="shared" si="44"/>
        <v>13.548548519293133</v>
      </c>
      <c r="BI10" s="159">
        <f t="shared" si="45"/>
        <v>3.3398936255901521</v>
      </c>
      <c r="BJ10" s="159">
        <f t="shared" si="46"/>
        <v>7.2451626905030038</v>
      </c>
      <c r="BK10" s="159">
        <f t="shared" si="47"/>
        <v>3.9437586603975117</v>
      </c>
      <c r="BL10" s="159">
        <f t="shared" si="48"/>
        <v>5.8474321273161065</v>
      </c>
      <c r="BM10" s="159">
        <f t="shared" si="49"/>
        <v>13.552531322679641</v>
      </c>
      <c r="BN10" s="159">
        <f t="shared" si="50"/>
        <v>0.72064094826011582</v>
      </c>
      <c r="BO10" s="159">
        <f t="shared" si="51"/>
        <v>2.6889263593619397</v>
      </c>
      <c r="BP10" s="159">
        <f t="shared" si="52"/>
        <v>1.0158166246478439</v>
      </c>
      <c r="BQ10" s="159">
        <f t="shared" si="53"/>
        <v>4.6810152200299537</v>
      </c>
      <c r="BR10" s="159">
        <f t="shared" si="54"/>
        <v>19.962004989663633</v>
      </c>
      <c r="BS10" s="159">
        <f t="shared" si="55"/>
        <v>1.8708947695214546</v>
      </c>
      <c r="BT10" s="159">
        <f t="shared" si="56"/>
        <v>4.2425282558821715</v>
      </c>
      <c r="BU10" s="159">
        <f t="shared" si="57"/>
        <v>3.6449890649128518</v>
      </c>
      <c r="BV10" s="159">
        <f t="shared" si="58"/>
        <v>6.9831538528315704</v>
      </c>
      <c r="BW10" s="159">
        <f t="shared" si="59"/>
        <v>17.20415558985016</v>
      </c>
      <c r="BX10" s="159">
        <f t="shared" si="60"/>
        <v>1.6768760526821926</v>
      </c>
      <c r="BY10" s="159">
        <f t="shared" si="61"/>
        <v>4.2425282558821715</v>
      </c>
      <c r="BZ10" s="159">
        <f t="shared" si="62"/>
        <v>3.6449890649128518</v>
      </c>
      <c r="CA10" s="159">
        <f t="shared" si="63"/>
        <v>9.6843298486521334</v>
      </c>
      <c r="CB10" s="159">
        <f t="shared" si="64"/>
        <v>13.905619397938533</v>
      </c>
      <c r="CC10" s="159">
        <f t="shared" si="65"/>
        <v>2.0510550065864832</v>
      </c>
      <c r="CD10" s="159">
        <f t="shared" si="66"/>
        <v>6.2311218994497093</v>
      </c>
      <c r="CE10" s="159">
        <f t="shared" si="67"/>
        <v>7.1296479623753912</v>
      </c>
      <c r="CF10" s="159">
        <f t="shared" si="68"/>
        <v>13.774028225786353</v>
      </c>
      <c r="CG10" s="159">
        <f t="shared" si="69"/>
        <v>7.1296479623753912</v>
      </c>
      <c r="CH10" s="159">
        <f t="shared" si="70"/>
        <v>8.1603728993471574</v>
      </c>
      <c r="CI10" s="159">
        <f t="shared" si="71"/>
        <v>15.832258810924973</v>
      </c>
      <c r="CJ10" s="159">
        <f t="shared" si="72"/>
        <v>8.1603728993471574</v>
      </c>
      <c r="CK10" s="159">
        <f t="shared" si="73"/>
        <v>3.8368977213360278</v>
      </c>
    </row>
    <row r="11" spans="1:89" x14ac:dyDescent="0.25">
      <c r="A11" t="str">
        <f>PLANTILLA!D13</f>
        <v>K. Helms</v>
      </c>
      <c r="B11" s="521">
        <f>PLANTILLA!E13</f>
        <v>30</v>
      </c>
      <c r="C11" s="521">
        <f ca="1">PLANTILLA!F13</f>
        <v>14</v>
      </c>
      <c r="D11" s="521" t="str">
        <f>PLANTILLA!G13</f>
        <v>TEC</v>
      </c>
      <c r="E11" s="317">
        <v>41722</v>
      </c>
      <c r="F11" s="371">
        <f>PLANTILLA!O13</f>
        <v>6</v>
      </c>
      <c r="G11" s="439">
        <f t="shared" ref="G11:G21" si="78">(F11/7)^0.5</f>
        <v>0.92582009977255142</v>
      </c>
      <c r="H11" s="439">
        <f t="shared" si="75"/>
        <v>0.99928545900129484</v>
      </c>
      <c r="I11" s="530">
        <v>1.5</v>
      </c>
      <c r="J11" s="531">
        <f>PLANTILLA!I13</f>
        <v>10.199999999999999</v>
      </c>
      <c r="K11" s="163">
        <f>PLANTILLA!V13</f>
        <v>0</v>
      </c>
      <c r="L11" s="163">
        <f>PLANTILLA!W13</f>
        <v>7.11</v>
      </c>
      <c r="M11" s="163">
        <f>PLANTILLA!X13</f>
        <v>10.250000000000004</v>
      </c>
      <c r="N11" s="163">
        <f>PLANTILLA!Y13</f>
        <v>13.305</v>
      </c>
      <c r="O11" s="163">
        <f>PLANTILLA!Z13</f>
        <v>10.359999999999998</v>
      </c>
      <c r="P11" s="163">
        <f>PLANTILLA!AA13</f>
        <v>5.4050000000000002</v>
      </c>
      <c r="Q11" s="163">
        <f>PLANTILLA!AB13</f>
        <v>17.300000000000004</v>
      </c>
      <c r="R11" s="163">
        <f t="shared" si="2"/>
        <v>3.8537499999999993</v>
      </c>
      <c r="S11" s="163">
        <f t="shared" si="3"/>
        <v>17.174308506125115</v>
      </c>
      <c r="T11" s="163">
        <f t="shared" si="4"/>
        <v>0.78925000000000023</v>
      </c>
      <c r="U11" s="163">
        <f t="shared" si="5"/>
        <v>0.80340000000000023</v>
      </c>
      <c r="V11" s="163">
        <f t="shared" ca="1" si="6"/>
        <v>18.187550908039334</v>
      </c>
      <c r="W11" s="163">
        <f t="shared" ca="1" si="7"/>
        <v>19.63076321384089</v>
      </c>
      <c r="X11" s="159">
        <f t="shared" si="8"/>
        <v>4.4458705999308723</v>
      </c>
      <c r="Y11" s="159">
        <f t="shared" si="9"/>
        <v>6.694387095659514</v>
      </c>
      <c r="Z11" s="159">
        <f t="shared" si="10"/>
        <v>4.4458705999308723</v>
      </c>
      <c r="AA11" s="159">
        <f t="shared" si="11"/>
        <v>5.1366769181721992</v>
      </c>
      <c r="AB11" s="159">
        <f t="shared" si="12"/>
        <v>9.9548002290158895</v>
      </c>
      <c r="AC11" s="159">
        <f t="shared" si="13"/>
        <v>2.5683384590860996</v>
      </c>
      <c r="AD11" s="159">
        <f t="shared" si="14"/>
        <v>3.1165624545057824</v>
      </c>
      <c r="AE11" s="159">
        <f t="shared" si="15"/>
        <v>3.7629144865680062</v>
      </c>
      <c r="AF11" s="159">
        <f t="shared" si="16"/>
        <v>7.1973205655784875</v>
      </c>
      <c r="AG11" s="159">
        <f t="shared" si="17"/>
        <v>1.8814572432840031</v>
      </c>
      <c r="AH11" s="159">
        <f t="shared" si="18"/>
        <v>5.0414980881711191</v>
      </c>
      <c r="AI11" s="159">
        <f t="shared" si="19"/>
        <v>9.1584162106946181</v>
      </c>
      <c r="AJ11" s="159">
        <f t="shared" si="20"/>
        <v>4.1212872948125776</v>
      </c>
      <c r="AK11" s="159">
        <f t="shared" si="21"/>
        <v>2.1868316382456543</v>
      </c>
      <c r="AL11" s="159">
        <f t="shared" si="22"/>
        <v>9.4960825346613422</v>
      </c>
      <c r="AM11" s="159">
        <f t="shared" si="23"/>
        <v>7.5059193726779805</v>
      </c>
      <c r="AN11" s="159">
        <f t="shared" si="24"/>
        <v>7.047998562143249</v>
      </c>
      <c r="AO11" s="159">
        <f t="shared" si="25"/>
        <v>3.3641816382456544</v>
      </c>
      <c r="AP11" s="159">
        <f t="shared" si="26"/>
        <v>1.9291824659565762</v>
      </c>
      <c r="AQ11" s="159">
        <f t="shared" si="27"/>
        <v>2.6877960618342902</v>
      </c>
      <c r="AR11" s="159">
        <f t="shared" si="28"/>
        <v>5.9131513360354377</v>
      </c>
      <c r="AS11" s="159">
        <f t="shared" si="29"/>
        <v>1.3438980309171451</v>
      </c>
      <c r="AT11" s="159">
        <f t="shared" si="30"/>
        <v>12.361491416191003</v>
      </c>
      <c r="AU11" s="159">
        <f t="shared" si="31"/>
        <v>1.7166240297720654</v>
      </c>
      <c r="AV11" s="159">
        <f t="shared" si="32"/>
        <v>3.0117914671016552</v>
      </c>
      <c r="AW11" s="159">
        <f t="shared" si="33"/>
        <v>0.8583120148860327</v>
      </c>
      <c r="AX11" s="159">
        <f t="shared" si="34"/>
        <v>1.8814572432840031</v>
      </c>
      <c r="AY11" s="159">
        <f t="shared" si="35"/>
        <v>3.981920091606356</v>
      </c>
      <c r="AZ11" s="159">
        <f t="shared" si="36"/>
        <v>0.94072862164200155</v>
      </c>
      <c r="BA11" s="159">
        <f t="shared" si="37"/>
        <v>13.094800229015894</v>
      </c>
      <c r="BB11" s="159">
        <f t="shared" si="38"/>
        <v>3.3408144579410197</v>
      </c>
      <c r="BC11" s="159">
        <f t="shared" si="39"/>
        <v>6.2352949261877546</v>
      </c>
      <c r="BD11" s="159">
        <f t="shared" si="40"/>
        <v>1.6704072289705099</v>
      </c>
      <c r="BE11" s="159">
        <f t="shared" si="41"/>
        <v>2.8968468666436236</v>
      </c>
      <c r="BF11" s="159">
        <f t="shared" si="42"/>
        <v>3.4642704796975292</v>
      </c>
      <c r="BG11" s="159">
        <f t="shared" si="43"/>
        <v>11.536519001763002</v>
      </c>
      <c r="BH11" s="159">
        <f t="shared" si="44"/>
        <v>13.429497403595125</v>
      </c>
      <c r="BI11" s="159">
        <f t="shared" si="45"/>
        <v>3.182356855192829</v>
      </c>
      <c r="BJ11" s="159">
        <f t="shared" si="46"/>
        <v>4.8280781110727062</v>
      </c>
      <c r="BK11" s="159">
        <f t="shared" si="47"/>
        <v>2.6280672604601949</v>
      </c>
      <c r="BL11" s="159">
        <f t="shared" si="48"/>
        <v>4.9891188872550556</v>
      </c>
      <c r="BM11" s="159">
        <f t="shared" si="49"/>
        <v>13.522980400159886</v>
      </c>
      <c r="BN11" s="159">
        <f t="shared" si="50"/>
        <v>0.68664961190882612</v>
      </c>
      <c r="BO11" s="159">
        <f t="shared" si="51"/>
        <v>1.7918640412228601</v>
      </c>
      <c r="BP11" s="159">
        <f t="shared" si="52"/>
        <v>0.67692641557308053</v>
      </c>
      <c r="BQ11" s="159">
        <f t="shared" si="53"/>
        <v>3.9939140698498474</v>
      </c>
      <c r="BR11" s="159">
        <f t="shared" si="54"/>
        <v>19.926373094514432</v>
      </c>
      <c r="BS11" s="159">
        <f t="shared" si="55"/>
        <v>1.7826480309171449</v>
      </c>
      <c r="BT11" s="159">
        <f t="shared" si="56"/>
        <v>2.8271632650405123</v>
      </c>
      <c r="BU11" s="159">
        <f t="shared" si="57"/>
        <v>2.4289712558798771</v>
      </c>
      <c r="BV11" s="159">
        <f t="shared" si="58"/>
        <v>5.958134104202232</v>
      </c>
      <c r="BW11" s="159">
        <f t="shared" si="59"/>
        <v>17.175398653749603</v>
      </c>
      <c r="BX11" s="159">
        <f t="shared" si="60"/>
        <v>1.5977808277109224</v>
      </c>
      <c r="BY11" s="159">
        <f t="shared" si="61"/>
        <v>2.8271632650405123</v>
      </c>
      <c r="BZ11" s="159">
        <f t="shared" si="62"/>
        <v>2.4289712558798771</v>
      </c>
      <c r="CA11" s="159">
        <f t="shared" si="63"/>
        <v>8.2628189445090285</v>
      </c>
      <c r="CB11" s="159">
        <f t="shared" si="64"/>
        <v>13.885686204969218</v>
      </c>
      <c r="CC11" s="159">
        <f t="shared" si="65"/>
        <v>1.9543104338943513</v>
      </c>
      <c r="CD11" s="159">
        <f t="shared" si="66"/>
        <v>5.3164888929804528</v>
      </c>
      <c r="CE11" s="159">
        <f t="shared" si="67"/>
        <v>7.7485499376385487</v>
      </c>
      <c r="CF11" s="159">
        <f t="shared" si="68"/>
        <v>11.97984005787189</v>
      </c>
      <c r="CG11" s="159">
        <f t="shared" si="69"/>
        <v>7.7485499376385487</v>
      </c>
      <c r="CH11" s="159">
        <f t="shared" si="70"/>
        <v>7.4591355426768988</v>
      </c>
      <c r="CI11" s="159">
        <f t="shared" si="71"/>
        <v>13.122371513522751</v>
      </c>
      <c r="CJ11" s="159">
        <f t="shared" si="72"/>
        <v>7.4591355426768988</v>
      </c>
      <c r="CK11" s="159">
        <f t="shared" si="73"/>
        <v>3.2737000572539734</v>
      </c>
    </row>
    <row r="12" spans="1:89" x14ac:dyDescent="0.25">
      <c r="A12" t="str">
        <f>PLANTILLA!D14</f>
        <v>S. Zobbe</v>
      </c>
      <c r="B12" s="521">
        <f>PLANTILLA!E14</f>
        <v>27</v>
      </c>
      <c r="C12" s="521">
        <f ca="1">PLANTILLA!F14</f>
        <v>29</v>
      </c>
      <c r="D12" s="521" t="str">
        <f>PLANTILLA!G14</f>
        <v>CAB</v>
      </c>
      <c r="E12" s="317">
        <v>41911</v>
      </c>
      <c r="F12" s="371">
        <f>PLANTILLA!O14</f>
        <v>3</v>
      </c>
      <c r="G12" s="439">
        <f t="shared" si="78"/>
        <v>0.65465367070797709</v>
      </c>
      <c r="H12" s="439">
        <f t="shared" si="75"/>
        <v>0.75498344352707503</v>
      </c>
      <c r="I12" s="530">
        <v>1.5</v>
      </c>
      <c r="J12" s="531">
        <f>PLANTILLA!I14</f>
        <v>8.6</v>
      </c>
      <c r="K12" s="163">
        <f>PLANTILLA!V14</f>
        <v>0</v>
      </c>
      <c r="L12" s="163">
        <f>PLANTILLA!W14</f>
        <v>8.1199999999999992</v>
      </c>
      <c r="M12" s="163">
        <f>PLANTILLA!X14</f>
        <v>11.958412698412697</v>
      </c>
      <c r="N12" s="163">
        <f>PLANTILLA!Y14</f>
        <v>12.13</v>
      </c>
      <c r="O12" s="163">
        <f>PLANTILLA!Z14</f>
        <v>10.24</v>
      </c>
      <c r="P12" s="163">
        <f>PLANTILLA!AA14</f>
        <v>7.4766666666666666</v>
      </c>
      <c r="Q12" s="163">
        <f>PLANTILLA!AB14</f>
        <v>15.270000000000001</v>
      </c>
      <c r="R12" s="163">
        <f t="shared" si="2"/>
        <v>3.95</v>
      </c>
      <c r="S12" s="163">
        <f t="shared" si="3"/>
        <v>19.278422102997716</v>
      </c>
      <c r="T12" s="163">
        <f t="shared" si="4"/>
        <v>0.8319333333333333</v>
      </c>
      <c r="U12" s="163">
        <f t="shared" si="5"/>
        <v>0.78290000000000004</v>
      </c>
      <c r="V12" s="163">
        <f t="shared" ca="1" si="6"/>
        <v>11.466912344255483</v>
      </c>
      <c r="W12" s="163">
        <f t="shared" ca="1" si="7"/>
        <v>13.224288437772961</v>
      </c>
      <c r="X12" s="159">
        <f t="shared" si="8"/>
        <v>4.6383761972475135</v>
      </c>
      <c r="Y12" s="159">
        <f t="shared" si="9"/>
        <v>6.9960833340739281</v>
      </c>
      <c r="Z12" s="159">
        <f t="shared" si="10"/>
        <v>4.6383761972475135</v>
      </c>
      <c r="AA12" s="159">
        <f t="shared" si="11"/>
        <v>5.6068549344555745</v>
      </c>
      <c r="AB12" s="159">
        <f t="shared" si="12"/>
        <v>10.865997934991423</v>
      </c>
      <c r="AC12" s="159">
        <f t="shared" si="13"/>
        <v>2.8034274672277872</v>
      </c>
      <c r="AD12" s="159">
        <f t="shared" si="14"/>
        <v>3.4996497307501806</v>
      </c>
      <c r="AE12" s="159">
        <f t="shared" si="15"/>
        <v>4.1073472194267575</v>
      </c>
      <c r="AF12" s="159">
        <f t="shared" si="16"/>
        <v>7.8561165069987986</v>
      </c>
      <c r="AG12" s="159">
        <f t="shared" si="17"/>
        <v>2.0536736097133788</v>
      </c>
      <c r="AH12" s="159">
        <f t="shared" si="18"/>
        <v>5.6611980938605866</v>
      </c>
      <c r="AI12" s="159">
        <f t="shared" si="19"/>
        <v>9.9967181001921102</v>
      </c>
      <c r="AJ12" s="159">
        <f t="shared" si="20"/>
        <v>4.4985231450864491</v>
      </c>
      <c r="AK12" s="159">
        <f t="shared" si="21"/>
        <v>2.4556365757784886</v>
      </c>
      <c r="AL12" s="159">
        <f t="shared" si="22"/>
        <v>8.7470867857749575</v>
      </c>
      <c r="AM12" s="159">
        <f t="shared" si="23"/>
        <v>8.1929624429835322</v>
      </c>
      <c r="AN12" s="159">
        <f t="shared" si="24"/>
        <v>7.6931265379739271</v>
      </c>
      <c r="AO12" s="159">
        <f t="shared" si="25"/>
        <v>3.0086716551435684</v>
      </c>
      <c r="AP12" s="159">
        <f t="shared" si="26"/>
        <v>1.92844740527753</v>
      </c>
      <c r="AQ12" s="159">
        <f t="shared" si="27"/>
        <v>2.9338194424476844</v>
      </c>
      <c r="AR12" s="159">
        <f t="shared" si="28"/>
        <v>6.4544027733849054</v>
      </c>
      <c r="AS12" s="159">
        <f t="shared" si="29"/>
        <v>1.4669097212238422</v>
      </c>
      <c r="AT12" s="159">
        <f t="shared" si="30"/>
        <v>13.88096363793349</v>
      </c>
      <c r="AU12" s="159">
        <f t="shared" si="31"/>
        <v>1.6881797315488851</v>
      </c>
      <c r="AV12" s="159">
        <f t="shared" si="32"/>
        <v>3.3268407282858203</v>
      </c>
      <c r="AW12" s="159">
        <f t="shared" si="33"/>
        <v>0.84408986577444256</v>
      </c>
      <c r="AX12" s="159">
        <f t="shared" si="34"/>
        <v>2.0536736097133788</v>
      </c>
      <c r="AY12" s="159">
        <f t="shared" si="35"/>
        <v>4.3463991739965691</v>
      </c>
      <c r="AZ12" s="159">
        <f t="shared" si="36"/>
        <v>1.0268368048566894</v>
      </c>
      <c r="BA12" s="159">
        <f t="shared" si="37"/>
        <v>14.704410633404121</v>
      </c>
      <c r="BB12" s="159">
        <f t="shared" si="38"/>
        <v>3.2854574775528302</v>
      </c>
      <c r="BC12" s="159">
        <f t="shared" si="39"/>
        <v>6.5749848621802744</v>
      </c>
      <c r="BD12" s="159">
        <f t="shared" si="40"/>
        <v>1.6427287387764151</v>
      </c>
      <c r="BE12" s="159">
        <f t="shared" si="41"/>
        <v>3.1620053990825041</v>
      </c>
      <c r="BF12" s="159">
        <f t="shared" si="42"/>
        <v>3.7813672813770149</v>
      </c>
      <c r="BG12" s="159">
        <f t="shared" si="43"/>
        <v>12.95458576802903</v>
      </c>
      <c r="BH12" s="159">
        <f t="shared" si="44"/>
        <v>12.629412164207375</v>
      </c>
      <c r="BI12" s="159">
        <f t="shared" si="45"/>
        <v>3.1296255023329329</v>
      </c>
      <c r="BJ12" s="159">
        <f t="shared" si="46"/>
        <v>5.27000899847084</v>
      </c>
      <c r="BK12" s="159">
        <f t="shared" si="47"/>
        <v>2.8686234548377358</v>
      </c>
      <c r="BL12" s="159">
        <f t="shared" si="48"/>
        <v>5.6023804513269706</v>
      </c>
      <c r="BM12" s="159">
        <f t="shared" si="49"/>
        <v>12.621732195182506</v>
      </c>
      <c r="BN12" s="159">
        <f t="shared" si="50"/>
        <v>0.675271892619554</v>
      </c>
      <c r="BO12" s="159">
        <f t="shared" si="51"/>
        <v>1.9558796282984561</v>
      </c>
      <c r="BP12" s="159">
        <f t="shared" si="52"/>
        <v>0.73888785957941683</v>
      </c>
      <c r="BQ12" s="159">
        <f t="shared" si="53"/>
        <v>4.4848452431882571</v>
      </c>
      <c r="BR12" s="159">
        <f t="shared" si="54"/>
        <v>18.589993344398973</v>
      </c>
      <c r="BS12" s="159">
        <f t="shared" si="55"/>
        <v>1.7531097212238425</v>
      </c>
      <c r="BT12" s="159">
        <f t="shared" si="56"/>
        <v>3.0859434135375641</v>
      </c>
      <c r="BU12" s="159">
        <f t="shared" si="57"/>
        <v>2.6513034961379072</v>
      </c>
      <c r="BV12" s="159">
        <f t="shared" si="58"/>
        <v>6.6905068381988757</v>
      </c>
      <c r="BW12" s="159">
        <f t="shared" si="59"/>
        <v>16.0214457119705</v>
      </c>
      <c r="BX12" s="159">
        <f t="shared" si="60"/>
        <v>1.5713057501339622</v>
      </c>
      <c r="BY12" s="159">
        <f t="shared" si="61"/>
        <v>3.0859434135375641</v>
      </c>
      <c r="BZ12" s="159">
        <f t="shared" si="62"/>
        <v>2.6513034961379072</v>
      </c>
      <c r="CA12" s="159">
        <f t="shared" si="63"/>
        <v>9.2784831096780014</v>
      </c>
      <c r="CB12" s="159">
        <f t="shared" si="64"/>
        <v>12.949248151817326</v>
      </c>
      <c r="CC12" s="159">
        <f t="shared" si="65"/>
        <v>1.9219276943787307</v>
      </c>
      <c r="CD12" s="159">
        <f t="shared" si="66"/>
        <v>5.9699907171620739</v>
      </c>
      <c r="CE12" s="159">
        <f t="shared" si="67"/>
        <v>6.6869215907971986</v>
      </c>
      <c r="CF12" s="159">
        <f t="shared" si="68"/>
        <v>13.011210341467009</v>
      </c>
      <c r="CG12" s="159">
        <f t="shared" si="69"/>
        <v>6.6869215907971986</v>
      </c>
      <c r="CH12" s="159">
        <f t="shared" si="70"/>
        <v>7.6595000468329903</v>
      </c>
      <c r="CI12" s="159">
        <f t="shared" si="71"/>
        <v>15.014497839669925</v>
      </c>
      <c r="CJ12" s="159">
        <f t="shared" si="72"/>
        <v>7.6595000468329903</v>
      </c>
      <c r="CK12" s="159">
        <f t="shared" si="73"/>
        <v>3.6761026583510303</v>
      </c>
    </row>
    <row r="13" spans="1:89" x14ac:dyDescent="0.25">
      <c r="A13" t="str">
        <f>PLANTILLA!D15</f>
        <v>S. Buschelman</v>
      </c>
      <c r="B13" s="521">
        <f>PLANTILLA!E15</f>
        <v>29</v>
      </c>
      <c r="C13" s="521">
        <f ca="1">PLANTILLA!F15</f>
        <v>26</v>
      </c>
      <c r="D13" s="521" t="str">
        <f>PLANTILLA!G15</f>
        <v>TEC</v>
      </c>
      <c r="E13" s="317">
        <v>41747</v>
      </c>
      <c r="F13" s="371">
        <f>PLANTILLA!O15</f>
        <v>6</v>
      </c>
      <c r="G13" s="439">
        <f t="shared" si="78"/>
        <v>0.92582009977255142</v>
      </c>
      <c r="H13" s="439">
        <f t="shared" si="75"/>
        <v>0.99928545900129484</v>
      </c>
      <c r="I13" s="530">
        <v>1.5</v>
      </c>
      <c r="J13" s="531">
        <f>PLANTILLA!I15</f>
        <v>10.4</v>
      </c>
      <c r="K13" s="163">
        <f>PLANTILLA!V15</f>
        <v>0</v>
      </c>
      <c r="L13" s="163">
        <f>PLANTILLA!W15</f>
        <v>9.1936666666666653</v>
      </c>
      <c r="M13" s="163">
        <f>PLANTILLA!X15</f>
        <v>13.499999999999998</v>
      </c>
      <c r="N13" s="163">
        <f>PLANTILLA!Y15</f>
        <v>12.725000000000001</v>
      </c>
      <c r="O13" s="163">
        <f>PLANTILLA!Z15</f>
        <v>9.6733333333333356</v>
      </c>
      <c r="P13" s="163">
        <f>PLANTILLA!AA15</f>
        <v>5.0296666666666656</v>
      </c>
      <c r="Q13" s="163">
        <f>PLANTILLA!AB15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3.8927385796708123</v>
      </c>
      <c r="AE13" s="159">
        <f t="shared" si="15"/>
        <v>4.5547908030065845</v>
      </c>
      <c r="AF13" s="159">
        <f t="shared" si="16"/>
        <v>8.7119411390840238</v>
      </c>
      <c r="AG13" s="159">
        <f t="shared" si="17"/>
        <v>2.2773954015032922</v>
      </c>
      <c r="AH13" s="159">
        <f t="shared" si="18"/>
        <v>6.2970771141733737</v>
      </c>
      <c r="AI13" s="159">
        <f t="shared" si="19"/>
        <v>11.085734229539836</v>
      </c>
      <c r="AJ13" s="159">
        <f t="shared" si="20"/>
        <v>4.988580403292926</v>
      </c>
      <c r="AK13" s="159">
        <f t="shared" si="21"/>
        <v>2.7314594235505281</v>
      </c>
      <c r="AL13" s="159">
        <f t="shared" si="22"/>
        <v>9.1616541380102436</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15.440105963064063</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16.356044452398372</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14.409675162562966</v>
      </c>
      <c r="BH13" s="159">
        <f t="shared" si="44"/>
        <v>12.890273518182155</v>
      </c>
      <c r="BI13" s="159">
        <f t="shared" si="45"/>
        <v>3.0195800463613418</v>
      </c>
      <c r="BJ13" s="159">
        <f t="shared" si="46"/>
        <v>5.8441098927465438</v>
      </c>
      <c r="BK13" s="159">
        <f t="shared" si="47"/>
        <v>3.1811237354331703</v>
      </c>
      <c r="BL13" s="159">
        <f t="shared" si="48"/>
        <v>6.2316529363637798</v>
      </c>
      <c r="BM13" s="159">
        <f t="shared" si="49"/>
        <v>13.004447851396181</v>
      </c>
      <c r="BN13" s="159">
        <f t="shared" si="50"/>
        <v>0.65152764485804882</v>
      </c>
      <c r="BO13" s="159">
        <f t="shared" si="51"/>
        <v>2.1689480014317071</v>
      </c>
      <c r="BP13" s="159">
        <f t="shared" si="52"/>
        <v>0.81938035609642268</v>
      </c>
      <c r="BQ13" s="159">
        <f t="shared" si="53"/>
        <v>4.9885935579815035</v>
      </c>
      <c r="BR13" s="159">
        <f t="shared" si="54"/>
        <v>19.164446499117645</v>
      </c>
      <c r="BS13" s="159">
        <f t="shared" si="55"/>
        <v>1.6914660010737808</v>
      </c>
      <c r="BT13" s="159">
        <f t="shared" si="56"/>
        <v>3.4221179578144709</v>
      </c>
      <c r="BU13" s="159">
        <f t="shared" si="57"/>
        <v>2.9401295130518696</v>
      </c>
      <c r="BV13" s="159">
        <f t="shared" si="58"/>
        <v>7.4420002258412596</v>
      </c>
      <c r="BW13" s="159">
        <f t="shared" si="59"/>
        <v>16.519190586590732</v>
      </c>
      <c r="BX13" s="159">
        <f t="shared" si="60"/>
        <v>1.5160547120735368</v>
      </c>
      <c r="BY13" s="159">
        <f t="shared" si="61"/>
        <v>3.4221179578144709</v>
      </c>
      <c r="BZ13" s="159">
        <f t="shared" si="62"/>
        <v>2.9401295130518696</v>
      </c>
      <c r="CA13" s="159">
        <f t="shared" si="63"/>
        <v>10.320664049463373</v>
      </c>
      <c r="CB13" s="159">
        <f t="shared" si="64"/>
        <v>13.35606311822988</v>
      </c>
      <c r="CC13" s="159">
        <f t="shared" si="65"/>
        <v>1.8543479122882929</v>
      </c>
      <c r="CD13" s="159">
        <f t="shared" si="66"/>
        <v>6.6405540476737395</v>
      </c>
      <c r="CE13" s="159">
        <f t="shared" si="67"/>
        <v>7.3981603825580899</v>
      </c>
      <c r="CF13" s="159">
        <f t="shared" si="68"/>
        <v>11.400821720067237</v>
      </c>
      <c r="CG13" s="159">
        <f t="shared" si="69"/>
        <v>7.3981603825580899</v>
      </c>
      <c r="CH13" s="159">
        <f t="shared" si="70"/>
        <v>7.1428673605108539</v>
      </c>
      <c r="CI13" s="159">
        <f t="shared" si="71"/>
        <v>12.509051522000039</v>
      </c>
      <c r="CJ13" s="159">
        <f t="shared" si="72"/>
        <v>7.1428673605108539</v>
      </c>
      <c r="CK13" s="159">
        <f t="shared" si="73"/>
        <v>4.089011113099593</v>
      </c>
    </row>
    <row r="14" spans="1:89" x14ac:dyDescent="0.25">
      <c r="A14" t="str">
        <f>PLANTILLA!D16</f>
        <v>C. Rojas</v>
      </c>
      <c r="B14" s="521">
        <f>PLANTILLA!E16</f>
        <v>31</v>
      </c>
      <c r="C14" s="521">
        <f ca="1">PLANTILLA!F16</f>
        <v>60</v>
      </c>
      <c r="D14" s="521" t="str">
        <f>PLANTILLA!G16</f>
        <v>TEC</v>
      </c>
      <c r="E14" s="317">
        <v>41653</v>
      </c>
      <c r="F14" s="371">
        <f>PLANTILLA!O16</f>
        <v>6</v>
      </c>
      <c r="G14" s="439">
        <f t="shared" si="78"/>
        <v>0.92582009977255142</v>
      </c>
      <c r="H14" s="439">
        <f t="shared" si="75"/>
        <v>0.99928545900129484</v>
      </c>
      <c r="I14" s="530">
        <v>1.5</v>
      </c>
      <c r="J14" s="531">
        <f>PLANTILLA!I16</f>
        <v>10.9</v>
      </c>
      <c r="K14" s="163">
        <f>PLANTILLA!V16</f>
        <v>0</v>
      </c>
      <c r="L14" s="163">
        <f>PLANTILLA!W16</f>
        <v>8.6075555555555585</v>
      </c>
      <c r="M14" s="163">
        <f>PLANTILLA!X16</f>
        <v>14.09516031746031</v>
      </c>
      <c r="N14" s="163">
        <f>PLANTILLA!Y16</f>
        <v>9.99</v>
      </c>
      <c r="O14" s="163">
        <f>PLANTILLA!Z16</f>
        <v>10.09</v>
      </c>
      <c r="P14" s="163">
        <f>PLANTILLA!AA16</f>
        <v>4.3999999999999995</v>
      </c>
      <c r="Q14" s="163">
        <f>PLANTILLA!AB16</f>
        <v>16.544444444444441</v>
      </c>
      <c r="R14" s="163">
        <f t="shared" si="2"/>
        <v>3.9734444444444446</v>
      </c>
      <c r="S14" s="163">
        <f t="shared" si="3"/>
        <v>15.175394525042813</v>
      </c>
      <c r="T14" s="163">
        <f t="shared" si="4"/>
        <v>0.71633333333333327</v>
      </c>
      <c r="U14" s="163">
        <f t="shared" si="5"/>
        <v>0.84063555555555569</v>
      </c>
      <c r="V14" s="163">
        <f t="shared" ca="1" si="6"/>
        <v>17.523626377782975</v>
      </c>
      <c r="W14" s="163">
        <f t="shared" ca="1" si="7"/>
        <v>18.914155171822319</v>
      </c>
      <c r="X14" s="159">
        <f t="shared" si="8"/>
        <v>4.8927497769362205</v>
      </c>
      <c r="Y14" s="159">
        <f t="shared" si="9"/>
        <v>7.3804679228995713</v>
      </c>
      <c r="Z14" s="159">
        <f t="shared" si="10"/>
        <v>4.8927497769362205</v>
      </c>
      <c r="AA14" s="159">
        <f t="shared" si="11"/>
        <v>5.9292480972498174</v>
      </c>
      <c r="AB14" s="159">
        <f t="shared" si="12"/>
        <v>11.490790886143056</v>
      </c>
      <c r="AC14" s="159">
        <f t="shared" si="13"/>
        <v>2.9646240486249087</v>
      </c>
      <c r="AD14" s="159">
        <f t="shared" si="14"/>
        <v>4.0408581642353782</v>
      </c>
      <c r="AE14" s="159">
        <f t="shared" si="15"/>
        <v>4.3435189549620752</v>
      </c>
      <c r="AF14" s="159">
        <f t="shared" si="16"/>
        <v>8.3078418106814294</v>
      </c>
      <c r="AG14" s="159">
        <f t="shared" si="17"/>
        <v>2.1717594774810376</v>
      </c>
      <c r="AH14" s="159">
        <f t="shared" si="18"/>
        <v>6.5366823244984067</v>
      </c>
      <c r="AI14" s="159">
        <f t="shared" si="19"/>
        <v>10.571527615251613</v>
      </c>
      <c r="AJ14" s="159">
        <f t="shared" si="20"/>
        <v>4.7571874268632248</v>
      </c>
      <c r="AK14" s="159">
        <f t="shared" si="21"/>
        <v>2.8353920732239843</v>
      </c>
      <c r="AL14" s="159">
        <f t="shared" si="22"/>
        <v>7.5694623743854486</v>
      </c>
      <c r="AM14" s="159">
        <f t="shared" si="23"/>
        <v>8.6640563281518652</v>
      </c>
      <c r="AN14" s="159">
        <f t="shared" si="24"/>
        <v>8.1354799473892836</v>
      </c>
      <c r="AO14" s="159">
        <f t="shared" si="25"/>
        <v>3.2444225224303342</v>
      </c>
      <c r="AP14" s="159">
        <f t="shared" si="26"/>
        <v>1.9747237752091993</v>
      </c>
      <c r="AQ14" s="159">
        <f t="shared" si="27"/>
        <v>3.1025135392586254</v>
      </c>
      <c r="AR14" s="159">
        <f t="shared" si="28"/>
        <v>6.8255297863689748</v>
      </c>
      <c r="AS14" s="159">
        <f t="shared" si="29"/>
        <v>1.5512567696293127</v>
      </c>
      <c r="AT14" s="159">
        <f t="shared" si="30"/>
        <v>16.027605491757129</v>
      </c>
      <c r="AU14" s="159">
        <f t="shared" si="31"/>
        <v>1.6865205929763747</v>
      </c>
      <c r="AV14" s="159">
        <f t="shared" si="32"/>
        <v>2.8167879518621364</v>
      </c>
      <c r="AW14" s="159">
        <f t="shared" si="33"/>
        <v>0.84326029648818734</v>
      </c>
      <c r="AX14" s="159">
        <f t="shared" si="34"/>
        <v>2.1717594774810376</v>
      </c>
      <c r="AY14" s="159">
        <f t="shared" si="35"/>
        <v>4.5963163544572225</v>
      </c>
      <c r="AZ14" s="159">
        <f t="shared" si="36"/>
        <v>1.0858797387405188</v>
      </c>
      <c r="BA14" s="159">
        <f t="shared" si="37"/>
        <v>16.978395648047808</v>
      </c>
      <c r="BB14" s="159">
        <f t="shared" si="38"/>
        <v>3.2822285386386367</v>
      </c>
      <c r="BC14" s="159">
        <f t="shared" si="39"/>
        <v>5.9533526671537116</v>
      </c>
      <c r="BD14" s="159">
        <f t="shared" si="40"/>
        <v>1.6411142693193184</v>
      </c>
      <c r="BE14" s="159">
        <f t="shared" si="41"/>
        <v>3.3438201478676293</v>
      </c>
      <c r="BF14" s="159">
        <f t="shared" si="42"/>
        <v>3.9987952283777832</v>
      </c>
      <c r="BG14" s="159">
        <f t="shared" si="43"/>
        <v>14.95796656593012</v>
      </c>
      <c r="BH14" s="159">
        <f t="shared" si="44"/>
        <v>11.475806208892285</v>
      </c>
      <c r="BI14" s="159">
        <f t="shared" si="45"/>
        <v>3.126549714671587</v>
      </c>
      <c r="BJ14" s="159">
        <f t="shared" si="46"/>
        <v>5.5730335797793824</v>
      </c>
      <c r="BK14" s="159">
        <f t="shared" si="47"/>
        <v>3.0335687939417668</v>
      </c>
      <c r="BL14" s="159">
        <f t="shared" si="48"/>
        <v>6.4687687419062154</v>
      </c>
      <c r="BM14" s="159">
        <f t="shared" si="49"/>
        <v>11.271307678933473</v>
      </c>
      <c r="BN14" s="159">
        <f t="shared" si="50"/>
        <v>0.67460823719054985</v>
      </c>
      <c r="BO14" s="159">
        <f t="shared" si="51"/>
        <v>2.06834235950575</v>
      </c>
      <c r="BP14" s="159">
        <f t="shared" si="52"/>
        <v>0.78137378025772786</v>
      </c>
      <c r="BQ14" s="159">
        <f t="shared" si="53"/>
        <v>5.1784106726545813</v>
      </c>
      <c r="BR14" s="159">
        <f t="shared" si="54"/>
        <v>16.583580635135522</v>
      </c>
      <c r="BS14" s="159">
        <f t="shared" si="55"/>
        <v>1.7513867696293124</v>
      </c>
      <c r="BT14" s="159">
        <f t="shared" si="56"/>
        <v>3.2633846116646277</v>
      </c>
      <c r="BU14" s="159">
        <f t="shared" si="57"/>
        <v>2.8037529762189055</v>
      </c>
      <c r="BV14" s="159">
        <f t="shared" si="58"/>
        <v>7.7251700198617526</v>
      </c>
      <c r="BW14" s="159">
        <f t="shared" si="59"/>
        <v>14.287944746290947</v>
      </c>
      <c r="BX14" s="159">
        <f t="shared" si="60"/>
        <v>1.5697614750010871</v>
      </c>
      <c r="BY14" s="159">
        <f t="shared" si="61"/>
        <v>3.2633846116646277</v>
      </c>
      <c r="BZ14" s="159">
        <f t="shared" si="62"/>
        <v>2.8037529762189055</v>
      </c>
      <c r="CA14" s="159">
        <f t="shared" si="63"/>
        <v>10.713367653918167</v>
      </c>
      <c r="CB14" s="159">
        <f t="shared" si="64"/>
        <v>11.54084562087581</v>
      </c>
      <c r="CC14" s="159">
        <f t="shared" si="65"/>
        <v>1.9200388289269497</v>
      </c>
      <c r="CD14" s="159">
        <f t="shared" si="66"/>
        <v>6.8932286331074106</v>
      </c>
      <c r="CE14" s="159">
        <f t="shared" si="67"/>
        <v>7.0592844336830858</v>
      </c>
      <c r="CF14" s="159">
        <f t="shared" si="68"/>
        <v>11.290592982241522</v>
      </c>
      <c r="CG14" s="159">
        <f t="shared" si="69"/>
        <v>7.0592844336830858</v>
      </c>
      <c r="CH14" s="159">
        <f t="shared" si="70"/>
        <v>6.4508256109560111</v>
      </c>
      <c r="CI14" s="159">
        <f t="shared" si="71"/>
        <v>12.070359167574285</v>
      </c>
      <c r="CJ14" s="159">
        <f t="shared" si="72"/>
        <v>6.4508256109560111</v>
      </c>
      <c r="CK14" s="159">
        <f t="shared" si="73"/>
        <v>4.2445989120119521</v>
      </c>
    </row>
    <row r="15" spans="1:89" x14ac:dyDescent="0.25">
      <c r="A15" t="str">
        <f>PLANTILLA!D17</f>
        <v>E. Gross</v>
      </c>
      <c r="B15" s="521">
        <f>PLANTILLA!E17</f>
        <v>30</v>
      </c>
      <c r="C15" s="521">
        <f ca="1">PLANTILLA!F17</f>
        <v>54</v>
      </c>
      <c r="D15" s="521"/>
      <c r="E15" s="317">
        <v>41552</v>
      </c>
      <c r="F15" s="371">
        <f>PLANTILLA!O17</f>
        <v>6</v>
      </c>
      <c r="G15" s="439">
        <f t="shared" si="78"/>
        <v>0.92582009977255142</v>
      </c>
      <c r="H15" s="439">
        <f t="shared" si="75"/>
        <v>0.99928545900129484</v>
      </c>
      <c r="I15" s="530">
        <v>1.5</v>
      </c>
      <c r="J15" s="531">
        <f>PLANTILLA!I17</f>
        <v>9</v>
      </c>
      <c r="K15" s="163">
        <f>PLANTILLA!V17</f>
        <v>0</v>
      </c>
      <c r="L15" s="163">
        <f>PLANTILLA!W17</f>
        <v>10.349999999999996</v>
      </c>
      <c r="M15" s="163">
        <f>PLANTILLA!X17</f>
        <v>12.749777777777778</v>
      </c>
      <c r="N15" s="163">
        <f>PLANTILLA!Y17</f>
        <v>5.1199999999999983</v>
      </c>
      <c r="O15" s="163">
        <f>PLANTILLA!Z17</f>
        <v>9.24</v>
      </c>
      <c r="P15" s="163">
        <f>PLANTILLA!AA17</f>
        <v>2.98</v>
      </c>
      <c r="Q15" s="163">
        <f>PLANTILLA!AB17</f>
        <v>16.959999999999997</v>
      </c>
      <c r="R15" s="163">
        <f t="shared" si="2"/>
        <v>3.9787499999999998</v>
      </c>
      <c r="S15" s="163">
        <f t="shared" si="3"/>
        <v>12.801634594481213</v>
      </c>
      <c r="T15" s="163">
        <f t="shared" si="4"/>
        <v>0.65779999999999994</v>
      </c>
      <c r="U15" s="163">
        <f t="shared" si="5"/>
        <v>0.92279999999999984</v>
      </c>
      <c r="V15" s="163">
        <f t="shared" ca="1" si="6"/>
        <v>17.805671518976791</v>
      </c>
      <c r="W15" s="163">
        <f t="shared" ca="1" si="7"/>
        <v>19.218581062388086</v>
      </c>
      <c r="X15" s="159">
        <f t="shared" si="8"/>
        <v>5.2768382809873735</v>
      </c>
      <c r="Y15" s="159">
        <f t="shared" si="9"/>
        <v>7.9778194395815554</v>
      </c>
      <c r="Z15" s="159">
        <f t="shared" si="10"/>
        <v>5.2768382809873735</v>
      </c>
      <c r="AA15" s="159">
        <f t="shared" si="11"/>
        <v>6.7711188464942538</v>
      </c>
      <c r="AB15" s="159">
        <f t="shared" si="12"/>
        <v>13.122323345919096</v>
      </c>
      <c r="AC15" s="159">
        <f t="shared" si="13"/>
        <v>3.3855594232471269</v>
      </c>
      <c r="AD15" s="159">
        <f t="shared" si="14"/>
        <v>3.6942600674398567</v>
      </c>
      <c r="AE15" s="159">
        <f t="shared" si="15"/>
        <v>4.9602382247574184</v>
      </c>
      <c r="AF15" s="159">
        <f t="shared" si="16"/>
        <v>9.4874397790995051</v>
      </c>
      <c r="AG15" s="159">
        <f t="shared" si="17"/>
        <v>2.4801191123787092</v>
      </c>
      <c r="AH15" s="159">
        <f t="shared" si="18"/>
        <v>5.9760089326232979</v>
      </c>
      <c r="AI15" s="159">
        <f t="shared" si="19"/>
        <v>12.072537478245568</v>
      </c>
      <c r="AJ15" s="159">
        <f t="shared" si="20"/>
        <v>5.4326418652105053</v>
      </c>
      <c r="AK15" s="159">
        <f t="shared" si="21"/>
        <v>2.5921908876573787</v>
      </c>
      <c r="AL15" s="159">
        <f t="shared" si="22"/>
        <v>4.6406861274004294</v>
      </c>
      <c r="AM15" s="159">
        <f t="shared" si="23"/>
        <v>9.8942318028229987</v>
      </c>
      <c r="AN15" s="159">
        <f t="shared" si="24"/>
        <v>9.2906049289107191</v>
      </c>
      <c r="AO15" s="159">
        <f t="shared" si="25"/>
        <v>3.2952979987684898</v>
      </c>
      <c r="AP15" s="159">
        <f t="shared" si="26"/>
        <v>1.9443091236247005</v>
      </c>
      <c r="AQ15" s="159">
        <f t="shared" si="27"/>
        <v>3.5430273033981563</v>
      </c>
      <c r="AR15" s="159">
        <f t="shared" si="28"/>
        <v>7.7946600674759425</v>
      </c>
      <c r="AS15" s="159">
        <f t="shared" si="29"/>
        <v>1.7715136516990782</v>
      </c>
      <c r="AT15" s="159">
        <f t="shared" si="30"/>
        <v>14.652863460769852</v>
      </c>
      <c r="AU15" s="159">
        <f t="shared" si="31"/>
        <v>1.561602034969483</v>
      </c>
      <c r="AV15" s="159">
        <f t="shared" si="32"/>
        <v>2.4366307403542962</v>
      </c>
      <c r="AW15" s="159">
        <f t="shared" si="33"/>
        <v>0.78080101748474151</v>
      </c>
      <c r="AX15" s="159">
        <f t="shared" si="34"/>
        <v>2.4801191123787092</v>
      </c>
      <c r="AY15" s="159">
        <f t="shared" si="35"/>
        <v>5.2489293383676383</v>
      </c>
      <c r="AZ15" s="159">
        <f t="shared" si="36"/>
        <v>1.2400595561893546</v>
      </c>
      <c r="BA15" s="159">
        <f t="shared" si="37"/>
        <v>15.522101123696878</v>
      </c>
      <c r="BB15" s="159">
        <f t="shared" si="38"/>
        <v>3.0391178065175324</v>
      </c>
      <c r="BC15" s="159">
        <f t="shared" si="39"/>
        <v>5.3041901636014241</v>
      </c>
      <c r="BD15" s="159">
        <f t="shared" si="40"/>
        <v>1.5195589032587662</v>
      </c>
      <c r="BE15" s="159">
        <f t="shared" si="41"/>
        <v>3.8185960936624568</v>
      </c>
      <c r="BF15" s="159">
        <f t="shared" si="42"/>
        <v>4.5665685243798446</v>
      </c>
      <c r="BG15" s="159">
        <f t="shared" si="43"/>
        <v>13.67497108997695</v>
      </c>
      <c r="BH15" s="159">
        <f t="shared" si="44"/>
        <v>8.3140754545220776</v>
      </c>
      <c r="BI15" s="159">
        <f t="shared" si="45"/>
        <v>2.8949699263665032</v>
      </c>
      <c r="BJ15" s="159">
        <f t="shared" si="46"/>
        <v>6.364326822770761</v>
      </c>
      <c r="BK15" s="159">
        <f t="shared" si="47"/>
        <v>3.4642933633226414</v>
      </c>
      <c r="BL15" s="159">
        <f t="shared" si="48"/>
        <v>5.9139205281285108</v>
      </c>
      <c r="BM15" s="159">
        <f t="shared" si="49"/>
        <v>7.7260106043332932</v>
      </c>
      <c r="BN15" s="159">
        <f t="shared" si="50"/>
        <v>0.62464081398779314</v>
      </c>
      <c r="BO15" s="159">
        <f t="shared" si="51"/>
        <v>2.3620182022654372</v>
      </c>
      <c r="BP15" s="159">
        <f t="shared" si="52"/>
        <v>0.89231798752249858</v>
      </c>
      <c r="BQ15" s="159">
        <f t="shared" si="53"/>
        <v>4.734240842727548</v>
      </c>
      <c r="BR15" s="159">
        <f t="shared" si="54"/>
        <v>11.327847822851961</v>
      </c>
      <c r="BS15" s="159">
        <f t="shared" si="55"/>
        <v>1.6216636516990786</v>
      </c>
      <c r="BT15" s="159">
        <f t="shared" si="56"/>
        <v>3.7267398302410228</v>
      </c>
      <c r="BU15" s="159">
        <f t="shared" si="57"/>
        <v>3.2018468964042595</v>
      </c>
      <c r="BV15" s="159">
        <f t="shared" si="58"/>
        <v>7.06255601128208</v>
      </c>
      <c r="BW15" s="159">
        <f t="shared" si="59"/>
        <v>9.7499742672783611</v>
      </c>
      <c r="BX15" s="159">
        <f t="shared" si="60"/>
        <v>1.453491124856211</v>
      </c>
      <c r="BY15" s="159">
        <f t="shared" si="61"/>
        <v>3.7267398302410228</v>
      </c>
      <c r="BZ15" s="159">
        <f t="shared" si="62"/>
        <v>3.2018468964042595</v>
      </c>
      <c r="CA15" s="159">
        <f t="shared" si="63"/>
        <v>9.7944458090527302</v>
      </c>
      <c r="CB15" s="159">
        <f t="shared" si="64"/>
        <v>7.8587893945975926</v>
      </c>
      <c r="CC15" s="159">
        <f t="shared" si="65"/>
        <v>1.7778238551960266</v>
      </c>
      <c r="CD15" s="159">
        <f t="shared" si="66"/>
        <v>6.3019730562209331</v>
      </c>
      <c r="CE15" s="159">
        <f t="shared" si="67"/>
        <v>4.8701204632238513</v>
      </c>
      <c r="CF15" s="159">
        <f t="shared" si="68"/>
        <v>9.8762960875049082</v>
      </c>
      <c r="CG15" s="159">
        <f t="shared" si="69"/>
        <v>4.8701204632238513</v>
      </c>
      <c r="CH15" s="159">
        <f t="shared" si="70"/>
        <v>4.8155574445075988</v>
      </c>
      <c r="CI15" s="159">
        <f t="shared" si="71"/>
        <v>10.184870660563249</v>
      </c>
      <c r="CJ15" s="159">
        <f t="shared" si="72"/>
        <v>4.8155574445075988</v>
      </c>
      <c r="CK15" s="159">
        <f t="shared" si="73"/>
        <v>3.8805252809242194</v>
      </c>
    </row>
    <row r="16" spans="1:89" x14ac:dyDescent="0.25">
      <c r="A16" t="str">
        <f>PLANTILLA!D18</f>
        <v>L. Bauman</v>
      </c>
      <c r="B16" s="521">
        <f>PLANTILLA!E18</f>
        <v>30</v>
      </c>
      <c r="C16" s="521">
        <f ca="1">PLANTILLA!F18</f>
        <v>29</v>
      </c>
      <c r="D16" s="521"/>
      <c r="E16" s="317">
        <v>41686</v>
      </c>
      <c r="F16" s="371">
        <f>PLANTILLA!O18</f>
        <v>7</v>
      </c>
      <c r="G16" s="439">
        <f t="shared" si="78"/>
        <v>1</v>
      </c>
      <c r="H16" s="439">
        <f t="shared" si="75"/>
        <v>1</v>
      </c>
      <c r="I16" s="530">
        <v>1.5</v>
      </c>
      <c r="J16" s="531">
        <f>PLANTILLA!I18</f>
        <v>8</v>
      </c>
      <c r="K16" s="163">
        <f>PLANTILLA!V18</f>
        <v>0</v>
      </c>
      <c r="L16" s="163">
        <f>PLANTILLA!W18</f>
        <v>5.2811111111111115</v>
      </c>
      <c r="M16" s="163">
        <f>PLANTILLA!X18</f>
        <v>14.193842857142847</v>
      </c>
      <c r="N16" s="163">
        <f>PLANTILLA!Y18</f>
        <v>3.4924999999999993</v>
      </c>
      <c r="O16" s="163">
        <f>PLANTILLA!Z18</f>
        <v>9.1400000000000041</v>
      </c>
      <c r="P16" s="163">
        <f>PLANTILLA!AA18</f>
        <v>7.4318888888888894</v>
      </c>
      <c r="Q16" s="163">
        <f>PLANTILLA!AB18</f>
        <v>16.07</v>
      </c>
      <c r="R16" s="163">
        <f t="shared" si="2"/>
        <v>3.3201388888888901</v>
      </c>
      <c r="S16" s="163">
        <f t="shared" si="3"/>
        <v>19.551540717225151</v>
      </c>
      <c r="T16" s="163">
        <f t="shared" si="4"/>
        <v>0.85369444444444442</v>
      </c>
      <c r="U16" s="163">
        <f t="shared" si="5"/>
        <v>0.69334444444444443</v>
      </c>
      <c r="V16" s="163">
        <f t="shared" ca="1" si="6"/>
        <v>18.274119982655925</v>
      </c>
      <c r="W16" s="163">
        <f t="shared" ca="1" si="7"/>
        <v>18.274119982655925</v>
      </c>
      <c r="X16" s="159">
        <f t="shared" si="8"/>
        <v>3.8182834115252895</v>
      </c>
      <c r="Y16" s="159">
        <f t="shared" si="9"/>
        <v>5.7354911198310212</v>
      </c>
      <c r="Z16" s="159">
        <f t="shared" si="10"/>
        <v>3.8182834115252895</v>
      </c>
      <c r="AA16" s="159">
        <f t="shared" si="11"/>
        <v>4.1203792443837912</v>
      </c>
      <c r="AB16" s="159">
        <f t="shared" si="12"/>
        <v>7.9852310937670365</v>
      </c>
      <c r="AC16" s="159">
        <f t="shared" si="13"/>
        <v>2.0601896221918956</v>
      </c>
      <c r="AD16" s="159">
        <f t="shared" si="14"/>
        <v>4.0217151558721076</v>
      </c>
      <c r="AE16" s="159">
        <f t="shared" si="15"/>
        <v>3.0184173534439398</v>
      </c>
      <c r="AF16" s="159">
        <f t="shared" si="16"/>
        <v>5.7733220807935668</v>
      </c>
      <c r="AG16" s="159">
        <f t="shared" si="17"/>
        <v>1.5092086767219699</v>
      </c>
      <c r="AH16" s="159">
        <f t="shared" si="18"/>
        <v>6.5057156933225277</v>
      </c>
      <c r="AI16" s="159">
        <f t="shared" si="19"/>
        <v>7.3464126062656741</v>
      </c>
      <c r="AJ16" s="159">
        <f t="shared" si="20"/>
        <v>3.3058856728195529</v>
      </c>
      <c r="AK16" s="159">
        <f t="shared" si="21"/>
        <v>2.821959794246395</v>
      </c>
      <c r="AL16" s="159">
        <f t="shared" si="22"/>
        <v>3.6436125498016834</v>
      </c>
      <c r="AM16" s="159">
        <f t="shared" si="23"/>
        <v>6.0208642447003458</v>
      </c>
      <c r="AN16" s="159">
        <f t="shared" si="24"/>
        <v>5.6535436143870612</v>
      </c>
      <c r="AO16" s="159">
        <f t="shared" si="25"/>
        <v>3.1352780371035398</v>
      </c>
      <c r="AP16" s="159">
        <f t="shared" si="26"/>
        <v>1.7349865550049064</v>
      </c>
      <c r="AQ16" s="159">
        <f t="shared" si="27"/>
        <v>2.1560123953171</v>
      </c>
      <c r="AR16" s="159">
        <f t="shared" si="28"/>
        <v>4.7432272696976199</v>
      </c>
      <c r="AS16" s="159">
        <f t="shared" si="29"/>
        <v>1.07800619765855</v>
      </c>
      <c r="AT16" s="159">
        <f t="shared" si="30"/>
        <v>15.951676920770041</v>
      </c>
      <c r="AU16" s="159">
        <f t="shared" si="31"/>
        <v>1.5397355977452709</v>
      </c>
      <c r="AV16" s="159">
        <f t="shared" si="32"/>
        <v>3.174823932695964</v>
      </c>
      <c r="AW16" s="159">
        <f t="shared" si="33"/>
        <v>0.76986779887263546</v>
      </c>
      <c r="AX16" s="159">
        <f t="shared" si="34"/>
        <v>1.5092086767219699</v>
      </c>
      <c r="AY16" s="159">
        <f t="shared" si="35"/>
        <v>3.1940924375068147</v>
      </c>
      <c r="AZ16" s="159">
        <f t="shared" si="36"/>
        <v>0.75460433836098495</v>
      </c>
      <c r="BA16" s="159">
        <f t="shared" si="37"/>
        <v>16.897962839798772</v>
      </c>
      <c r="BB16" s="159">
        <f t="shared" si="38"/>
        <v>2.9965623556119501</v>
      </c>
      <c r="BC16" s="159">
        <f t="shared" si="39"/>
        <v>6.1674067771100827</v>
      </c>
      <c r="BD16" s="159">
        <f t="shared" si="40"/>
        <v>1.498281177805975</v>
      </c>
      <c r="BE16" s="159">
        <f t="shared" si="41"/>
        <v>2.3237022482862075</v>
      </c>
      <c r="BF16" s="159">
        <f t="shared" si="42"/>
        <v>2.7788604206309286</v>
      </c>
      <c r="BG16" s="159">
        <f t="shared" si="43"/>
        <v>14.887105261862718</v>
      </c>
      <c r="BH16" s="159">
        <f t="shared" si="44"/>
        <v>7.2877576645811182</v>
      </c>
      <c r="BI16" s="159">
        <f t="shared" si="45"/>
        <v>2.854432915820079</v>
      </c>
      <c r="BJ16" s="159">
        <f t="shared" si="46"/>
        <v>3.8728370804770127</v>
      </c>
      <c r="BK16" s="159">
        <f t="shared" si="47"/>
        <v>2.1081010087544976</v>
      </c>
      <c r="BL16" s="159">
        <f t="shared" si="48"/>
        <v>6.438123841963332</v>
      </c>
      <c r="BM16" s="159">
        <f t="shared" si="49"/>
        <v>6.550993364841279</v>
      </c>
      <c r="BN16" s="159">
        <f t="shared" si="50"/>
        <v>0.61589423909810825</v>
      </c>
      <c r="BO16" s="159">
        <f t="shared" si="51"/>
        <v>1.4373415968780665</v>
      </c>
      <c r="BP16" s="159">
        <f t="shared" si="52"/>
        <v>0.54299571437615857</v>
      </c>
      <c r="BQ16" s="159">
        <f t="shared" si="53"/>
        <v>5.1538786661386258</v>
      </c>
      <c r="BR16" s="159">
        <f t="shared" si="54"/>
        <v>9.5840382976955212</v>
      </c>
      <c r="BS16" s="159">
        <f t="shared" si="55"/>
        <v>1.5989561976585505</v>
      </c>
      <c r="BT16" s="159">
        <f t="shared" si="56"/>
        <v>2.2678056306298382</v>
      </c>
      <c r="BU16" s="159">
        <f t="shared" si="57"/>
        <v>1.9483963868791569</v>
      </c>
      <c r="BV16" s="159">
        <f t="shared" si="58"/>
        <v>7.6885730921084416</v>
      </c>
      <c r="BW16" s="159">
        <f t="shared" si="59"/>
        <v>8.2438449407827648</v>
      </c>
      <c r="BX16" s="159">
        <f t="shared" si="60"/>
        <v>1.4331385179013674</v>
      </c>
      <c r="BY16" s="159">
        <f t="shared" si="61"/>
        <v>2.2678056306298382</v>
      </c>
      <c r="BZ16" s="159">
        <f t="shared" si="62"/>
        <v>1.9483963868791569</v>
      </c>
      <c r="CA16" s="159">
        <f t="shared" si="63"/>
        <v>10.662614551913025</v>
      </c>
      <c r="CB16" s="159">
        <f t="shared" si="64"/>
        <v>6.6359423844770529</v>
      </c>
      <c r="CC16" s="159">
        <f t="shared" si="65"/>
        <v>1.7529297574330773</v>
      </c>
      <c r="CD16" s="159">
        <f t="shared" si="66"/>
        <v>6.8605729129583022</v>
      </c>
      <c r="CE16" s="159">
        <f t="shared" si="67"/>
        <v>5.1406163998526271</v>
      </c>
      <c r="CF16" s="159">
        <f t="shared" si="68"/>
        <v>12.340650322692795</v>
      </c>
      <c r="CG16" s="159">
        <f t="shared" si="69"/>
        <v>5.1406163998526271</v>
      </c>
      <c r="CH16" s="159">
        <f t="shared" si="70"/>
        <v>5.5566803603057524</v>
      </c>
      <c r="CI16" s="159">
        <f t="shared" si="71"/>
        <v>14.506489145144851</v>
      </c>
      <c r="CJ16" s="159">
        <f t="shared" si="72"/>
        <v>5.5566803603057524</v>
      </c>
      <c r="CK16" s="159">
        <f t="shared" si="73"/>
        <v>4.2244907099496931</v>
      </c>
    </row>
    <row r="17" spans="1:89" x14ac:dyDescent="0.25">
      <c r="A17" t="str">
        <f>PLANTILLA!D19</f>
        <v>W. Gelifini</v>
      </c>
      <c r="B17" s="521">
        <f>PLANTILLA!E19</f>
        <v>28</v>
      </c>
      <c r="C17" s="521">
        <f ca="1">PLANTILLA!F19</f>
        <v>91</v>
      </c>
      <c r="D17" s="521"/>
      <c r="E17" s="317">
        <v>41737</v>
      </c>
      <c r="F17" s="371">
        <f>PLANTILLA!O19</f>
        <v>5</v>
      </c>
      <c r="G17" s="439">
        <f t="shared" si="78"/>
        <v>0.84515425472851657</v>
      </c>
      <c r="H17" s="439">
        <f t="shared" si="75"/>
        <v>0.92504826128926143</v>
      </c>
      <c r="I17" s="530">
        <v>1.5</v>
      </c>
      <c r="J17" s="531">
        <f>PLANTILLA!I19</f>
        <v>4</v>
      </c>
      <c r="K17" s="163">
        <f>PLANTILLA!V19</f>
        <v>0</v>
      </c>
      <c r="L17" s="163">
        <f>PLANTILLA!W19</f>
        <v>5.6315555555555523</v>
      </c>
      <c r="M17" s="163">
        <f>PLANTILLA!X19</f>
        <v>9.8263388888888876</v>
      </c>
      <c r="N17" s="163">
        <f>PLANTILLA!Y19</f>
        <v>7.0526666666666671</v>
      </c>
      <c r="O17" s="163">
        <f>PLANTILLA!Z19</f>
        <v>9.2666666666666639</v>
      </c>
      <c r="P17" s="163">
        <f>PLANTILLA!AA19</f>
        <v>3.5417777777777766</v>
      </c>
      <c r="Q17" s="163">
        <f>PLANTILLA!AB19</f>
        <v>12.450000000000001</v>
      </c>
      <c r="R17" s="163">
        <f t="shared" si="2"/>
        <v>3.3956111111111102</v>
      </c>
      <c r="S17" s="163">
        <f t="shared" si="3"/>
        <v>10.215921218890843</v>
      </c>
      <c r="T17" s="163">
        <f t="shared" si="4"/>
        <v>0.55058888888888879</v>
      </c>
      <c r="U17" s="163">
        <f t="shared" si="5"/>
        <v>0.59876222222222208</v>
      </c>
      <c r="V17" s="163">
        <f t="shared" ca="1" si="6"/>
        <v>12.045769477128738</v>
      </c>
      <c r="W17" s="163">
        <f t="shared" ca="1" si="7"/>
        <v>13.184478511900247</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2.8867223594702955</v>
      </c>
      <c r="AE17" s="159">
        <f t="shared" si="15"/>
        <v>2.9991662356292919</v>
      </c>
      <c r="AF17" s="159">
        <f t="shared" si="16"/>
        <v>5.7365004983068202</v>
      </c>
      <c r="AG17" s="159">
        <f t="shared" si="17"/>
        <v>1.4995831178146459</v>
      </c>
      <c r="AH17" s="159">
        <f t="shared" si="18"/>
        <v>4.6696979344372425</v>
      </c>
      <c r="AI17" s="159">
        <f t="shared" si="19"/>
        <v>7.2995580338067425</v>
      </c>
      <c r="AJ17" s="159">
        <f t="shared" si="20"/>
        <v>3.2848011152130336</v>
      </c>
      <c r="AK17" s="159">
        <f t="shared" si="21"/>
        <v>2.0255572858468041</v>
      </c>
      <c r="AL17" s="159">
        <f t="shared" si="22"/>
        <v>5.5009830332011225</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11.449856753529239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12.129085543992838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10.685724364257691</v>
      </c>
      <c r="BH17" s="159">
        <f t="shared" si="44"/>
        <v>9.0143724430540768</v>
      </c>
      <c r="BI17" s="159">
        <f t="shared" si="45"/>
        <v>2.7882286105467182</v>
      </c>
      <c r="BJ17" s="159">
        <f t="shared" si="46"/>
        <v>3.8481365721698584</v>
      </c>
      <c r="BK17" s="159">
        <f t="shared" si="47"/>
        <v>2.0946557836141086</v>
      </c>
      <c r="BL17" s="159">
        <f t="shared" si="48"/>
        <v>4.6211815922612711</v>
      </c>
      <c r="BM17" s="159">
        <f t="shared" si="49"/>
        <v>8.621645243227519</v>
      </c>
      <c r="BN17" s="159">
        <f t="shared" si="50"/>
        <v>0.60160949273207198</v>
      </c>
      <c r="BO17" s="159">
        <f t="shared" si="51"/>
        <v>1.4281743979187103</v>
      </c>
      <c r="BP17" s="159">
        <f t="shared" si="52"/>
        <v>0.53953255032484615</v>
      </c>
      <c r="BQ17" s="159">
        <f t="shared" si="53"/>
        <v>3.6993710909178157</v>
      </c>
      <c r="BR17" s="159">
        <f t="shared" si="54"/>
        <v>12.664265531797014</v>
      </c>
      <c r="BS17" s="159">
        <f t="shared" si="55"/>
        <v>1.561870798439033</v>
      </c>
      <c r="BT17" s="159">
        <f t="shared" si="56"/>
        <v>2.2533418278272985</v>
      </c>
      <c r="BU17" s="159">
        <f t="shared" si="57"/>
        <v>1.9359697394009185</v>
      </c>
      <c r="BV17" s="159">
        <f t="shared" si="58"/>
        <v>5.5187339225167413</v>
      </c>
      <c r="BW17" s="159">
        <f t="shared" si="59"/>
        <v>10.906013960521843</v>
      </c>
      <c r="BX17" s="159">
        <f t="shared" si="60"/>
        <v>1.3998990119342443</v>
      </c>
      <c r="BY17" s="159">
        <f t="shared" si="61"/>
        <v>2.2533418278272985</v>
      </c>
      <c r="BZ17" s="159">
        <f t="shared" si="62"/>
        <v>1.9359697394009185</v>
      </c>
      <c r="CA17" s="159">
        <f t="shared" si="63"/>
        <v>7.6534529782594811</v>
      </c>
      <c r="CB17" s="159">
        <f t="shared" si="64"/>
        <v>8.800396922984703</v>
      </c>
      <c r="CC17" s="159">
        <f t="shared" si="65"/>
        <v>1.7122731716220509</v>
      </c>
      <c r="CD17" s="159">
        <f t="shared" si="66"/>
        <v>4.9244087308610922</v>
      </c>
      <c r="CE17" s="159">
        <f t="shared" si="67"/>
        <v>4.9817874517536023</v>
      </c>
      <c r="CF17" s="159">
        <f t="shared" si="68"/>
        <v>9.6895491780914895</v>
      </c>
      <c r="CG17" s="159">
        <f t="shared" si="69"/>
        <v>4.9817874517536023</v>
      </c>
      <c r="CH17" s="159">
        <f t="shared" si="70"/>
        <v>5.0999793883519828</v>
      </c>
      <c r="CI17" s="159">
        <f t="shared" si="71"/>
        <v>10.113637948615082</v>
      </c>
      <c r="CJ17" s="159">
        <f t="shared" si="72"/>
        <v>5.0999793883519828</v>
      </c>
      <c r="CK17" s="159">
        <f t="shared" si="73"/>
        <v>3.0322713859982096</v>
      </c>
    </row>
    <row r="18" spans="1:89" x14ac:dyDescent="0.25">
      <c r="A18" t="str">
        <f>PLANTILLA!D20</f>
        <v>M. Amico</v>
      </c>
      <c r="B18" s="521">
        <f>PLANTILLA!E20</f>
        <v>28</v>
      </c>
      <c r="C18" s="521">
        <f ca="1">PLANTILLA!F20</f>
        <v>98</v>
      </c>
      <c r="D18" s="521" t="str">
        <f>PLANTILLA!G20</f>
        <v>IMP</v>
      </c>
      <c r="E18" s="317">
        <v>41730</v>
      </c>
      <c r="F18" s="371">
        <f>PLANTILLA!O20</f>
        <v>5</v>
      </c>
      <c r="G18" s="439">
        <f t="shared" si="78"/>
        <v>0.84515425472851657</v>
      </c>
      <c r="H18" s="439">
        <f t="shared" si="75"/>
        <v>0.92504826128926143</v>
      </c>
      <c r="I18" s="530">
        <v>1.5</v>
      </c>
      <c r="J18" s="531">
        <f>PLANTILLA!I20</f>
        <v>1.2</v>
      </c>
      <c r="K18" s="163">
        <f>PLANTILLA!V20</f>
        <v>0</v>
      </c>
      <c r="L18" s="163">
        <f>PLANTILLA!W20</f>
        <v>2.47611111111111</v>
      </c>
      <c r="M18" s="163">
        <f>PLANTILLA!X20</f>
        <v>7.2899999999999983</v>
      </c>
      <c r="N18" s="163">
        <f>PLANTILLA!Y20</f>
        <v>4.1588235294117641</v>
      </c>
      <c r="O18" s="163">
        <f>PLANTILLA!Z20</f>
        <v>7.2649999999999988</v>
      </c>
      <c r="P18" s="163">
        <f>PLANTILLA!AA20</f>
        <v>4.3299999999999983</v>
      </c>
      <c r="Q18" s="163">
        <f>PLANTILLA!AB20</f>
        <v>9.5</v>
      </c>
      <c r="R18" s="163">
        <f t="shared" si="2"/>
        <v>2.5007638888888883</v>
      </c>
      <c r="S18" s="163">
        <f t="shared" si="3"/>
        <v>8.3611207383536659</v>
      </c>
      <c r="T18" s="163">
        <f t="shared" si="4"/>
        <v>0.50149999999999983</v>
      </c>
      <c r="U18" s="163">
        <f t="shared" si="5"/>
        <v>0.38404444444444441</v>
      </c>
      <c r="V18" s="163">
        <f t="shared" ca="1" si="6"/>
        <v>8.9633468306385637</v>
      </c>
      <c r="W18" s="163">
        <f t="shared" ca="1" si="7"/>
        <v>9.8106687088480076</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2.117146848745779</v>
      </c>
      <c r="AE18" s="159">
        <f t="shared" si="15"/>
        <v>1.5428773480080025</v>
      </c>
      <c r="AF18" s="159">
        <f t="shared" si="16"/>
        <v>2.9510590545232427</v>
      </c>
      <c r="AG18" s="159">
        <f t="shared" si="17"/>
        <v>0.77143867400400123</v>
      </c>
      <c r="AH18" s="159">
        <f t="shared" si="18"/>
        <v>3.4247963729711137</v>
      </c>
      <c r="AI18" s="159">
        <f t="shared" si="19"/>
        <v>3.7551512173739745</v>
      </c>
      <c r="AJ18" s="159">
        <f t="shared" si="20"/>
        <v>1.6898180478182885</v>
      </c>
      <c r="AK18" s="159">
        <f t="shared" si="21"/>
        <v>1.4855610241199375</v>
      </c>
      <c r="AL18" s="159">
        <f t="shared" si="22"/>
        <v>3.3894663321954552</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8.3974227950252747</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8.8955749947301648</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7.8370015703572751</v>
      </c>
      <c r="BH18" s="159">
        <f t="shared" si="44"/>
        <v>6.1029958761974701</v>
      </c>
      <c r="BI18" s="159">
        <f t="shared" si="45"/>
        <v>2.1378085737299695</v>
      </c>
      <c r="BJ18" s="159">
        <f t="shared" si="46"/>
        <v>1.979617761333019</v>
      </c>
      <c r="BK18" s="159">
        <f t="shared" si="47"/>
        <v>1.0775651319420971</v>
      </c>
      <c r="BL18" s="159">
        <f t="shared" si="48"/>
        <v>3.3892140729921927</v>
      </c>
      <c r="BM18" s="159">
        <f t="shared" si="49"/>
        <v>5.6624257806882827</v>
      </c>
      <c r="BN18" s="159">
        <f t="shared" si="50"/>
        <v>0.46126989972596855</v>
      </c>
      <c r="BO18" s="159">
        <f t="shared" si="51"/>
        <v>0.73470349905142973</v>
      </c>
      <c r="BP18" s="159">
        <f t="shared" si="52"/>
        <v>0.27755465519720685</v>
      </c>
      <c r="BQ18" s="159">
        <f t="shared" si="53"/>
        <v>2.7131503733927</v>
      </c>
      <c r="BR18" s="159">
        <f t="shared" si="54"/>
        <v>8.301382972634757</v>
      </c>
      <c r="BS18" s="159">
        <f t="shared" si="55"/>
        <v>1.1975276242885722</v>
      </c>
      <c r="BT18" s="159">
        <f t="shared" si="56"/>
        <v>1.1591988540589224</v>
      </c>
      <c r="BU18" s="159">
        <f t="shared" si="57"/>
        <v>0.99593140982527151</v>
      </c>
      <c r="BV18" s="159">
        <f t="shared" si="58"/>
        <v>4.047486622602225</v>
      </c>
      <c r="BW18" s="159">
        <f t="shared" si="59"/>
        <v>7.1448606235727876</v>
      </c>
      <c r="BX18" s="159">
        <f t="shared" si="60"/>
        <v>1.0733395743623499</v>
      </c>
      <c r="BY18" s="159">
        <f t="shared" si="61"/>
        <v>1.1591988540589224</v>
      </c>
      <c r="BZ18" s="159">
        <f t="shared" si="62"/>
        <v>0.99593140982527151</v>
      </c>
      <c r="CA18" s="159">
        <f t="shared" si="63"/>
        <v>5.6131078216747339</v>
      </c>
      <c r="CB18" s="159">
        <f t="shared" si="64"/>
        <v>5.7586287379305565</v>
      </c>
      <c r="CC18" s="159">
        <f t="shared" si="65"/>
        <v>1.3128450992200642</v>
      </c>
      <c r="CD18" s="159">
        <f t="shared" si="66"/>
        <v>3.6116034478604471</v>
      </c>
      <c r="CE18" s="159">
        <f t="shared" si="67"/>
        <v>3.8015351604897103</v>
      </c>
      <c r="CF18" s="159">
        <f t="shared" si="68"/>
        <v>8.2771624440661657</v>
      </c>
      <c r="CG18" s="159">
        <f t="shared" si="69"/>
        <v>3.8015351604897103</v>
      </c>
      <c r="CH18" s="159">
        <f t="shared" si="70"/>
        <v>3.9468032217168929</v>
      </c>
      <c r="CI18" s="159">
        <f t="shared" si="71"/>
        <v>9.208817167785595</v>
      </c>
      <c r="CJ18" s="159">
        <f t="shared" si="72"/>
        <v>3.9468032217168929</v>
      </c>
      <c r="CK18" s="159">
        <f t="shared" si="73"/>
        <v>2.2238937486825412</v>
      </c>
    </row>
    <row r="19" spans="1:89" x14ac:dyDescent="0.25">
      <c r="A19" t="str">
        <f>PLANTILLA!D22</f>
        <v>J. Limon</v>
      </c>
      <c r="B19" s="521">
        <f>PLANTILLA!E22</f>
        <v>29</v>
      </c>
      <c r="C19" s="521">
        <f ca="1">PLANTILLA!F22</f>
        <v>66</v>
      </c>
      <c r="D19" s="521" t="str">
        <f>PLANTILLA!G22</f>
        <v>RAP</v>
      </c>
      <c r="E19" s="317">
        <v>41664</v>
      </c>
      <c r="F19" s="371">
        <f>PLANTILLA!O22</f>
        <v>7</v>
      </c>
      <c r="G19" s="439">
        <f t="shared" si="78"/>
        <v>1</v>
      </c>
      <c r="H19" s="439">
        <f t="shared" si="75"/>
        <v>1</v>
      </c>
      <c r="I19" s="530">
        <v>1.5</v>
      </c>
      <c r="J19" s="531">
        <f>PLANTILLA!I22</f>
        <v>9.9</v>
      </c>
      <c r="K19" s="163">
        <f>PLANTILLA!V22</f>
        <v>0</v>
      </c>
      <c r="L19" s="163">
        <f>PLANTILLA!W22</f>
        <v>6.8176190476190497</v>
      </c>
      <c r="M19" s="163">
        <f>PLANTILLA!X22</f>
        <v>8.3125</v>
      </c>
      <c r="N19" s="163">
        <f>PLANTILLA!Y22</f>
        <v>8.7199999999999971</v>
      </c>
      <c r="O19" s="163">
        <f>PLANTILLA!Z22</f>
        <v>9.6900000000000013</v>
      </c>
      <c r="P19" s="163">
        <f>PLANTILLA!AA22</f>
        <v>8.5625000000000018</v>
      </c>
      <c r="Q19" s="163">
        <f>PLANTILLA!AB22</f>
        <v>18.639999999999993</v>
      </c>
      <c r="R19" s="163">
        <f t="shared" si="2"/>
        <v>3.6497023809523816</v>
      </c>
      <c r="S19" s="163">
        <f t="shared" si="3"/>
        <v>23.114555040080781</v>
      </c>
      <c r="T19" s="163">
        <f t="shared" si="4"/>
        <v>0.9873249999999999</v>
      </c>
      <c r="U19" s="163">
        <f t="shared" si="5"/>
        <v>0.83190476190476181</v>
      </c>
      <c r="V19" s="163">
        <f t="shared" ca="1" si="6"/>
        <v>20.967513592796728</v>
      </c>
      <c r="W19" s="163">
        <f t="shared" ca="1" si="7"/>
        <v>20.967513592796728</v>
      </c>
      <c r="X19" s="159">
        <f t="shared" si="8"/>
        <v>4.3500822236544066</v>
      </c>
      <c r="Y19" s="159">
        <f t="shared" si="9"/>
        <v>6.5478081435386795</v>
      </c>
      <c r="Z19" s="159">
        <f t="shared" si="10"/>
        <v>4.3500822236544066</v>
      </c>
      <c r="AA19" s="159">
        <f t="shared" si="11"/>
        <v>4.9768884424545448</v>
      </c>
      <c r="AB19" s="159">
        <f t="shared" si="12"/>
        <v>9.6451326404157847</v>
      </c>
      <c r="AC19" s="159">
        <f t="shared" si="13"/>
        <v>2.4884442212272724</v>
      </c>
      <c r="AD19" s="159">
        <f t="shared" si="14"/>
        <v>2.6513232350856226</v>
      </c>
      <c r="AE19" s="159">
        <f t="shared" si="15"/>
        <v>3.6458601380771665</v>
      </c>
      <c r="AF19" s="159">
        <f t="shared" si="16"/>
        <v>6.9734308990206122</v>
      </c>
      <c r="AG19" s="159">
        <f t="shared" si="17"/>
        <v>1.8229300690385832</v>
      </c>
      <c r="AH19" s="159">
        <f t="shared" si="18"/>
        <v>4.2889052332267426</v>
      </c>
      <c r="AI19" s="159">
        <f t="shared" si="19"/>
        <v>8.8735220291825225</v>
      </c>
      <c r="AJ19" s="159">
        <f t="shared" si="20"/>
        <v>3.9930849131321344</v>
      </c>
      <c r="AK19" s="159">
        <f t="shared" si="21"/>
        <v>1.8603822699970547</v>
      </c>
      <c r="AL19" s="159">
        <f t="shared" si="22"/>
        <v>6.7899379925644769</v>
      </c>
      <c r="AM19" s="159">
        <f t="shared" si="23"/>
        <v>7.272430010873502</v>
      </c>
      <c r="AN19" s="159">
        <f t="shared" si="24"/>
        <v>6.8287539094143748</v>
      </c>
      <c r="AO19" s="159">
        <f t="shared" si="25"/>
        <v>3.5850747699970538</v>
      </c>
      <c r="AP19" s="159">
        <f t="shared" si="26"/>
        <v>1.865438200439745</v>
      </c>
      <c r="AQ19" s="159">
        <f t="shared" si="27"/>
        <v>2.6041858129122621</v>
      </c>
      <c r="AR19" s="159">
        <f t="shared" si="28"/>
        <v>5.729208788406976</v>
      </c>
      <c r="AS19" s="159">
        <f t="shared" si="29"/>
        <v>1.3020929064561311</v>
      </c>
      <c r="AT19" s="159">
        <f t="shared" si="30"/>
        <v>10.516172831600116</v>
      </c>
      <c r="AU19" s="159">
        <f t="shared" si="31"/>
        <v>1.6272767670635757</v>
      </c>
      <c r="AV19" s="159">
        <f t="shared" si="32"/>
        <v>3.4725739826894433</v>
      </c>
      <c r="AW19" s="159">
        <f t="shared" si="33"/>
        <v>0.81363838353178786</v>
      </c>
      <c r="AX19" s="159">
        <f t="shared" si="34"/>
        <v>1.8229300690385832</v>
      </c>
      <c r="AY19" s="159">
        <f t="shared" si="35"/>
        <v>3.8580530561663142</v>
      </c>
      <c r="AZ19" s="159">
        <f t="shared" si="36"/>
        <v>0.91146503451929162</v>
      </c>
      <c r="BA19" s="159">
        <f t="shared" si="37"/>
        <v>11.140013592796734</v>
      </c>
      <c r="BB19" s="159">
        <f t="shared" si="38"/>
        <v>3.1669309389775742</v>
      </c>
      <c r="BC19" s="159">
        <f t="shared" si="39"/>
        <v>6.6603749896310021</v>
      </c>
      <c r="BD19" s="159">
        <f t="shared" si="40"/>
        <v>1.5834654694887871</v>
      </c>
      <c r="BE19" s="159">
        <f t="shared" si="41"/>
        <v>2.8067335983609931</v>
      </c>
      <c r="BF19" s="159">
        <f t="shared" si="42"/>
        <v>3.3565061588646929</v>
      </c>
      <c r="BG19" s="159">
        <f t="shared" si="43"/>
        <v>9.8143519752539223</v>
      </c>
      <c r="BH19" s="159">
        <f t="shared" si="44"/>
        <v>10.571289583996293</v>
      </c>
      <c r="BI19" s="159">
        <f t="shared" si="45"/>
        <v>3.0167207758640133</v>
      </c>
      <c r="BJ19" s="159">
        <f t="shared" si="46"/>
        <v>4.6778893306016558</v>
      </c>
      <c r="BK19" s="159">
        <f t="shared" si="47"/>
        <v>2.5463150170697673</v>
      </c>
      <c r="BL19" s="159">
        <f t="shared" si="48"/>
        <v>4.2443451788555562</v>
      </c>
      <c r="BM19" s="159">
        <f t="shared" si="49"/>
        <v>10.287496880104342</v>
      </c>
      <c r="BN19" s="159">
        <f t="shared" si="50"/>
        <v>0.65091070682543017</v>
      </c>
      <c r="BO19" s="159">
        <f t="shared" si="51"/>
        <v>1.7361238752748411</v>
      </c>
      <c r="BP19" s="159">
        <f t="shared" si="52"/>
        <v>0.65586901954827337</v>
      </c>
      <c r="BQ19" s="159">
        <f t="shared" si="53"/>
        <v>3.397704145803004</v>
      </c>
      <c r="BR19" s="159">
        <f t="shared" si="54"/>
        <v>15.127522480336594</v>
      </c>
      <c r="BS19" s="159">
        <f t="shared" si="55"/>
        <v>1.6898643350275593</v>
      </c>
      <c r="BT19" s="159">
        <f t="shared" si="56"/>
        <v>2.7392176698780828</v>
      </c>
      <c r="BU19" s="159">
        <f t="shared" si="57"/>
        <v>2.3534123642614513</v>
      </c>
      <c r="BV19" s="159">
        <f t="shared" si="58"/>
        <v>5.0687061847225143</v>
      </c>
      <c r="BW19" s="159">
        <f t="shared" si="59"/>
        <v>13.031325060818777</v>
      </c>
      <c r="BX19" s="159">
        <f t="shared" si="60"/>
        <v>1.514619144728405</v>
      </c>
      <c r="BY19" s="159">
        <f t="shared" si="61"/>
        <v>2.7392176698780828</v>
      </c>
      <c r="BZ19" s="159">
        <f t="shared" si="62"/>
        <v>2.3534123642614513</v>
      </c>
      <c r="CA19" s="159">
        <f t="shared" si="63"/>
        <v>7.0293485770547397</v>
      </c>
      <c r="CB19" s="159">
        <f t="shared" si="64"/>
        <v>10.522234665553075</v>
      </c>
      <c r="CC19" s="159">
        <f t="shared" si="65"/>
        <v>1.8525920117339167</v>
      </c>
      <c r="CD19" s="159">
        <f t="shared" si="66"/>
        <v>4.5228455186754744</v>
      </c>
      <c r="CE19" s="159">
        <f t="shared" si="67"/>
        <v>6.2387520818470978</v>
      </c>
      <c r="CF19" s="159">
        <f t="shared" si="68"/>
        <v>13.437387805489124</v>
      </c>
      <c r="CG19" s="159">
        <f t="shared" si="69"/>
        <v>6.2387520818470978</v>
      </c>
      <c r="CH19" s="159">
        <f t="shared" si="70"/>
        <v>7.1608909683123638</v>
      </c>
      <c r="CI19" s="159">
        <f t="shared" si="71"/>
        <v>16.008976108538729</v>
      </c>
      <c r="CJ19" s="159">
        <f t="shared" si="72"/>
        <v>7.1608909683123638</v>
      </c>
      <c r="CK19" s="159">
        <f t="shared" si="73"/>
        <v>2.7850033981991835</v>
      </c>
    </row>
    <row r="20" spans="1:89" x14ac:dyDescent="0.25">
      <c r="A20" t="str">
        <f>PLANTILLA!D23</f>
        <v>L. Calosso</v>
      </c>
      <c r="B20" s="521">
        <f>PLANTILLA!E23</f>
        <v>30</v>
      </c>
      <c r="C20" s="521">
        <f ca="1">PLANTILLA!F23</f>
        <v>23</v>
      </c>
      <c r="D20" s="521" t="str">
        <f>PLANTILLA!G23</f>
        <v>TEC</v>
      </c>
      <c r="E20" s="317">
        <v>41890</v>
      </c>
      <c r="F20" s="371">
        <f>PLANTILLA!O23</f>
        <v>5</v>
      </c>
      <c r="G20" s="439">
        <f t="shared" si="78"/>
        <v>0.84515425472851657</v>
      </c>
      <c r="H20" s="439">
        <f t="shared" si="75"/>
        <v>0.92504826128926143</v>
      </c>
      <c r="I20" s="530">
        <v>1.5</v>
      </c>
      <c r="J20" s="531">
        <f>PLANTILLA!I23</f>
        <v>10.1</v>
      </c>
      <c r="K20" s="163">
        <f>PLANTILLA!V23</f>
        <v>0</v>
      </c>
      <c r="L20" s="163">
        <f>PLANTILLA!W23</f>
        <v>2</v>
      </c>
      <c r="M20" s="163">
        <f>PLANTILLA!X23</f>
        <v>14.0938</v>
      </c>
      <c r="N20" s="163">
        <f>PLANTILLA!Y23</f>
        <v>3</v>
      </c>
      <c r="O20" s="163">
        <f>PLANTILLA!Z23</f>
        <v>15.02</v>
      </c>
      <c r="P20" s="163">
        <f>PLANTILLA!AA23</f>
        <v>10</v>
      </c>
      <c r="Q20" s="163">
        <f>PLANTILLA!AB23</f>
        <v>9.3000000000000007</v>
      </c>
      <c r="R20" s="163">
        <f t="shared" si="2"/>
        <v>4.38</v>
      </c>
      <c r="S20" s="163">
        <f t="shared" si="3"/>
        <v>20.38940031474619</v>
      </c>
      <c r="T20" s="163">
        <f t="shared" si="4"/>
        <v>0.77900000000000003</v>
      </c>
      <c r="U20" s="163">
        <f t="shared" si="5"/>
        <v>0.35899999999999999</v>
      </c>
      <c r="V20" s="163">
        <f t="shared" ca="1" si="6"/>
        <v>9.8368307999266413</v>
      </c>
      <c r="W20" s="163">
        <f t="shared" ca="1" si="7"/>
        <v>10.766724745403762</v>
      </c>
      <c r="X20" s="159">
        <f t="shared" si="8"/>
        <v>3.0305300790829959</v>
      </c>
      <c r="Y20" s="159">
        <f t="shared" si="9"/>
        <v>4.5152718580711886</v>
      </c>
      <c r="Z20" s="159">
        <f t="shared" si="10"/>
        <v>3.0305300790829959</v>
      </c>
      <c r="AA20" s="159">
        <f t="shared" si="11"/>
        <v>2.496973105162458</v>
      </c>
      <c r="AB20" s="159">
        <f t="shared" si="12"/>
        <v>4.8390951650435232</v>
      </c>
      <c r="AC20" s="159">
        <f t="shared" si="13"/>
        <v>1.248486552581229</v>
      </c>
      <c r="AD20" s="159">
        <f t="shared" si="14"/>
        <v>4.0300290492803583</v>
      </c>
      <c r="AE20" s="159">
        <f t="shared" si="15"/>
        <v>1.8291779723864519</v>
      </c>
      <c r="AF20" s="159">
        <f t="shared" si="16"/>
        <v>3.4986658043264671</v>
      </c>
      <c r="AG20" s="159">
        <f t="shared" si="17"/>
        <v>0.91458898619322593</v>
      </c>
      <c r="AH20" s="159">
        <f t="shared" si="18"/>
        <v>6.5191646385417563</v>
      </c>
      <c r="AI20" s="159">
        <f t="shared" si="19"/>
        <v>4.4519675518400419</v>
      </c>
      <c r="AJ20" s="159">
        <f t="shared" si="20"/>
        <v>2.0033853983280183</v>
      </c>
      <c r="AK20" s="159">
        <f t="shared" si="21"/>
        <v>2.8277934925622685</v>
      </c>
      <c r="AL20" s="159">
        <f t="shared" si="22"/>
        <v>3.4333879570455914</v>
      </c>
      <c r="AM20" s="159">
        <f t="shared" si="23"/>
        <v>3.6486777544428164</v>
      </c>
      <c r="AN20" s="159">
        <f t="shared" si="24"/>
        <v>3.4260793768508142</v>
      </c>
      <c r="AO20" s="159">
        <f t="shared" si="25"/>
        <v>2.0272288925622686</v>
      </c>
      <c r="AP20" s="159">
        <f t="shared" si="26"/>
        <v>2.0790994075325346</v>
      </c>
      <c r="AQ20" s="159">
        <f t="shared" si="27"/>
        <v>1.3065556945617514</v>
      </c>
      <c r="AR20" s="159">
        <f t="shared" si="28"/>
        <v>2.8744225280358529</v>
      </c>
      <c r="AS20" s="159">
        <f t="shared" si="29"/>
        <v>0.65327784728087568</v>
      </c>
      <c r="AT20" s="159">
        <f t="shared" si="30"/>
        <v>15.984653035801085</v>
      </c>
      <c r="AU20" s="159">
        <f t="shared" si="31"/>
        <v>2.3216823714556583</v>
      </c>
      <c r="AV20" s="159">
        <f t="shared" si="32"/>
        <v>4.3642548833577521</v>
      </c>
      <c r="AW20" s="159">
        <f t="shared" si="33"/>
        <v>1.1608411857278291</v>
      </c>
      <c r="AX20" s="159">
        <f t="shared" si="34"/>
        <v>0.91458898619322593</v>
      </c>
      <c r="AY20" s="159">
        <f t="shared" si="35"/>
        <v>1.9356380660174093</v>
      </c>
      <c r="AZ20" s="159">
        <f t="shared" si="36"/>
        <v>0.45729449309661296</v>
      </c>
      <c r="BA20" s="159">
        <f t="shared" si="37"/>
        <v>16.932895165043522</v>
      </c>
      <c r="BB20" s="159">
        <f t="shared" si="38"/>
        <v>4.5183510767560113</v>
      </c>
      <c r="BC20" s="159">
        <f t="shared" si="39"/>
        <v>8.7861614359389826</v>
      </c>
      <c r="BD20" s="159">
        <f t="shared" si="40"/>
        <v>2.2591755383780057</v>
      </c>
      <c r="BE20" s="159">
        <f t="shared" si="41"/>
        <v>1.4081766930276651</v>
      </c>
      <c r="BF20" s="159">
        <f t="shared" si="42"/>
        <v>1.684005117435146</v>
      </c>
      <c r="BG20" s="159">
        <f t="shared" si="43"/>
        <v>14.917880640403343</v>
      </c>
      <c r="BH20" s="159">
        <f t="shared" si="44"/>
        <v>8.9772556017236926</v>
      </c>
      <c r="BI20" s="159">
        <f t="shared" si="45"/>
        <v>4.3040419347754888</v>
      </c>
      <c r="BJ20" s="159">
        <f t="shared" si="46"/>
        <v>2.3469611550461087</v>
      </c>
      <c r="BK20" s="159">
        <f t="shared" si="47"/>
        <v>1.2775211235714903</v>
      </c>
      <c r="BL20" s="159">
        <f t="shared" si="48"/>
        <v>6.4514330578815819</v>
      </c>
      <c r="BM20" s="159">
        <f t="shared" si="49"/>
        <v>7.5193891742480403</v>
      </c>
      <c r="BN20" s="159">
        <f t="shared" si="50"/>
        <v>0.92867294858226324</v>
      </c>
      <c r="BO20" s="159">
        <f t="shared" si="51"/>
        <v>0.8710371297078342</v>
      </c>
      <c r="BP20" s="159">
        <f t="shared" si="52"/>
        <v>0.32905847122295961</v>
      </c>
      <c r="BQ20" s="159">
        <f t="shared" si="53"/>
        <v>5.1645330253382742</v>
      </c>
      <c r="BR20" s="159">
        <f t="shared" si="54"/>
        <v>10.946796382245971</v>
      </c>
      <c r="BS20" s="159">
        <f t="shared" si="55"/>
        <v>2.4109778472808761</v>
      </c>
      <c r="BT20" s="159">
        <f t="shared" si="56"/>
        <v>1.3743030268723604</v>
      </c>
      <c r="BU20" s="159">
        <f t="shared" si="57"/>
        <v>1.1807392202706197</v>
      </c>
      <c r="BV20" s="159">
        <f t="shared" si="58"/>
        <v>7.7044673000948025</v>
      </c>
      <c r="BW20" s="159">
        <f t="shared" si="59"/>
        <v>9.402597442868224</v>
      </c>
      <c r="BX20" s="159">
        <f t="shared" si="60"/>
        <v>2.1609505149702661</v>
      </c>
      <c r="BY20" s="159">
        <f t="shared" si="61"/>
        <v>1.3743030268723604</v>
      </c>
      <c r="BZ20" s="159">
        <f t="shared" si="62"/>
        <v>1.1807392202706197</v>
      </c>
      <c r="CA20" s="159">
        <f t="shared" si="63"/>
        <v>10.684656849142463</v>
      </c>
      <c r="CB20" s="159">
        <f t="shared" si="64"/>
        <v>7.5458501727139531</v>
      </c>
      <c r="CC20" s="159">
        <f t="shared" si="65"/>
        <v>2.6431460844264412</v>
      </c>
      <c r="CD20" s="159">
        <f t="shared" si="66"/>
        <v>6.8747554370076704</v>
      </c>
      <c r="CE20" s="159">
        <f t="shared" si="67"/>
        <v>8.2927761941911591</v>
      </c>
      <c r="CF20" s="159">
        <f t="shared" si="68"/>
        <v>17.18268115583901</v>
      </c>
      <c r="CG20" s="159">
        <f t="shared" si="69"/>
        <v>8.2927761941911591</v>
      </c>
      <c r="CH20" s="159">
        <f t="shared" si="70"/>
        <v>7.0345962878221151</v>
      </c>
      <c r="CI20" s="159">
        <f t="shared" si="71"/>
        <v>19.429101280944586</v>
      </c>
      <c r="CJ20" s="159">
        <f t="shared" si="72"/>
        <v>7.0345962878221151</v>
      </c>
      <c r="CK20" s="159">
        <f t="shared" si="73"/>
        <v>4.2332237912608806</v>
      </c>
    </row>
    <row r="21" spans="1:89" x14ac:dyDescent="0.25">
      <c r="A21" t="str">
        <f>PLANTILLA!D24</f>
        <v>P .Trivadi</v>
      </c>
      <c r="B21" s="521">
        <f>PLANTILLA!E24</f>
        <v>26</v>
      </c>
      <c r="C21" s="521">
        <f ca="1">PLANTILLA!F24</f>
        <v>97</v>
      </c>
      <c r="D21" s="521"/>
      <c r="E21" s="317">
        <v>41973</v>
      </c>
      <c r="F21" s="371">
        <f>PLANTILLA!O24</f>
        <v>5</v>
      </c>
      <c r="G21" s="439">
        <f t="shared" si="78"/>
        <v>0.84515425472851657</v>
      </c>
      <c r="H21" s="439">
        <f t="shared" si="75"/>
        <v>0.92504826128926143</v>
      </c>
      <c r="I21" s="530">
        <v>1.5</v>
      </c>
      <c r="J21" s="531">
        <f>PLANTILLA!I24</f>
        <v>5.3</v>
      </c>
      <c r="K21" s="163">
        <f>PLANTILLA!V24</f>
        <v>0</v>
      </c>
      <c r="L21" s="163">
        <f>PLANTILLA!W24</f>
        <v>4</v>
      </c>
      <c r="M21" s="163">
        <f>PLANTILLA!X24</f>
        <v>5.5138722222222212</v>
      </c>
      <c r="N21" s="163">
        <f>PLANTILLA!Y24</f>
        <v>5.47</v>
      </c>
      <c r="O21" s="163">
        <f>PLANTILLA!Z24</f>
        <v>10.799999999999999</v>
      </c>
      <c r="P21" s="163">
        <f>PLANTILLA!AA24</f>
        <v>8.384500000000001</v>
      </c>
      <c r="Q21" s="163">
        <f>PLANTILLA!AB24</f>
        <v>13.566666666666668</v>
      </c>
      <c r="R21" s="163">
        <f t="shared" si="2"/>
        <v>3.5749999999999997</v>
      </c>
      <c r="S21" s="163">
        <f t="shared" si="3"/>
        <v>19.229136229090329</v>
      </c>
      <c r="T21" s="163">
        <f t="shared" si="4"/>
        <v>0.82622500000000021</v>
      </c>
      <c r="U21" s="163">
        <f t="shared" si="5"/>
        <v>0.56699999999999995</v>
      </c>
      <c r="V21" s="163">
        <f t="shared" ca="1" si="6"/>
        <v>13.127246754265796</v>
      </c>
      <c r="W21" s="163">
        <f t="shared" ca="1" si="7"/>
        <v>14.368189851270879</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1.8991384648422056</v>
      </c>
      <c r="AE21" s="159">
        <f t="shared" si="15"/>
        <v>2.4440350382787974</v>
      </c>
      <c r="AF21" s="159">
        <f t="shared" si="16"/>
        <v>4.6747019382951605</v>
      </c>
      <c r="AG21" s="159">
        <f t="shared" si="17"/>
        <v>1.2220175191393987</v>
      </c>
      <c r="AH21" s="159">
        <f t="shared" si="18"/>
        <v>3.0721357519506269</v>
      </c>
      <c r="AI21" s="159">
        <f t="shared" si="19"/>
        <v>5.9484450667103008</v>
      </c>
      <c r="AJ21" s="159">
        <f t="shared" si="20"/>
        <v>2.6768002800196351</v>
      </c>
      <c r="AK21" s="159">
        <f t="shared" si="21"/>
        <v>1.3325887547422202</v>
      </c>
      <c r="AL21" s="159">
        <f t="shared" si="22"/>
        <v>4.6661922817670183</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7.5327172723153035</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7.9795733816899403</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7.0300041492688372</v>
      </c>
      <c r="BH21" s="159">
        <f t="shared" si="44"/>
        <v>8.7337883307668029</v>
      </c>
      <c r="BI21" s="159">
        <f t="shared" si="45"/>
        <v>3.19703397943172</v>
      </c>
      <c r="BJ21" s="159">
        <f t="shared" si="46"/>
        <v>3.1358650623418431</v>
      </c>
      <c r="BK21" s="159">
        <f t="shared" si="47"/>
        <v>1.7069451060994778</v>
      </c>
      <c r="BL21" s="159">
        <f t="shared" si="48"/>
        <v>3.0402174584238675</v>
      </c>
      <c r="BM21" s="159">
        <f t="shared" si="49"/>
        <v>8.0071328133747866</v>
      </c>
      <c r="BN21" s="159">
        <f t="shared" si="50"/>
        <v>0.68981646029232124</v>
      </c>
      <c r="BO21" s="159">
        <f t="shared" si="51"/>
        <v>1.1638262087041893</v>
      </c>
      <c r="BP21" s="159">
        <f t="shared" si="52"/>
        <v>0.43966767884380487</v>
      </c>
      <c r="BQ21" s="159">
        <f t="shared" si="53"/>
        <v>2.4337698814154316</v>
      </c>
      <c r="BR21" s="159">
        <f t="shared" si="54"/>
        <v>11.729691691075486</v>
      </c>
      <c r="BS21" s="159">
        <f t="shared" si="55"/>
        <v>1.7908696565281419</v>
      </c>
      <c r="BT21" s="159">
        <f t="shared" si="56"/>
        <v>1.8362591292888317</v>
      </c>
      <c r="BU21" s="159">
        <f t="shared" si="57"/>
        <v>1.5776310829101232</v>
      </c>
      <c r="BV21" s="159">
        <f t="shared" si="58"/>
        <v>3.6307058886689232</v>
      </c>
      <c r="BW21" s="159">
        <f t="shared" si="59"/>
        <v>10.093276884690232</v>
      </c>
      <c r="BX21" s="159">
        <f t="shared" si="60"/>
        <v>1.6051498402955937</v>
      </c>
      <c r="BY21" s="159">
        <f t="shared" si="61"/>
        <v>1.8362591292888317</v>
      </c>
      <c r="BZ21" s="159">
        <f t="shared" si="62"/>
        <v>1.5776310829101232</v>
      </c>
      <c r="CA21" s="159">
        <f t="shared" si="63"/>
        <v>5.0351108038463526</v>
      </c>
      <c r="CB21" s="159">
        <f t="shared" si="64"/>
        <v>8.1311425377236084</v>
      </c>
      <c r="CC21" s="159">
        <f t="shared" si="65"/>
        <v>1.963323771601222</v>
      </c>
      <c r="CD21" s="159">
        <f t="shared" si="66"/>
        <v>3.2397067929661159</v>
      </c>
      <c r="CE21" s="159">
        <f t="shared" si="67"/>
        <v>5.8371418040826821</v>
      </c>
      <c r="CF21" s="159">
        <f t="shared" si="68"/>
        <v>13.528943005560652</v>
      </c>
      <c r="CG21" s="159">
        <f t="shared" si="69"/>
        <v>5.8371418040826821</v>
      </c>
      <c r="CH21" s="159">
        <f t="shared" si="70"/>
        <v>6.3285718223483887</v>
      </c>
      <c r="CI21" s="159">
        <f t="shared" si="71"/>
        <v>15.745244887311307</v>
      </c>
      <c r="CJ21" s="159">
        <f t="shared" si="72"/>
        <v>6.3285718223483887</v>
      </c>
      <c r="CK21" s="159">
        <f t="shared" si="73"/>
        <v>1.9948933454224851</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1"/>
      <c r="L25">
        <f>L15*G15</f>
        <v>9.582238032645904</v>
      </c>
      <c r="M25">
        <f>L15*H15</f>
        <v>10.342604500663398</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1"/>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1"/>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1"/>
    </row>
    <row r="29" spans="1:89" x14ac:dyDescent="0.25">
      <c r="D29" s="521"/>
      <c r="L29" s="47">
        <f>(M25-L27)/M25</f>
        <v>0.22949311822461418</v>
      </c>
      <c r="M29" s="47">
        <f>(L25-M27)/M27</f>
        <v>0.11403170953465099</v>
      </c>
    </row>
    <row r="30" spans="1:89" x14ac:dyDescent="0.25">
      <c r="D30" s="521"/>
    </row>
    <row r="31" spans="1:89" ht="18.75" x14ac:dyDescent="0.3">
      <c r="A31" s="471" t="s">
        <v>741</v>
      </c>
      <c r="B31" s="471" t="s">
        <v>178</v>
      </c>
      <c r="C31" s="471"/>
      <c r="D31" s="472"/>
      <c r="L31" s="47"/>
      <c r="M31" s="47"/>
    </row>
    <row r="32" spans="1:89" x14ac:dyDescent="0.25">
      <c r="A32" s="275" t="s">
        <v>746</v>
      </c>
      <c r="B32" s="473">
        <v>1</v>
      </c>
      <c r="C32" s="532">
        <v>0.624</v>
      </c>
      <c r="D32" s="533">
        <v>0.245</v>
      </c>
    </row>
    <row r="33" spans="1:4" x14ac:dyDescent="0.25">
      <c r="A33" s="275" t="s">
        <v>747</v>
      </c>
      <c r="B33" s="473">
        <v>1</v>
      </c>
      <c r="C33" s="532">
        <v>1.002</v>
      </c>
      <c r="D33" s="533">
        <v>0.34</v>
      </c>
    </row>
    <row r="34" spans="1:4" x14ac:dyDescent="0.25">
      <c r="A34" s="275" t="s">
        <v>748</v>
      </c>
      <c r="B34" s="473">
        <v>1</v>
      </c>
      <c r="C34" s="532">
        <v>0.46800000000000003</v>
      </c>
      <c r="D34" s="533">
        <v>0.125</v>
      </c>
    </row>
    <row r="35" spans="1:4" x14ac:dyDescent="0.25">
      <c r="A35" s="275" t="s">
        <v>749</v>
      </c>
      <c r="B35" s="473">
        <v>1</v>
      </c>
      <c r="C35" s="532">
        <v>0.877</v>
      </c>
      <c r="D35" s="533">
        <v>0.25</v>
      </c>
    </row>
    <row r="36" spans="1:4" x14ac:dyDescent="0.25">
      <c r="A36" s="275" t="s">
        <v>750</v>
      </c>
      <c r="B36" s="473">
        <v>1</v>
      </c>
      <c r="C36" s="532">
        <v>0.59299999999999997</v>
      </c>
      <c r="D36" s="533">
        <v>0.19</v>
      </c>
    </row>
  </sheetData>
  <conditionalFormatting sqref="V3:W27">
    <cfRule type="cellIs" dxfId="345" priority="27" operator="greaterThan">
      <formula>15</formula>
    </cfRule>
  </conditionalFormatting>
  <conditionalFormatting sqref="R22:S27 R3:R21">
    <cfRule type="cellIs" dxfId="344" priority="26" operator="greaterThan">
      <formula>3.2</formula>
    </cfRule>
  </conditionalFormatting>
  <conditionalFormatting sqref="T3:U27">
    <cfRule type="cellIs" dxfId="343" priority="25" operator="greaterThan">
      <formula>0.6</formula>
    </cfRule>
  </conditionalFormatting>
  <conditionalFormatting sqref="AI22:AJ27 X22:AC27 AC3:AH9 BM3:BS27 BH3:BK27 BB3:BE27 AP3:AS27 AC10:AC21 X3:AA21 AJ3:AJ21 BT3:BX21 BY3:CK27 AD10:AH27 AU3:AZ27 AL3:AN27">
    <cfRule type="cellIs" dxfId="342" priority="24" operator="greaterThan">
      <formula>12.5</formula>
    </cfRule>
  </conditionalFormatting>
  <conditionalFormatting sqref="BL22:BL27 BG22:BG27 AT22:AT27">
    <cfRule type="cellIs" dxfId="341" priority="23" operator="greaterThan">
      <formula>12.5</formula>
    </cfRule>
  </conditionalFormatting>
  <conditionalFormatting sqref="J3:J21">
    <cfRule type="cellIs" dxfId="340" priority="21" operator="greaterThan">
      <formula>7</formula>
    </cfRule>
  </conditionalFormatting>
  <conditionalFormatting sqref="BA22:BA27">
    <cfRule type="cellIs" dxfId="339" priority="13" operator="greaterThan">
      <formula>12.5</formula>
    </cfRule>
  </conditionalFormatting>
  <conditionalFormatting sqref="AB3:AB21 AI3:AI21 AT3:AT21 BA3:BA21 BL3:BL21 BG3:BG21">
    <cfRule type="cellIs" dxfId="338" priority="9" operator="greaterThan">
      <formula>12</formula>
    </cfRule>
  </conditionalFormatting>
  <conditionalFormatting sqref="BT22:BU27">
    <cfRule type="cellIs" dxfId="337" priority="4" operator="greaterThan">
      <formula>12.5</formula>
    </cfRule>
  </conditionalFormatting>
  <conditionalFormatting sqref="BV22:BV27">
    <cfRule type="cellIs" dxfId="336" priority="3" operator="greaterThan">
      <formula>12.5</formula>
    </cfRule>
  </conditionalFormatting>
  <conditionalFormatting sqref="BW22:BX27">
    <cfRule type="cellIs" dxfId="335"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51</vt:i4>
      </vt:variant>
    </vt:vector>
  </HeadingPairs>
  <TitlesOfParts>
    <vt:vector size="51" baseType="lpstr">
      <vt:lpstr>RecienPromocionados</vt:lpstr>
      <vt:lpstr>Resistencia</vt:lpstr>
      <vt:lpstr>CA_Calculator</vt:lpstr>
      <vt:lpstr>TL_Tactica</vt:lpstr>
      <vt:lpstr>CAPITAN</vt:lpstr>
      <vt:lpstr>ENTRENADOR</vt:lpstr>
      <vt:lpstr>TablasEntreno</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2017-11-21T16:25:21Z</dcterms:modified>
</cp:coreProperties>
</file>