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3" activeTab="8"/>
  </bookViews>
  <sheets>
    <sheet name="Resistencia" sheetId="6" r:id="rId1"/>
    <sheet name="Amortización" sheetId="5" r:id="rId2"/>
    <sheet name="TL_v1" sheetId="7" r:id="rId3"/>
    <sheet name="Planning_v3" sheetId="11" r:id="rId4"/>
    <sheet name="PLANTILLA" sheetId="1" r:id="rId5"/>
    <sheet name="Evaluacion Jugadores" sheetId="3" r:id="rId6"/>
    <sheet name="CambioENTRENADOR" sheetId="9" r:id="rId7"/>
    <sheet name="Rendimiento_ENTRENAMIENTO" sheetId="10" r:id="rId8"/>
    <sheet name="Calculador de Sueldo" sheetId="2" r:id="rId9"/>
    <sheet name="Empleados" sheetId="4" r:id="rId10"/>
  </sheets>
  <calcPr calcId="152511"/>
</workbook>
</file>

<file path=xl/calcChain.xml><?xml version="1.0" encoding="utf-8"?>
<calcChain xmlns="http://schemas.openxmlformats.org/spreadsheetml/2006/main">
  <c r="C4" i="2" l="1"/>
  <c r="C7" i="2"/>
  <c r="A28" i="3" l="1"/>
  <c r="B28" i="3"/>
  <c r="D28" i="3"/>
  <c r="BZ28" i="3" s="1"/>
  <c r="F28" i="3"/>
  <c r="G28" i="3" s="1"/>
  <c r="I28" i="3"/>
  <c r="J28" i="3"/>
  <c r="K28" i="3"/>
  <c r="L28" i="3"/>
  <c r="M28" i="3"/>
  <c r="BF28" i="3" s="1"/>
  <c r="N28" i="3"/>
  <c r="O28" i="3"/>
  <c r="P28" i="3"/>
  <c r="Q28" i="3"/>
  <c r="V28" i="3" s="1"/>
  <c r="R28" i="3"/>
  <c r="U28" i="3"/>
  <c r="W28" i="3"/>
  <c r="Y28" i="3" s="1"/>
  <c r="X28" i="3"/>
  <c r="Z28" i="3"/>
  <c r="AB28" i="3" s="1"/>
  <c r="AA28" i="3"/>
  <c r="AD28" i="3"/>
  <c r="AF28" i="3" s="1"/>
  <c r="AE28" i="3"/>
  <c r="AH28" i="3"/>
  <c r="AI28" i="3"/>
  <c r="AK28" i="3"/>
  <c r="AL28" i="3"/>
  <c r="AM28" i="3"/>
  <c r="AO28" i="3"/>
  <c r="AP28" i="3"/>
  <c r="AR28" i="3" s="1"/>
  <c r="AQ28" i="3"/>
  <c r="AT28" i="3"/>
  <c r="AV28" i="3" s="1"/>
  <c r="AU28" i="3"/>
  <c r="AW28" i="3"/>
  <c r="AY28" i="3" s="1"/>
  <c r="AX28" i="3"/>
  <c r="BA28" i="3"/>
  <c r="BC28" i="3" s="1"/>
  <c r="BB28" i="3"/>
  <c r="BD28" i="3"/>
  <c r="BE28" i="3"/>
  <c r="BG28" i="3"/>
  <c r="BH28" i="3"/>
  <c r="BI28" i="3"/>
  <c r="BJ28" i="3"/>
  <c r="BL28" i="3"/>
  <c r="BM28" i="3"/>
  <c r="BN28" i="3"/>
  <c r="BO28" i="3"/>
  <c r="BQ28" i="3"/>
  <c r="BR28" i="3"/>
  <c r="BS28" i="3"/>
  <c r="BT28" i="3"/>
  <c r="BU28" i="3"/>
  <c r="BV28" i="3"/>
  <c r="BW28" i="3"/>
  <c r="BY28" i="3"/>
  <c r="CA28" i="3" s="1"/>
  <c r="CB28" i="3"/>
  <c r="CD28" i="3" s="1"/>
  <c r="CC28" i="3"/>
  <c r="A29" i="3"/>
  <c r="B29" i="3"/>
  <c r="D29" i="3"/>
  <c r="F29" i="3"/>
  <c r="G29" i="3"/>
  <c r="H29" i="3"/>
  <c r="I29" i="3"/>
  <c r="J29" i="3"/>
  <c r="K29" i="3"/>
  <c r="X29" i="3" s="1"/>
  <c r="L29" i="3"/>
  <c r="Z29" i="3" s="1"/>
  <c r="AB29" i="3" s="1"/>
  <c r="M29" i="3"/>
  <c r="N29" i="3"/>
  <c r="O29" i="3"/>
  <c r="BH29" i="3" s="1"/>
  <c r="P29" i="3"/>
  <c r="Q29" i="3"/>
  <c r="V29" i="3" s="1"/>
  <c r="S29" i="3"/>
  <c r="T29" i="3"/>
  <c r="U29" i="3"/>
  <c r="W29" i="3"/>
  <c r="Y29" i="3" s="1"/>
  <c r="AA29" i="3"/>
  <c r="AC29" i="3"/>
  <c r="AE29" i="3"/>
  <c r="AG29" i="3"/>
  <c r="AI29" i="3"/>
  <c r="AJ29" i="3"/>
  <c r="AK29" i="3"/>
  <c r="AL29" i="3"/>
  <c r="AM29" i="3"/>
  <c r="AN29" i="3"/>
  <c r="AP29" i="3"/>
  <c r="AR29" i="3" s="1"/>
  <c r="AQ29" i="3"/>
  <c r="AS29" i="3"/>
  <c r="AU29" i="3"/>
  <c r="AW29" i="3"/>
  <c r="AY29" i="3" s="1"/>
  <c r="AX29" i="3"/>
  <c r="AZ29" i="3"/>
  <c r="BD29" i="3"/>
  <c r="BE29" i="3"/>
  <c r="BF29" i="3"/>
  <c r="BG29" i="3"/>
  <c r="BI29" i="3"/>
  <c r="BJ29" i="3"/>
  <c r="BK29" i="3"/>
  <c r="BN29" i="3"/>
  <c r="BO29" i="3"/>
  <c r="BP29" i="3"/>
  <c r="BS29" i="3"/>
  <c r="BT29" i="3"/>
  <c r="BU29" i="3"/>
  <c r="BW29" i="3"/>
  <c r="BX29" i="3"/>
  <c r="CE29" i="3"/>
  <c r="A17" i="3"/>
  <c r="B17" i="3"/>
  <c r="D17" i="3"/>
  <c r="BZ17" i="3" s="1"/>
  <c r="F17" i="3"/>
  <c r="G17" i="3" s="1"/>
  <c r="I17" i="3"/>
  <c r="J17" i="3"/>
  <c r="K17" i="3"/>
  <c r="L17" i="3"/>
  <c r="M17" i="3"/>
  <c r="N17" i="3"/>
  <c r="O17" i="3"/>
  <c r="P17" i="3"/>
  <c r="Q17" i="3"/>
  <c r="R17" i="3"/>
  <c r="U17" i="3"/>
  <c r="W17" i="3"/>
  <c r="Y17" i="3" s="1"/>
  <c r="X17" i="3"/>
  <c r="Z17" i="3"/>
  <c r="AB17" i="3" s="1"/>
  <c r="AA17" i="3"/>
  <c r="AC17" i="3"/>
  <c r="AD17" i="3"/>
  <c r="AF17" i="3" s="1"/>
  <c r="AE17" i="3"/>
  <c r="AG17" i="3"/>
  <c r="AH17" i="3"/>
  <c r="AI17" i="3"/>
  <c r="AK17" i="3"/>
  <c r="AL17" i="3"/>
  <c r="AM17" i="3"/>
  <c r="AO17" i="3"/>
  <c r="AP17" i="3"/>
  <c r="AR17" i="3" s="1"/>
  <c r="AQ17" i="3"/>
  <c r="AS17" i="3"/>
  <c r="AT17" i="3"/>
  <c r="AV17" i="3" s="1"/>
  <c r="AU17" i="3"/>
  <c r="AW17" i="3"/>
  <c r="AY17" i="3" s="1"/>
  <c r="AX17" i="3"/>
  <c r="BA17" i="3"/>
  <c r="BC17" i="3" s="1"/>
  <c r="BB17" i="3"/>
  <c r="BD17" i="3"/>
  <c r="BE17" i="3"/>
  <c r="BG17" i="3"/>
  <c r="BH17" i="3"/>
  <c r="BI17" i="3"/>
  <c r="BJ17" i="3"/>
  <c r="BL17" i="3"/>
  <c r="BM17" i="3"/>
  <c r="BN17" i="3"/>
  <c r="BO17" i="3"/>
  <c r="BQ17" i="3"/>
  <c r="BR17" i="3"/>
  <c r="BS17" i="3"/>
  <c r="BT17" i="3"/>
  <c r="BU17" i="3"/>
  <c r="BV17" i="3"/>
  <c r="BW17" i="3"/>
  <c r="BY17" i="3"/>
  <c r="CA17" i="3" s="1"/>
  <c r="CB17" i="3"/>
  <c r="CD17" i="3" s="1"/>
  <c r="CC17" i="3"/>
  <c r="A18" i="3"/>
  <c r="B18" i="3"/>
  <c r="D18" i="3"/>
  <c r="F18" i="3"/>
  <c r="G18" i="3"/>
  <c r="H18" i="3"/>
  <c r="I18" i="3"/>
  <c r="J18" i="3"/>
  <c r="K18" i="3"/>
  <c r="X18" i="3" s="1"/>
  <c r="L18" i="3"/>
  <c r="M18" i="3"/>
  <c r="AJ18" i="3" s="1"/>
  <c r="N18" i="3"/>
  <c r="O18" i="3"/>
  <c r="P18" i="3"/>
  <c r="Q18" i="3"/>
  <c r="T18" i="3" s="1"/>
  <c r="S18" i="3"/>
  <c r="U18" i="3"/>
  <c r="Z18" i="3"/>
  <c r="AB18" i="3" s="1"/>
  <c r="AA18" i="3"/>
  <c r="AC18" i="3"/>
  <c r="AD18" i="3"/>
  <c r="AF18" i="3" s="1"/>
  <c r="AE18" i="3"/>
  <c r="AG18" i="3"/>
  <c r="AH18" i="3"/>
  <c r="AI18" i="3"/>
  <c r="AK18" i="3"/>
  <c r="AL18" i="3"/>
  <c r="AM18" i="3"/>
  <c r="AN18" i="3"/>
  <c r="AP18" i="3"/>
  <c r="AR18" i="3" s="1"/>
  <c r="AQ18" i="3"/>
  <c r="AS18" i="3"/>
  <c r="AU18" i="3"/>
  <c r="AW18" i="3"/>
  <c r="AY18" i="3" s="1"/>
  <c r="AX18" i="3"/>
  <c r="AZ18" i="3"/>
  <c r="BD18" i="3"/>
  <c r="BE18" i="3"/>
  <c r="BF18" i="3"/>
  <c r="BG18" i="3"/>
  <c r="BI18" i="3"/>
  <c r="BJ18" i="3"/>
  <c r="BK18" i="3"/>
  <c r="BN18" i="3"/>
  <c r="BO18" i="3"/>
  <c r="BP18" i="3"/>
  <c r="BS18" i="3"/>
  <c r="BT18" i="3"/>
  <c r="BU18" i="3"/>
  <c r="BW18" i="3"/>
  <c r="BX18" i="3"/>
  <c r="CE18" i="3"/>
  <c r="A19" i="3"/>
  <c r="B19" i="3"/>
  <c r="D19" i="3"/>
  <c r="F19" i="3"/>
  <c r="G19" i="3"/>
  <c r="H19" i="3"/>
  <c r="I19" i="3"/>
  <c r="J19" i="3"/>
  <c r="K19" i="3"/>
  <c r="X19" i="3" s="1"/>
  <c r="L19" i="3"/>
  <c r="Z19" i="3" s="1"/>
  <c r="AB19" i="3" s="1"/>
  <c r="M19" i="3"/>
  <c r="N19" i="3"/>
  <c r="O19" i="3"/>
  <c r="R19" i="3" s="1"/>
  <c r="P19" i="3"/>
  <c r="Q19" i="3"/>
  <c r="W19" i="3"/>
  <c r="Y19" i="3" s="1"/>
  <c r="AA19" i="3"/>
  <c r="AE19" i="3"/>
  <c r="AI19" i="3"/>
  <c r="AK19" i="3"/>
  <c r="AM19" i="3"/>
  <c r="AO19" i="3"/>
  <c r="AQ19" i="3"/>
  <c r="AU19" i="3"/>
  <c r="AW19" i="3"/>
  <c r="AY19" i="3" s="1"/>
  <c r="AX19" i="3"/>
  <c r="BA19" i="3"/>
  <c r="BC19" i="3" s="1"/>
  <c r="BD19" i="3"/>
  <c r="BE19" i="3"/>
  <c r="BG19" i="3"/>
  <c r="BH19" i="3"/>
  <c r="BI19" i="3"/>
  <c r="BJ19" i="3"/>
  <c r="BL19" i="3"/>
  <c r="BM19" i="3"/>
  <c r="BN19" i="3"/>
  <c r="BO19" i="3"/>
  <c r="BQ19" i="3"/>
  <c r="BR19" i="3"/>
  <c r="BS19" i="3"/>
  <c r="BT19" i="3"/>
  <c r="BU19" i="3"/>
  <c r="BV19" i="3"/>
  <c r="BW19" i="3"/>
  <c r="CB19" i="3"/>
  <c r="CD19" i="3" s="1"/>
  <c r="CC19" i="3"/>
  <c r="A20" i="3"/>
  <c r="B20" i="3"/>
  <c r="D20" i="3"/>
  <c r="F20" i="3"/>
  <c r="H20" i="3" s="1"/>
  <c r="G20" i="3"/>
  <c r="I20" i="3"/>
  <c r="J20" i="3"/>
  <c r="BD20" i="3" s="1"/>
  <c r="K20" i="3"/>
  <c r="X20" i="3" s="1"/>
  <c r="L20" i="3"/>
  <c r="M20" i="3"/>
  <c r="AJ20" i="3" s="1"/>
  <c r="N20" i="3"/>
  <c r="O20" i="3"/>
  <c r="P20" i="3"/>
  <c r="Q20" i="3"/>
  <c r="T20" i="3" s="1"/>
  <c r="S20" i="3"/>
  <c r="U20" i="3"/>
  <c r="Z20" i="3"/>
  <c r="AB20" i="3" s="1"/>
  <c r="AA20" i="3"/>
  <c r="AC20" i="3"/>
  <c r="AD20" i="3"/>
  <c r="AF20" i="3" s="1"/>
  <c r="AE20" i="3"/>
  <c r="AG20" i="3"/>
  <c r="AH20" i="3"/>
  <c r="AI20" i="3"/>
  <c r="AK20" i="3"/>
  <c r="AL20" i="3"/>
  <c r="AM20" i="3"/>
  <c r="AP20" i="3"/>
  <c r="AR20" i="3" s="1"/>
  <c r="AQ20" i="3"/>
  <c r="AS20" i="3"/>
  <c r="AU20" i="3"/>
  <c r="AW20" i="3"/>
  <c r="AY20" i="3" s="1"/>
  <c r="AX20" i="3"/>
  <c r="BE20" i="3"/>
  <c r="BF20" i="3"/>
  <c r="BG20" i="3"/>
  <c r="BI20" i="3"/>
  <c r="BJ20" i="3"/>
  <c r="BK20" i="3"/>
  <c r="BN20" i="3"/>
  <c r="BO20" i="3"/>
  <c r="BS20" i="3"/>
  <c r="BT20" i="3"/>
  <c r="BU20" i="3"/>
  <c r="BW20" i="3"/>
  <c r="CE20" i="3"/>
  <c r="A21" i="3"/>
  <c r="B21" i="3"/>
  <c r="D21" i="3"/>
  <c r="BZ21" i="3" s="1"/>
  <c r="F21" i="3"/>
  <c r="G21" i="3"/>
  <c r="H21" i="3"/>
  <c r="I21" i="3"/>
  <c r="J21" i="3"/>
  <c r="K21" i="3"/>
  <c r="L21" i="3"/>
  <c r="Z21" i="3" s="1"/>
  <c r="AB21" i="3" s="1"/>
  <c r="M21" i="3"/>
  <c r="N21" i="3"/>
  <c r="O21" i="3"/>
  <c r="R21" i="3" s="1"/>
  <c r="AO21" i="3" s="1"/>
  <c r="P21" i="3"/>
  <c r="BB21" i="3" s="1"/>
  <c r="Q21" i="3"/>
  <c r="U21" i="3"/>
  <c r="X21" i="3"/>
  <c r="AA21" i="3"/>
  <c r="AC21" i="3"/>
  <c r="AE21" i="3"/>
  <c r="AG21" i="3"/>
  <c r="AI21" i="3"/>
  <c r="AK21" i="3"/>
  <c r="AM21" i="3"/>
  <c r="AQ21" i="3"/>
  <c r="AS21" i="3"/>
  <c r="AU21" i="3"/>
  <c r="AW21" i="3"/>
  <c r="AY21" i="3" s="1"/>
  <c r="BA21" i="3"/>
  <c r="BC21" i="3" s="1"/>
  <c r="BD21" i="3"/>
  <c r="BE21" i="3"/>
  <c r="BG21" i="3"/>
  <c r="BH21" i="3"/>
  <c r="BI21" i="3"/>
  <c r="BK21" i="3"/>
  <c r="BL21" i="3"/>
  <c r="BM21" i="3"/>
  <c r="BO21" i="3"/>
  <c r="BP21" i="3"/>
  <c r="BQ21" i="3"/>
  <c r="BS21" i="3"/>
  <c r="BT21" i="3"/>
  <c r="BU21" i="3"/>
  <c r="BW21" i="3"/>
  <c r="BX21" i="3"/>
  <c r="BY21" i="3"/>
  <c r="CA21" i="3" s="1"/>
  <c r="CB21" i="3"/>
  <c r="CD21" i="3" s="1"/>
  <c r="CC21" i="3"/>
  <c r="CE21" i="3"/>
  <c r="A22" i="3"/>
  <c r="B22" i="3"/>
  <c r="D22" i="3"/>
  <c r="F22" i="3"/>
  <c r="H22" i="3" s="1"/>
  <c r="I22" i="3"/>
  <c r="J22" i="3"/>
  <c r="K22" i="3"/>
  <c r="L22" i="3"/>
  <c r="M22" i="3"/>
  <c r="N22" i="3"/>
  <c r="O22" i="3"/>
  <c r="BA22" i="3" s="1"/>
  <c r="BC22" i="3" s="1"/>
  <c r="P22" i="3"/>
  <c r="Q22" i="3"/>
  <c r="R22" i="3"/>
  <c r="AO22" i="3" s="1"/>
  <c r="W22" i="3"/>
  <c r="Y22" i="3" s="1"/>
  <c r="AC22" i="3"/>
  <c r="AM22" i="3"/>
  <c r="AS22" i="3"/>
  <c r="AX22" i="3"/>
  <c r="BI22" i="3"/>
  <c r="BN22" i="3"/>
  <c r="BO22" i="3"/>
  <c r="BU22" i="3"/>
  <c r="BY22" i="3"/>
  <c r="CA22" i="3" s="1"/>
  <c r="BZ22" i="3"/>
  <c r="CE22" i="3"/>
  <c r="A23" i="3"/>
  <c r="B23" i="3"/>
  <c r="D23" i="3"/>
  <c r="BZ23" i="3" s="1"/>
  <c r="F23" i="3"/>
  <c r="G23" i="3"/>
  <c r="H23" i="3"/>
  <c r="I23" i="3"/>
  <c r="J23" i="3"/>
  <c r="K23" i="3"/>
  <c r="X23" i="3" s="1"/>
  <c r="L23" i="3"/>
  <c r="M23" i="3"/>
  <c r="N23" i="3"/>
  <c r="O23" i="3"/>
  <c r="P23" i="3"/>
  <c r="Q23" i="3"/>
  <c r="U23" i="3"/>
  <c r="W23" i="3"/>
  <c r="Y23" i="3" s="1"/>
  <c r="AA23" i="3"/>
  <c r="AG23" i="3"/>
  <c r="AK23" i="3"/>
  <c r="AM23" i="3"/>
  <c r="AQ23" i="3"/>
  <c r="AW23" i="3"/>
  <c r="AY23" i="3" s="1"/>
  <c r="AZ23" i="3"/>
  <c r="BA23" i="3"/>
  <c r="BC23" i="3" s="1"/>
  <c r="BD23" i="3"/>
  <c r="BE23" i="3"/>
  <c r="BG23" i="3"/>
  <c r="BH23" i="3"/>
  <c r="BI23" i="3"/>
  <c r="BL23" i="3"/>
  <c r="BM23" i="3"/>
  <c r="BP23" i="3"/>
  <c r="BQ23" i="3"/>
  <c r="BT23" i="3"/>
  <c r="BU23" i="3"/>
  <c r="BW23" i="3"/>
  <c r="BY23" i="3"/>
  <c r="CA23" i="3" s="1"/>
  <c r="CB23" i="3"/>
  <c r="CD23" i="3" s="1"/>
  <c r="CC23" i="3"/>
  <c r="A24" i="3"/>
  <c r="B24" i="3"/>
  <c r="D24" i="3"/>
  <c r="F24" i="3"/>
  <c r="H24" i="3" s="1"/>
  <c r="I24" i="3"/>
  <c r="J24" i="3"/>
  <c r="K24" i="3"/>
  <c r="X24" i="3" s="1"/>
  <c r="L24" i="3"/>
  <c r="M24" i="3"/>
  <c r="N24" i="3"/>
  <c r="O24" i="3"/>
  <c r="AU24" i="3" s="1"/>
  <c r="P24" i="3"/>
  <c r="Q24" i="3"/>
  <c r="T24" i="3" s="1"/>
  <c r="S24" i="3"/>
  <c r="Z24" i="3"/>
  <c r="AB24" i="3" s="1"/>
  <c r="AA24" i="3"/>
  <c r="AH24" i="3"/>
  <c r="AI24" i="3"/>
  <c r="AM24" i="3"/>
  <c r="AP24" i="3"/>
  <c r="AR24" i="3" s="1"/>
  <c r="AQ24" i="3"/>
  <c r="AX24" i="3"/>
  <c r="BF24" i="3"/>
  <c r="BG24" i="3"/>
  <c r="BK24" i="3"/>
  <c r="BN24" i="3"/>
  <c r="BO24" i="3"/>
  <c r="BS24" i="3"/>
  <c r="BW24" i="3"/>
  <c r="CE24" i="3"/>
  <c r="A25" i="3"/>
  <c r="B25" i="3"/>
  <c r="D25" i="3"/>
  <c r="BZ25" i="3" s="1"/>
  <c r="F25" i="3"/>
  <c r="G25" i="3"/>
  <c r="H25" i="3"/>
  <c r="I25" i="3"/>
  <c r="J25" i="3"/>
  <c r="K25" i="3"/>
  <c r="L25" i="3"/>
  <c r="M25" i="3"/>
  <c r="AC25" i="3" s="1"/>
  <c r="N25" i="3"/>
  <c r="O25" i="3"/>
  <c r="P25" i="3"/>
  <c r="Q25" i="3"/>
  <c r="V25" i="3" s="1"/>
  <c r="X25" i="3"/>
  <c r="AG25" i="3"/>
  <c r="AK25" i="3"/>
  <c r="AW25" i="3"/>
  <c r="AY25" i="3" s="1"/>
  <c r="BA25" i="3"/>
  <c r="BC25" i="3" s="1"/>
  <c r="BD25" i="3"/>
  <c r="BE25" i="3"/>
  <c r="BG25" i="3"/>
  <c r="BH25" i="3"/>
  <c r="BI25" i="3"/>
  <c r="BL25" i="3"/>
  <c r="BM25" i="3"/>
  <c r="BO25" i="3"/>
  <c r="BQ25" i="3"/>
  <c r="BT25" i="3"/>
  <c r="BW25" i="3"/>
  <c r="CB25" i="3"/>
  <c r="CD25" i="3" s="1"/>
  <c r="A26" i="3"/>
  <c r="B26" i="3"/>
  <c r="D26" i="3"/>
  <c r="F26" i="3"/>
  <c r="H26" i="3" s="1"/>
  <c r="G26" i="3"/>
  <c r="I26" i="3"/>
  <c r="J26" i="3"/>
  <c r="K26" i="3"/>
  <c r="X26" i="3" s="1"/>
  <c r="L26" i="3"/>
  <c r="M26" i="3"/>
  <c r="BF26" i="3" s="1"/>
  <c r="N26" i="3"/>
  <c r="O26" i="3"/>
  <c r="BH26" i="3" s="1"/>
  <c r="P26" i="3"/>
  <c r="Q26" i="3"/>
  <c r="U26" i="3" s="1"/>
  <c r="V26" i="3"/>
  <c r="Z26" i="3"/>
  <c r="AB26" i="3" s="1"/>
  <c r="AA26" i="3"/>
  <c r="AD26" i="3"/>
  <c r="AF26" i="3" s="1"/>
  <c r="AE26" i="3"/>
  <c r="AG26" i="3"/>
  <c r="AH26" i="3"/>
  <c r="AI26" i="3"/>
  <c r="AK26" i="3"/>
  <c r="AL26" i="3"/>
  <c r="AM26" i="3"/>
  <c r="AP26" i="3"/>
  <c r="AR26" i="3" s="1"/>
  <c r="AQ26" i="3"/>
  <c r="AT26" i="3"/>
  <c r="AV26" i="3" s="1"/>
  <c r="AU26" i="3"/>
  <c r="AW26" i="3"/>
  <c r="AY26" i="3" s="1"/>
  <c r="AX26" i="3"/>
  <c r="BA26" i="3"/>
  <c r="BC26" i="3" s="1"/>
  <c r="BB26" i="3"/>
  <c r="BE26" i="3"/>
  <c r="BG26" i="3"/>
  <c r="BI26" i="3"/>
  <c r="BJ26" i="3"/>
  <c r="BM26" i="3"/>
  <c r="BN26" i="3"/>
  <c r="BO26" i="3"/>
  <c r="BQ26" i="3"/>
  <c r="BR26" i="3"/>
  <c r="BS26" i="3"/>
  <c r="BV26" i="3"/>
  <c r="BW26" i="3"/>
  <c r="BY26" i="3"/>
  <c r="CA26" i="3" s="1"/>
  <c r="BZ26" i="3"/>
  <c r="CC26" i="3"/>
  <c r="CE26" i="3"/>
  <c r="A27" i="3"/>
  <c r="B27" i="3"/>
  <c r="D27" i="3"/>
  <c r="BZ27" i="3" s="1"/>
  <c r="F27" i="3"/>
  <c r="G27" i="3"/>
  <c r="H27" i="3"/>
  <c r="I27" i="3"/>
  <c r="J27" i="3"/>
  <c r="K27" i="3"/>
  <c r="L27" i="3"/>
  <c r="Z27" i="3" s="1"/>
  <c r="AB27" i="3" s="1"/>
  <c r="M27" i="3"/>
  <c r="BF27" i="3" s="1"/>
  <c r="N27" i="3"/>
  <c r="O27" i="3"/>
  <c r="R27" i="3" s="1"/>
  <c r="AO27" i="3" s="1"/>
  <c r="P27" i="3"/>
  <c r="BB27" i="3" s="1"/>
  <c r="Q27" i="3"/>
  <c r="V27" i="3" s="1"/>
  <c r="U27" i="3"/>
  <c r="W27" i="3"/>
  <c r="Y27" i="3" s="1"/>
  <c r="X27" i="3"/>
  <c r="AA27" i="3"/>
  <c r="AC27" i="3"/>
  <c r="AE27" i="3"/>
  <c r="AG27" i="3"/>
  <c r="AI27" i="3"/>
  <c r="AK27" i="3"/>
  <c r="AM27" i="3"/>
  <c r="AQ27" i="3"/>
  <c r="AS27" i="3"/>
  <c r="AU27" i="3"/>
  <c r="AW27" i="3"/>
  <c r="AY27" i="3" s="1"/>
  <c r="BA27" i="3"/>
  <c r="BC27" i="3" s="1"/>
  <c r="BD27" i="3"/>
  <c r="BE27" i="3"/>
  <c r="BG27" i="3"/>
  <c r="BH27" i="3"/>
  <c r="BI27" i="3"/>
  <c r="BL27" i="3"/>
  <c r="BM27" i="3"/>
  <c r="BO27" i="3"/>
  <c r="BQ27" i="3"/>
  <c r="BS27" i="3"/>
  <c r="BT27" i="3"/>
  <c r="BU27" i="3"/>
  <c r="BW27" i="3"/>
  <c r="BY27" i="3"/>
  <c r="CA27" i="3" s="1"/>
  <c r="CB27" i="3"/>
  <c r="CD27" i="3" s="1"/>
  <c r="CC27"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AG28" i="3" l="1"/>
  <c r="BZ29" i="3"/>
  <c r="BV29" i="3"/>
  <c r="BR29" i="3"/>
  <c r="BB29" i="3"/>
  <c r="AT29" i="3"/>
  <c r="AV29" i="3" s="1"/>
  <c r="AH29" i="3"/>
  <c r="AD29" i="3"/>
  <c r="AF29" i="3" s="1"/>
  <c r="R29" i="3"/>
  <c r="AO29" i="3" s="1"/>
  <c r="BX28" i="3"/>
  <c r="BP28" i="3"/>
  <c r="AZ28" i="3"/>
  <c r="AN28" i="3"/>
  <c r="AJ28" i="3"/>
  <c r="T28" i="3"/>
  <c r="H28" i="3"/>
  <c r="AS28" i="3"/>
  <c r="AC28" i="3"/>
  <c r="CC29" i="3"/>
  <c r="BY29" i="3"/>
  <c r="CA29" i="3" s="1"/>
  <c r="BQ29" i="3"/>
  <c r="BM29" i="3"/>
  <c r="BA29" i="3"/>
  <c r="BC29" i="3" s="1"/>
  <c r="CE28" i="3"/>
  <c r="BK28" i="3"/>
  <c r="S28" i="3"/>
  <c r="CB29" i="3"/>
  <c r="CD29" i="3" s="1"/>
  <c r="BL29" i="3"/>
  <c r="BX27" i="3"/>
  <c r="BP27" i="3"/>
  <c r="AZ27" i="3"/>
  <c r="AN27" i="3"/>
  <c r="AJ27" i="3"/>
  <c r="T27" i="3"/>
  <c r="BK26" i="3"/>
  <c r="BU25" i="3"/>
  <c r="BP25" i="3"/>
  <c r="AN25" i="3"/>
  <c r="BB25" i="3"/>
  <c r="S25" i="3"/>
  <c r="AU25" i="3"/>
  <c r="Z25" i="3"/>
  <c r="AB25" i="3" s="1"/>
  <c r="AD25" i="3"/>
  <c r="AF25" i="3" s="1"/>
  <c r="AH25" i="3"/>
  <c r="AL25" i="3"/>
  <c r="AP25" i="3"/>
  <c r="AR25" i="3" s="1"/>
  <c r="AX25" i="3"/>
  <c r="BJ25" i="3"/>
  <c r="BN25" i="3"/>
  <c r="W25" i="3"/>
  <c r="Y25" i="3" s="1"/>
  <c r="AA25" i="3"/>
  <c r="AE25" i="3"/>
  <c r="AI25" i="3"/>
  <c r="AM25" i="3"/>
  <c r="AQ25" i="3"/>
  <c r="BV24" i="3"/>
  <c r="R24" i="3"/>
  <c r="AO24" i="3" s="1"/>
  <c r="BL24" i="3"/>
  <c r="AK24" i="3"/>
  <c r="BQ24" i="3"/>
  <c r="BY24" i="3"/>
  <c r="CA24" i="3" s="1"/>
  <c r="BD24" i="3"/>
  <c r="BT24" i="3"/>
  <c r="CB24" i="3"/>
  <c r="CD24" i="3" s="1"/>
  <c r="U24" i="3"/>
  <c r="AC24" i="3"/>
  <c r="AG24" i="3"/>
  <c r="AS24" i="3"/>
  <c r="AW24" i="3"/>
  <c r="AY24" i="3" s="1"/>
  <c r="BE24" i="3"/>
  <c r="BI24" i="3"/>
  <c r="BU24" i="3"/>
  <c r="CC24" i="3"/>
  <c r="V19" i="3"/>
  <c r="S19" i="3"/>
  <c r="T19" i="3"/>
  <c r="AN19" i="3"/>
  <c r="U19" i="3"/>
  <c r="BF19" i="3"/>
  <c r="BK19" i="3"/>
  <c r="CE19" i="3"/>
  <c r="AJ19" i="3"/>
  <c r="AZ19" i="3"/>
  <c r="BP19" i="3"/>
  <c r="BX19" i="3"/>
  <c r="AC19" i="3"/>
  <c r="AS19" i="3"/>
  <c r="AG19" i="3"/>
  <c r="BZ19" i="3"/>
  <c r="BY19" i="3"/>
  <c r="CA19" i="3" s="1"/>
  <c r="T26" i="3"/>
  <c r="AN26" i="3"/>
  <c r="AJ26" i="3"/>
  <c r="AZ26" i="3"/>
  <c r="BP26" i="3"/>
  <c r="CE27" i="3"/>
  <c r="S27" i="3"/>
  <c r="BU26" i="3"/>
  <c r="S26" i="3"/>
  <c r="CE25" i="3"/>
  <c r="BY25" i="3"/>
  <c r="CA25" i="3" s="1"/>
  <c r="AS25" i="3"/>
  <c r="U25" i="3"/>
  <c r="R25" i="3"/>
  <c r="AO25" i="3" s="1"/>
  <c r="AE24" i="3"/>
  <c r="W24" i="3"/>
  <c r="Y24" i="3" s="1"/>
  <c r="AJ24" i="3"/>
  <c r="V23" i="3"/>
  <c r="AN23" i="3"/>
  <c r="AC23" i="3"/>
  <c r="AS23" i="3"/>
  <c r="BF23" i="3"/>
  <c r="AJ23" i="3"/>
  <c r="BK23" i="3"/>
  <c r="CE23" i="3"/>
  <c r="BL22" i="3"/>
  <c r="AK22" i="3"/>
  <c r="BQ22" i="3"/>
  <c r="BV22" i="3"/>
  <c r="BG22" i="3"/>
  <c r="BD22" i="3"/>
  <c r="BT22" i="3"/>
  <c r="CB22" i="3"/>
  <c r="CD22" i="3" s="1"/>
  <c r="AD22" i="3"/>
  <c r="AF22" i="3" s="1"/>
  <c r="AI22" i="3"/>
  <c r="AT22" i="3"/>
  <c r="AV22" i="3" s="1"/>
  <c r="BE22" i="3"/>
  <c r="BJ22" i="3"/>
  <c r="Z22" i="3"/>
  <c r="AB22" i="3" s="1"/>
  <c r="AE22" i="3"/>
  <c r="AP22" i="3"/>
  <c r="AR22" i="3" s="1"/>
  <c r="AU22" i="3"/>
  <c r="V22" i="3"/>
  <c r="AA22" i="3"/>
  <c r="AG22" i="3"/>
  <c r="AL22" i="3"/>
  <c r="AQ22" i="3"/>
  <c r="AW22" i="3"/>
  <c r="AY22" i="3" s="1"/>
  <c r="BB22" i="3"/>
  <c r="BM22" i="3"/>
  <c r="BR22" i="3"/>
  <c r="BW22" i="3"/>
  <c r="CC22" i="3"/>
  <c r="BF25" i="3"/>
  <c r="BK25" i="3"/>
  <c r="BH24" i="3"/>
  <c r="BA24" i="3"/>
  <c r="BC24" i="3" s="1"/>
  <c r="BM24" i="3"/>
  <c r="BK27" i="3"/>
  <c r="BV27" i="3"/>
  <c r="BR27" i="3"/>
  <c r="BN27" i="3"/>
  <c r="BJ27" i="3"/>
  <c r="AX27" i="3"/>
  <c r="AT27" i="3"/>
  <c r="AV27" i="3" s="1"/>
  <c r="AP27" i="3"/>
  <c r="AR27" i="3" s="1"/>
  <c r="AL27" i="3"/>
  <c r="AH27" i="3"/>
  <c r="AD27" i="3"/>
  <c r="AF27" i="3" s="1"/>
  <c r="CB26" i="3"/>
  <c r="CD26" i="3" s="1"/>
  <c r="BX26" i="3"/>
  <c r="AS26" i="3"/>
  <c r="AC26" i="3"/>
  <c r="W26" i="3"/>
  <c r="Y26" i="3" s="1"/>
  <c r="R26" i="3"/>
  <c r="AO26" i="3" s="1"/>
  <c r="BL26" i="3"/>
  <c r="BD26" i="3"/>
  <c r="BT26" i="3"/>
  <c r="CC25" i="3"/>
  <c r="BX25" i="3"/>
  <c r="BS25" i="3"/>
  <c r="AZ25" i="3"/>
  <c r="AJ25" i="3"/>
  <c r="T25" i="3"/>
  <c r="BZ24" i="3"/>
  <c r="BR24" i="3"/>
  <c r="BJ24" i="3"/>
  <c r="BB24" i="3"/>
  <c r="AT24" i="3"/>
  <c r="AV24" i="3" s="1"/>
  <c r="AL24" i="3"/>
  <c r="AD24" i="3"/>
  <c r="AF24" i="3" s="1"/>
  <c r="V24" i="3"/>
  <c r="G24" i="3"/>
  <c r="BX23" i="3"/>
  <c r="S23" i="3"/>
  <c r="BB23" i="3"/>
  <c r="AU23" i="3"/>
  <c r="Z23" i="3"/>
  <c r="AB23" i="3" s="1"/>
  <c r="AD23" i="3"/>
  <c r="AF23" i="3" s="1"/>
  <c r="AH23" i="3"/>
  <c r="AL23" i="3"/>
  <c r="AP23" i="3"/>
  <c r="AR23" i="3" s="1"/>
  <c r="AI23" i="3"/>
  <c r="AX23" i="3"/>
  <c r="BJ23" i="3"/>
  <c r="BN23" i="3"/>
  <c r="T23" i="3"/>
  <c r="AE23" i="3"/>
  <c r="BO23" i="3"/>
  <c r="BS23" i="3"/>
  <c r="BS22" i="3"/>
  <c r="AH22" i="3"/>
  <c r="R23" i="3"/>
  <c r="AO23" i="3" s="1"/>
  <c r="AT23" i="3"/>
  <c r="AV23" i="3" s="1"/>
  <c r="T22" i="3"/>
  <c r="AN22" i="3"/>
  <c r="AJ22" i="3"/>
  <c r="AZ22" i="3"/>
  <c r="BP22" i="3"/>
  <c r="BX22" i="3"/>
  <c r="BV25" i="3"/>
  <c r="BR25" i="3"/>
  <c r="AT25" i="3"/>
  <c r="AV25" i="3" s="1"/>
  <c r="BX24" i="3"/>
  <c r="BP24" i="3"/>
  <c r="AZ24" i="3"/>
  <c r="AN24" i="3"/>
  <c r="BV23" i="3"/>
  <c r="BR23" i="3"/>
  <c r="BK22" i="3"/>
  <c r="BF22" i="3"/>
  <c r="U22" i="3"/>
  <c r="G22" i="3"/>
  <c r="V21" i="3"/>
  <c r="T21" i="3"/>
  <c r="AN21" i="3"/>
  <c r="BF21" i="3"/>
  <c r="AJ21" i="3"/>
  <c r="AZ21" i="3"/>
  <c r="W20" i="3"/>
  <c r="Y20" i="3" s="1"/>
  <c r="W18" i="3"/>
  <c r="Y18" i="3" s="1"/>
  <c r="S22" i="3"/>
  <c r="BH22" i="3"/>
  <c r="X22" i="3"/>
  <c r="BH20" i="3"/>
  <c r="BL20" i="3"/>
  <c r="CB20" i="3"/>
  <c r="CD20" i="3" s="1"/>
  <c r="BA20" i="3"/>
  <c r="BC20" i="3" s="1"/>
  <c r="BM20" i="3"/>
  <c r="BQ20" i="3"/>
  <c r="BY20" i="3"/>
  <c r="CA20" i="3" s="1"/>
  <c r="CC20" i="3"/>
  <c r="R20" i="3"/>
  <c r="AO20" i="3" s="1"/>
  <c r="AT20" i="3"/>
  <c r="AV20" i="3" s="1"/>
  <c r="BB20" i="3"/>
  <c r="BR20" i="3"/>
  <c r="BV20" i="3"/>
  <c r="BZ20" i="3"/>
  <c r="BH18" i="3"/>
  <c r="BL18" i="3"/>
  <c r="CB18" i="3"/>
  <c r="CD18" i="3" s="1"/>
  <c r="BA18" i="3"/>
  <c r="BC18" i="3" s="1"/>
  <c r="BM18" i="3"/>
  <c r="BQ18" i="3"/>
  <c r="BY18" i="3"/>
  <c r="CA18" i="3" s="1"/>
  <c r="CC18" i="3"/>
  <c r="R18" i="3"/>
  <c r="AO18" i="3" s="1"/>
  <c r="AT18" i="3"/>
  <c r="AV18" i="3" s="1"/>
  <c r="BB18" i="3"/>
  <c r="BR18" i="3"/>
  <c r="BV18" i="3"/>
  <c r="BZ18" i="3"/>
  <c r="V17" i="3"/>
  <c r="S17" i="3"/>
  <c r="T17" i="3"/>
  <c r="AN17" i="3"/>
  <c r="BF17" i="3"/>
  <c r="BK17" i="3"/>
  <c r="CE17" i="3"/>
  <c r="AJ17" i="3"/>
  <c r="AZ17" i="3"/>
  <c r="BP17" i="3"/>
  <c r="BX17" i="3"/>
  <c r="V20" i="3"/>
  <c r="V18" i="3"/>
  <c r="H17" i="3"/>
  <c r="W21" i="3"/>
  <c r="Y21" i="3" s="1"/>
  <c r="S21" i="3"/>
  <c r="BV21" i="3"/>
  <c r="BR21" i="3"/>
  <c r="BN21" i="3"/>
  <c r="BJ21" i="3"/>
  <c r="AX21" i="3"/>
  <c r="AT21" i="3"/>
  <c r="AV21" i="3" s="1"/>
  <c r="AP21" i="3"/>
  <c r="AR21" i="3" s="1"/>
  <c r="AL21" i="3"/>
  <c r="AH21" i="3"/>
  <c r="AD21" i="3"/>
  <c r="AF21" i="3" s="1"/>
  <c r="BX20" i="3"/>
  <c r="BP20" i="3"/>
  <c r="AZ20" i="3"/>
  <c r="AN20" i="3"/>
  <c r="BB19" i="3"/>
  <c r="AT19" i="3"/>
  <c r="AV19" i="3" s="1"/>
  <c r="AP19" i="3"/>
  <c r="AR19" i="3" s="1"/>
  <c r="AL19" i="3"/>
  <c r="AH19" i="3"/>
  <c r="AD19" i="3"/>
  <c r="AF19"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AB31" i="1" l="1"/>
  <c r="AB30" i="1"/>
  <c r="AB29" i="1"/>
  <c r="AB28" i="1"/>
  <c r="AB27" i="1"/>
  <c r="AB26" i="1"/>
  <c r="AB25" i="1"/>
  <c r="AB24" i="1"/>
  <c r="AB23" i="1"/>
  <c r="AB22" i="1"/>
  <c r="AB19" i="1"/>
  <c r="AB20" i="1"/>
  <c r="AB18" i="1"/>
  <c r="AB17" i="1"/>
  <c r="AB16" i="1"/>
  <c r="AB15" i="1"/>
  <c r="AB11" i="1"/>
  <c r="AB13" i="1"/>
  <c r="AB14" i="1"/>
  <c r="AB12" i="1"/>
  <c r="AB9" i="1"/>
  <c r="AB7" i="1"/>
  <c r="AB6" i="1"/>
  <c r="AB5" i="1"/>
  <c r="AB4" i="1"/>
  <c r="U21" i="1" l="1"/>
  <c r="AR21" i="1"/>
  <c r="W21" i="1"/>
  <c r="R21" i="1"/>
  <c r="S21" i="1"/>
  <c r="P21" i="1"/>
  <c r="N21" i="1"/>
  <c r="AG21" i="1" s="1"/>
  <c r="J21" i="1"/>
  <c r="K21" i="1"/>
  <c r="L21" i="1"/>
  <c r="AK21" i="1" l="1"/>
  <c r="AJ21" i="1"/>
  <c r="AI21" i="1"/>
  <c r="AM21" i="1"/>
  <c r="AL21" i="1"/>
  <c r="AH21" i="1"/>
  <c r="AN21" i="1"/>
  <c r="U20" i="1"/>
  <c r="AR20" i="1"/>
  <c r="W20" i="1"/>
  <c r="R20" i="1"/>
  <c r="S20" i="1"/>
  <c r="P20" i="1"/>
  <c r="N20" i="1"/>
  <c r="AN20" i="1" s="1"/>
  <c r="J20" i="1"/>
  <c r="K20" i="1"/>
  <c r="L20" i="1"/>
  <c r="AG20" i="1" l="1"/>
  <c r="AK20" i="1"/>
  <c r="AH20" i="1"/>
  <c r="AL20" i="1"/>
  <c r="AI20" i="1"/>
  <c r="AM20" i="1"/>
  <c r="AJ20" i="1"/>
  <c r="AB10" i="1"/>
  <c r="AR30" i="1" l="1"/>
  <c r="W30" i="1"/>
  <c r="U30" i="1"/>
  <c r="S30" i="1"/>
  <c r="R30" i="1"/>
  <c r="P30" i="1"/>
  <c r="N30" i="1"/>
  <c r="AN30" i="1" s="1"/>
  <c r="L30" i="1"/>
  <c r="K30" i="1"/>
  <c r="J30" i="1"/>
  <c r="AR26" i="1"/>
  <c r="W26" i="1"/>
  <c r="U26" i="1"/>
  <c r="S26" i="1"/>
  <c r="R26" i="1"/>
  <c r="P26" i="1"/>
  <c r="N26" i="1"/>
  <c r="AM26" i="1" s="1"/>
  <c r="L26" i="1"/>
  <c r="K26" i="1"/>
  <c r="J26" i="1"/>
  <c r="AR29" i="1"/>
  <c r="W29" i="1"/>
  <c r="U29" i="1"/>
  <c r="S29" i="1"/>
  <c r="R29" i="1"/>
  <c r="P29" i="1"/>
  <c r="N29" i="1"/>
  <c r="AN29" i="1" s="1"/>
  <c r="L29" i="1"/>
  <c r="K29" i="1"/>
  <c r="J29" i="1"/>
  <c r="AR25" i="1"/>
  <c r="W25" i="1"/>
  <c r="U25" i="1"/>
  <c r="S25" i="1"/>
  <c r="R25" i="1"/>
  <c r="P25" i="1"/>
  <c r="N25" i="1"/>
  <c r="AK25" i="1" s="1"/>
  <c r="L25" i="1"/>
  <c r="K25" i="1"/>
  <c r="J25" i="1"/>
  <c r="AG30" i="1" l="1"/>
  <c r="AK30" i="1"/>
  <c r="AH30" i="1"/>
  <c r="AL30" i="1"/>
  <c r="AI30" i="1"/>
  <c r="AM30" i="1"/>
  <c r="AJ30" i="1"/>
  <c r="AG26" i="1"/>
  <c r="AL26" i="1"/>
  <c r="AK26" i="1"/>
  <c r="AH26" i="1"/>
  <c r="AN26" i="1"/>
  <c r="AJ26" i="1"/>
  <c r="AI26" i="1"/>
  <c r="AG29" i="1"/>
  <c r="AK29" i="1"/>
  <c r="AH29" i="1"/>
  <c r="AL29" i="1"/>
  <c r="AI29" i="1"/>
  <c r="AM29" i="1"/>
  <c r="AJ29" i="1"/>
  <c r="AI25" i="1"/>
  <c r="AM25" i="1"/>
  <c r="AL25" i="1"/>
  <c r="AJ25" i="1"/>
  <c r="AN25" i="1"/>
  <c r="AH25" i="1"/>
  <c r="AG25" i="1"/>
  <c r="AR31" i="1"/>
  <c r="W31" i="1"/>
  <c r="U31" i="1"/>
  <c r="S31" i="1"/>
  <c r="R31" i="1"/>
  <c r="P31" i="1"/>
  <c r="N31" i="1"/>
  <c r="AK31" i="1" s="1"/>
  <c r="L31" i="1"/>
  <c r="K31" i="1"/>
  <c r="J31" i="1"/>
  <c r="AR27" i="1"/>
  <c r="W27" i="1"/>
  <c r="U27" i="1"/>
  <c r="S27" i="1"/>
  <c r="R27" i="1"/>
  <c r="P27" i="1"/>
  <c r="N27" i="1"/>
  <c r="AK27" i="1" s="1"/>
  <c r="L27" i="1"/>
  <c r="K27" i="1"/>
  <c r="J27" i="1"/>
  <c r="AR28" i="1"/>
  <c r="W28" i="1"/>
  <c r="U28" i="1"/>
  <c r="S28" i="1"/>
  <c r="R28" i="1"/>
  <c r="P28" i="1"/>
  <c r="N28" i="1"/>
  <c r="AL28" i="1" s="1"/>
  <c r="L28" i="1"/>
  <c r="K28" i="1"/>
  <c r="J28" i="1"/>
  <c r="AR24" i="1"/>
  <c r="W24" i="1"/>
  <c r="U24" i="1"/>
  <c r="S24" i="1"/>
  <c r="R24" i="1"/>
  <c r="P24" i="1"/>
  <c r="N24" i="1"/>
  <c r="L24" i="1"/>
  <c r="K24" i="1"/>
  <c r="J24" i="1"/>
  <c r="AR23" i="1"/>
  <c r="W23" i="1"/>
  <c r="U23" i="1"/>
  <c r="S23" i="1"/>
  <c r="R23" i="1"/>
  <c r="P23" i="1"/>
  <c r="N23" i="1"/>
  <c r="AN23" i="1" s="1"/>
  <c r="L23" i="1"/>
  <c r="K23" i="1"/>
  <c r="J23" i="1"/>
  <c r="AR22" i="1"/>
  <c r="W22" i="1"/>
  <c r="U22" i="1"/>
  <c r="S22" i="1"/>
  <c r="R22" i="1"/>
  <c r="P22" i="1"/>
  <c r="N22" i="1"/>
  <c r="AK22" i="1" s="1"/>
  <c r="L22" i="1"/>
  <c r="K22" i="1"/>
  <c r="J22" i="1"/>
  <c r="AR19" i="1"/>
  <c r="W19" i="1"/>
  <c r="U19" i="1"/>
  <c r="S19" i="1"/>
  <c r="R19" i="1"/>
  <c r="P19" i="1"/>
  <c r="AI19" i="1"/>
  <c r="L19" i="1"/>
  <c r="K19" i="1"/>
  <c r="J19" i="1"/>
  <c r="AH31" i="1" l="1"/>
  <c r="AL31" i="1"/>
  <c r="AI31" i="1"/>
  <c r="AM31" i="1"/>
  <c r="AJ31" i="1"/>
  <c r="AN31" i="1"/>
  <c r="AG31" i="1"/>
  <c r="AK28" i="1"/>
  <c r="AJ28" i="1"/>
  <c r="AI28" i="1"/>
  <c r="AJ23" i="1"/>
  <c r="AG23" i="1"/>
  <c r="AH23" i="1"/>
  <c r="AM19" i="1"/>
  <c r="AK23" i="1"/>
  <c r="AM28" i="1"/>
  <c r="AN27" i="1"/>
  <c r="AM27" i="1"/>
  <c r="AJ19" i="1"/>
  <c r="AG19" i="1"/>
  <c r="AN22" i="1"/>
  <c r="AL23" i="1"/>
  <c r="AK24" i="1"/>
  <c r="AM24" i="1"/>
  <c r="AJ27" i="1"/>
  <c r="AL27" i="1"/>
  <c r="AJ22" i="1"/>
  <c r="AJ24" i="1"/>
  <c r="AN24" i="1"/>
  <c r="AH22" i="1"/>
  <c r="AL22" i="1"/>
  <c r="AG24" i="1"/>
  <c r="AN28" i="1"/>
  <c r="AH27" i="1"/>
  <c r="AN19" i="1"/>
  <c r="AI22" i="1"/>
  <c r="AM22" i="1"/>
  <c r="AI23" i="1"/>
  <c r="AM23" i="1"/>
  <c r="AK19" i="1"/>
  <c r="AH24" i="1"/>
  <c r="AL24" i="1"/>
  <c r="AG28" i="1"/>
  <c r="AI27" i="1"/>
  <c r="AH19" i="1"/>
  <c r="AL19" i="1"/>
  <c r="AG22" i="1"/>
  <c r="AI24" i="1"/>
  <c r="AH28" i="1"/>
  <c r="AG27" i="1"/>
  <c r="AA18" i="1"/>
  <c r="AA17" i="1"/>
  <c r="AA16" i="1"/>
  <c r="AA15" i="1"/>
  <c r="AA11" i="1"/>
  <c r="AA10" i="1"/>
  <c r="AA13" i="1"/>
  <c r="AA14" i="1"/>
  <c r="AA12" i="1"/>
  <c r="AA9" i="1"/>
  <c r="AA8" i="1"/>
  <c r="AA7" i="1"/>
  <c r="AA6" i="1"/>
  <c r="AA5" i="1"/>
  <c r="AA4" i="1"/>
  <c r="AD9" i="1" l="1"/>
  <c r="AD18" i="1"/>
  <c r="AC18" i="1" l="1"/>
  <c r="AC17" i="1"/>
  <c r="AC16" i="1"/>
  <c r="AC15" i="1"/>
  <c r="AC11" i="1"/>
  <c r="AC10" i="1"/>
  <c r="AC13" i="1"/>
  <c r="AC14" i="1"/>
  <c r="AC12" i="1"/>
  <c r="AC7" i="1"/>
  <c r="AC6" i="1"/>
  <c r="AC5" i="1"/>
  <c r="AC4" i="1"/>
  <c r="Z18" i="1" l="1"/>
  <c r="Z17" i="1"/>
  <c r="Z16" i="1"/>
  <c r="Z15" i="1"/>
  <c r="Z11" i="1"/>
  <c r="Z10" i="1"/>
  <c r="Z13" i="1"/>
  <c r="Z14" i="1"/>
  <c r="Z12" i="1"/>
  <c r="Z8" i="1"/>
  <c r="Z7" i="1"/>
  <c r="Z6" i="1"/>
  <c r="Z5" i="1"/>
  <c r="Z4" i="1"/>
  <c r="AD16" i="1" l="1"/>
  <c r="AD11" i="1"/>
  <c r="AD10" i="1"/>
  <c r="AD13" i="1"/>
  <c r="AD12" i="1"/>
  <c r="AD7" i="1"/>
  <c r="AD5" i="1"/>
  <c r="AD4" i="1"/>
  <c r="AB8" i="1" l="1"/>
  <c r="O31" i="9" l="1"/>
  <c r="Q31" i="9" s="1"/>
  <c r="S31" i="9"/>
  <c r="U31" i="9" s="1"/>
  <c r="T31" i="9"/>
  <c r="O94" i="9" l="1"/>
  <c r="Q94" i="9" s="1"/>
  <c r="S94" i="9"/>
  <c r="T94" i="9"/>
  <c r="O95" i="9"/>
  <c r="Q95" i="9" s="1"/>
  <c r="S95" i="9"/>
  <c r="T95" i="9"/>
  <c r="O96" i="9"/>
  <c r="Q96" i="9" s="1"/>
  <c r="S96" i="9"/>
  <c r="U96" i="9" s="1"/>
  <c r="T96" i="9"/>
  <c r="O97" i="9"/>
  <c r="Q97" i="9" s="1"/>
  <c r="S97" i="9"/>
  <c r="T97" i="9"/>
  <c r="O98" i="9"/>
  <c r="Q98" i="9" s="1"/>
  <c r="S98" i="9"/>
  <c r="T98" i="9"/>
  <c r="O99" i="9"/>
  <c r="Q99" i="9" s="1"/>
  <c r="S99" i="9"/>
  <c r="T99" i="9"/>
  <c r="O100" i="9"/>
  <c r="Q100" i="9" s="1"/>
  <c r="S100" i="9"/>
  <c r="U100" i="9" s="1"/>
  <c r="T100" i="9"/>
  <c r="O101" i="9"/>
  <c r="Q101" i="9" s="1"/>
  <c r="S101" i="9"/>
  <c r="T101" i="9"/>
  <c r="O102" i="9"/>
  <c r="Q102" i="9" s="1"/>
  <c r="S102" i="9"/>
  <c r="T102" i="9"/>
  <c r="O103" i="9"/>
  <c r="Q103" i="9" s="1"/>
  <c r="S103" i="9"/>
  <c r="T103" i="9"/>
  <c r="O104" i="9"/>
  <c r="Q104" i="9" s="1"/>
  <c r="S104" i="9"/>
  <c r="T104" i="9"/>
  <c r="O105" i="9"/>
  <c r="Q105" i="9" s="1"/>
  <c r="S105" i="9"/>
  <c r="T105" i="9"/>
  <c r="O106" i="9"/>
  <c r="Q106" i="9" s="1"/>
  <c r="S106" i="9"/>
  <c r="T106" i="9"/>
  <c r="O107" i="9"/>
  <c r="Q107" i="9" s="1"/>
  <c r="S107" i="9"/>
  <c r="T107" i="9"/>
  <c r="O108" i="9"/>
  <c r="Q108" i="9" s="1"/>
  <c r="S108" i="9"/>
  <c r="U108" i="9" s="1"/>
  <c r="T108" i="9"/>
  <c r="O109" i="9"/>
  <c r="Q109" i="9" s="1"/>
  <c r="S109" i="9"/>
  <c r="T109" i="9"/>
  <c r="O110" i="9"/>
  <c r="Q110" i="9" s="1"/>
  <c r="S110" i="9"/>
  <c r="T110" i="9"/>
  <c r="O111" i="9"/>
  <c r="Q111" i="9" s="1"/>
  <c r="S111" i="9"/>
  <c r="T111" i="9"/>
  <c r="O112" i="9"/>
  <c r="Q112" i="9" s="1"/>
  <c r="S112" i="9"/>
  <c r="T112" i="9"/>
  <c r="O113" i="9"/>
  <c r="Q113" i="9" s="1"/>
  <c r="S113" i="9"/>
  <c r="T113" i="9"/>
  <c r="O114" i="9"/>
  <c r="Q114" i="9" s="1"/>
  <c r="S114" i="9"/>
  <c r="T114" i="9"/>
  <c r="O115" i="9"/>
  <c r="Q115" i="9" s="1"/>
  <c r="S115" i="9"/>
  <c r="T115" i="9"/>
  <c r="O116" i="9"/>
  <c r="Q116" i="9" s="1"/>
  <c r="S116" i="9"/>
  <c r="U116" i="9" s="1"/>
  <c r="T116" i="9"/>
  <c r="O117" i="9"/>
  <c r="Q117" i="9" s="1"/>
  <c r="S117" i="9"/>
  <c r="T117" i="9"/>
  <c r="O118" i="9"/>
  <c r="Q118" i="9" s="1"/>
  <c r="S118" i="9"/>
  <c r="T118" i="9"/>
  <c r="O119" i="9"/>
  <c r="Q119" i="9" s="1"/>
  <c r="S119" i="9"/>
  <c r="T119" i="9"/>
  <c r="O120" i="9"/>
  <c r="Q120" i="9" s="1"/>
  <c r="S120" i="9"/>
  <c r="T120" i="9"/>
  <c r="O121" i="9"/>
  <c r="Q121" i="9" s="1"/>
  <c r="S121" i="9"/>
  <c r="T121" i="9"/>
  <c r="O122" i="9"/>
  <c r="Q122" i="9" s="1"/>
  <c r="S122" i="9"/>
  <c r="T122" i="9"/>
  <c r="O123" i="9"/>
  <c r="Q123" i="9" s="1"/>
  <c r="S123" i="9"/>
  <c r="T123" i="9"/>
  <c r="O124" i="9"/>
  <c r="Q124" i="9" s="1"/>
  <c r="S124" i="9"/>
  <c r="U124" i="9" s="1"/>
  <c r="T124" i="9"/>
  <c r="O125" i="9"/>
  <c r="Q125" i="9" s="1"/>
  <c r="S125" i="9"/>
  <c r="T125" i="9"/>
  <c r="O126" i="9"/>
  <c r="Q126" i="9" s="1"/>
  <c r="S126" i="9"/>
  <c r="T126" i="9"/>
  <c r="O127" i="9"/>
  <c r="Q127" i="9" s="1"/>
  <c r="S127" i="9"/>
  <c r="T127" i="9"/>
  <c r="B33" i="9"/>
  <c r="B31" i="9"/>
  <c r="B32" i="9" s="1"/>
  <c r="U125" i="9" l="1"/>
  <c r="U109" i="9"/>
  <c r="U101" i="9"/>
  <c r="U112" i="9"/>
  <c r="U117" i="9"/>
  <c r="U113" i="9"/>
  <c r="U97" i="9"/>
  <c r="U120" i="9"/>
  <c r="U104" i="9"/>
  <c r="U121" i="9"/>
  <c r="U105" i="9"/>
  <c r="U127" i="9"/>
  <c r="U126" i="9"/>
  <c r="U123" i="9"/>
  <c r="U122" i="9"/>
  <c r="U119" i="9"/>
  <c r="U118" i="9"/>
  <c r="U115" i="9"/>
  <c r="U114" i="9"/>
  <c r="U111" i="9"/>
  <c r="U110" i="9"/>
  <c r="U107" i="9"/>
  <c r="U106" i="9"/>
  <c r="U103" i="9"/>
  <c r="U102" i="9"/>
  <c r="U99" i="9"/>
  <c r="U98" i="9"/>
  <c r="U95" i="9"/>
  <c r="U94" i="9"/>
  <c r="U5" i="1"/>
  <c r="U6" i="1"/>
  <c r="U7" i="1"/>
  <c r="U8" i="1"/>
  <c r="U9" i="1"/>
  <c r="U10" i="1"/>
  <c r="U11" i="1"/>
  <c r="U12" i="1"/>
  <c r="U13" i="1"/>
  <c r="U14" i="1"/>
  <c r="U15" i="1"/>
  <c r="U16" i="1"/>
  <c r="U17" i="1"/>
  <c r="U18" i="1"/>
  <c r="U4" i="1"/>
  <c r="U2" i="1" l="1"/>
  <c r="K3" i="11"/>
  <c r="J4" i="11"/>
  <c r="I5" i="11"/>
  <c r="O48" i="9" l="1"/>
  <c r="Q48" i="9" s="1"/>
  <c r="S48" i="9"/>
  <c r="T48" i="9"/>
  <c r="O33" i="9"/>
  <c r="Q33" i="9" s="1"/>
  <c r="S33" i="9"/>
  <c r="T33" i="9"/>
  <c r="O50" i="9"/>
  <c r="Q50" i="9" s="1"/>
  <c r="S50" i="9"/>
  <c r="U50" i="9" s="1"/>
  <c r="T50" i="9"/>
  <c r="O34" i="9"/>
  <c r="Q34" i="9" s="1"/>
  <c r="S34" i="9"/>
  <c r="T34" i="9"/>
  <c r="O32" i="9"/>
  <c r="Q32" i="9" s="1"/>
  <c r="S32" i="9"/>
  <c r="T32" i="9"/>
  <c r="O51" i="9"/>
  <c r="Q51" i="9" s="1"/>
  <c r="S51" i="9"/>
  <c r="T51" i="9"/>
  <c r="O22" i="9"/>
  <c r="Q22" i="9" s="1"/>
  <c r="S22" i="9"/>
  <c r="U22" i="9" s="1"/>
  <c r="T22" i="9"/>
  <c r="O10" i="9"/>
  <c r="Q10" i="9" s="1"/>
  <c r="S10" i="9"/>
  <c r="T10" i="9"/>
  <c r="O2" i="9"/>
  <c r="Q2" i="9" s="1"/>
  <c r="S2" i="9"/>
  <c r="T2" i="9"/>
  <c r="O18" i="9"/>
  <c r="Q18" i="9" s="1"/>
  <c r="S18" i="9"/>
  <c r="T18" i="9"/>
  <c r="O16" i="9"/>
  <c r="Q16" i="9" s="1"/>
  <c r="S16" i="9"/>
  <c r="T16" i="9"/>
  <c r="O15" i="9"/>
  <c r="Q15" i="9" s="1"/>
  <c r="S15" i="9"/>
  <c r="T15" i="9"/>
  <c r="O8" i="9"/>
  <c r="Q8" i="9" s="1"/>
  <c r="S8" i="9"/>
  <c r="T8" i="9"/>
  <c r="O5" i="9"/>
  <c r="Q5" i="9" s="1"/>
  <c r="S5" i="9"/>
  <c r="T5" i="9"/>
  <c r="O13" i="9"/>
  <c r="Q13" i="9" s="1"/>
  <c r="S13" i="9"/>
  <c r="U13" i="9" s="1"/>
  <c r="T13" i="9"/>
  <c r="O39" i="9"/>
  <c r="Q39" i="9" s="1"/>
  <c r="S39" i="9"/>
  <c r="T39" i="9"/>
  <c r="O40" i="9"/>
  <c r="Q40" i="9" s="1"/>
  <c r="S40" i="9"/>
  <c r="T40" i="9"/>
  <c r="O14" i="9"/>
  <c r="Q14" i="9" s="1"/>
  <c r="S14" i="9"/>
  <c r="T14" i="9"/>
  <c r="O25" i="9"/>
  <c r="Q25" i="9" s="1"/>
  <c r="S25" i="9"/>
  <c r="T25" i="9"/>
  <c r="O11" i="9"/>
  <c r="Q11" i="9" s="1"/>
  <c r="S11" i="9"/>
  <c r="T11" i="9"/>
  <c r="O7" i="9"/>
  <c r="Q7" i="9" s="1"/>
  <c r="S7" i="9"/>
  <c r="T7" i="9"/>
  <c r="O9" i="9"/>
  <c r="Q9" i="9" s="1"/>
  <c r="S9" i="9"/>
  <c r="T9" i="9"/>
  <c r="O3" i="9"/>
  <c r="Q3" i="9" s="1"/>
  <c r="S3" i="9"/>
  <c r="T3" i="9"/>
  <c r="O43" i="9"/>
  <c r="Q43" i="9" s="1"/>
  <c r="S43" i="9"/>
  <c r="T43" i="9"/>
  <c r="O37" i="9"/>
  <c r="Q37" i="9" s="1"/>
  <c r="S37" i="9"/>
  <c r="T37" i="9"/>
  <c r="O19" i="9"/>
  <c r="Q19" i="9" s="1"/>
  <c r="S19" i="9"/>
  <c r="T19" i="9"/>
  <c r="O42" i="9"/>
  <c r="Q42" i="9" s="1"/>
  <c r="S42" i="9"/>
  <c r="T42" i="9"/>
  <c r="O6" i="9"/>
  <c r="Q6" i="9" s="1"/>
  <c r="S6" i="9"/>
  <c r="T6" i="9"/>
  <c r="O27" i="9"/>
  <c r="Q27" i="9" s="1"/>
  <c r="S27" i="9"/>
  <c r="T27" i="9"/>
  <c r="O30" i="9"/>
  <c r="Q30" i="9" s="1"/>
  <c r="S30" i="9"/>
  <c r="T30" i="9"/>
  <c r="O28" i="9"/>
  <c r="Q28" i="9" s="1"/>
  <c r="S28" i="9"/>
  <c r="U28" i="9" s="1"/>
  <c r="T28" i="9"/>
  <c r="O36" i="9"/>
  <c r="Q36" i="9" s="1"/>
  <c r="S36" i="9"/>
  <c r="T36" i="9"/>
  <c r="O53" i="9"/>
  <c r="Q53" i="9" s="1"/>
  <c r="S53" i="9"/>
  <c r="T53" i="9"/>
  <c r="O54" i="9"/>
  <c r="Q54" i="9" s="1"/>
  <c r="S54" i="9"/>
  <c r="T54" i="9"/>
  <c r="O55" i="9"/>
  <c r="Q55" i="9" s="1"/>
  <c r="S55" i="9"/>
  <c r="U55" i="9" s="1"/>
  <c r="T55" i="9"/>
  <c r="O56" i="9"/>
  <c r="Q56" i="9" s="1"/>
  <c r="S56" i="9"/>
  <c r="T56" i="9"/>
  <c r="O57" i="9"/>
  <c r="Q57" i="9" s="1"/>
  <c r="S57" i="9"/>
  <c r="T57" i="9"/>
  <c r="O58" i="9"/>
  <c r="Q58" i="9" s="1"/>
  <c r="S58" i="9"/>
  <c r="T58" i="9"/>
  <c r="O59" i="9"/>
  <c r="Q59" i="9" s="1"/>
  <c r="S59" i="9"/>
  <c r="U59" i="9" s="1"/>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U67" i="9" s="1"/>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O77" i="9"/>
  <c r="Q77" i="9" s="1"/>
  <c r="S77" i="9"/>
  <c r="T77" i="9"/>
  <c r="O78" i="9"/>
  <c r="Q78" i="9" s="1"/>
  <c r="S78" i="9"/>
  <c r="T78" i="9"/>
  <c r="O79" i="9"/>
  <c r="Q79" i="9" s="1"/>
  <c r="S79" i="9"/>
  <c r="T79" i="9"/>
  <c r="O80" i="9"/>
  <c r="Q80" i="9" s="1"/>
  <c r="S80" i="9"/>
  <c r="T80" i="9"/>
  <c r="O81" i="9"/>
  <c r="Q81" i="9" s="1"/>
  <c r="S81" i="9"/>
  <c r="T81" i="9"/>
  <c r="O82" i="9"/>
  <c r="Q82" i="9" s="1"/>
  <c r="S82" i="9"/>
  <c r="T82" i="9"/>
  <c r="O83" i="9"/>
  <c r="Q83" i="9" s="1"/>
  <c r="S83" i="9"/>
  <c r="U83" i="9" s="1"/>
  <c r="T83" i="9"/>
  <c r="O84" i="9"/>
  <c r="Q84" i="9" s="1"/>
  <c r="S84" i="9"/>
  <c r="T84" i="9"/>
  <c r="O85" i="9"/>
  <c r="Q85" i="9" s="1"/>
  <c r="S85" i="9"/>
  <c r="T85" i="9"/>
  <c r="O86" i="9"/>
  <c r="Q86" i="9" s="1"/>
  <c r="S86" i="9"/>
  <c r="T86" i="9"/>
  <c r="O87" i="9"/>
  <c r="Q87" i="9" s="1"/>
  <c r="S87" i="9"/>
  <c r="T87" i="9"/>
  <c r="O88" i="9"/>
  <c r="Q88" i="9" s="1"/>
  <c r="S88" i="9"/>
  <c r="T88" i="9"/>
  <c r="O89" i="9"/>
  <c r="Q89" i="9" s="1"/>
  <c r="S89" i="9"/>
  <c r="T89" i="9"/>
  <c r="O90" i="9"/>
  <c r="Q90" i="9" s="1"/>
  <c r="S90" i="9"/>
  <c r="T90" i="9"/>
  <c r="O91" i="9"/>
  <c r="Q91" i="9" s="1"/>
  <c r="S91" i="9"/>
  <c r="T91" i="9"/>
  <c r="O92" i="9"/>
  <c r="Q92" i="9" s="1"/>
  <c r="S92" i="9"/>
  <c r="T92" i="9"/>
  <c r="O93" i="9"/>
  <c r="Q93" i="9" s="1"/>
  <c r="S93" i="9"/>
  <c r="T93" i="9"/>
  <c r="U91" i="9" l="1"/>
  <c r="U87" i="9"/>
  <c r="U84" i="9"/>
  <c r="U36" i="9"/>
  <c r="U39" i="9"/>
  <c r="U68" i="9"/>
  <c r="U92" i="9"/>
  <c r="U60" i="9"/>
  <c r="U10" i="9"/>
  <c r="U75" i="9"/>
  <c r="U71" i="9"/>
  <c r="U3" i="9"/>
  <c r="U25" i="9"/>
  <c r="U76" i="9"/>
  <c r="U43" i="9"/>
  <c r="U88" i="9"/>
  <c r="U72" i="9"/>
  <c r="U56" i="9"/>
  <c r="U11" i="9"/>
  <c r="U34" i="9"/>
  <c r="U79" i="9"/>
  <c r="U63" i="9"/>
  <c r="U42" i="9"/>
  <c r="U16" i="9"/>
  <c r="U80" i="9"/>
  <c r="U64" i="9"/>
  <c r="U6" i="9"/>
  <c r="U15" i="9"/>
  <c r="U93" i="9"/>
  <c r="U90" i="9"/>
  <c r="U89" i="9"/>
  <c r="U86" i="9"/>
  <c r="U85" i="9"/>
  <c r="U82" i="9"/>
  <c r="U81" i="9"/>
  <c r="U78" i="9"/>
  <c r="U77" i="9"/>
  <c r="U74" i="9"/>
  <c r="U73" i="9"/>
  <c r="U70" i="9"/>
  <c r="U69" i="9"/>
  <c r="U66" i="9"/>
  <c r="U65" i="9"/>
  <c r="U62" i="9"/>
  <c r="U61" i="9"/>
  <c r="U58" i="9"/>
  <c r="U57" i="9"/>
  <c r="U54" i="9"/>
  <c r="U53" i="9"/>
  <c r="U30" i="9"/>
  <c r="U27" i="9"/>
  <c r="U19" i="9"/>
  <c r="U37" i="9"/>
  <c r="U9" i="9"/>
  <c r="U7" i="9"/>
  <c r="U14" i="9"/>
  <c r="U40" i="9"/>
  <c r="U5" i="9"/>
  <c r="U8" i="9"/>
  <c r="U18" i="9"/>
  <c r="U2" i="9"/>
  <c r="U51" i="9"/>
  <c r="U32" i="9"/>
  <c r="U33" i="9"/>
  <c r="U48"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K46" i="9"/>
  <c r="K20" i="9"/>
  <c r="T38" i="9" l="1"/>
  <c r="T20" i="9"/>
  <c r="T4" i="9"/>
  <c r="T41" i="9"/>
  <c r="T35" i="9"/>
  <c r="T44" i="9"/>
  <c r="T17" i="9"/>
  <c r="T46" i="9"/>
  <c r="T52" i="9"/>
  <c r="T47" i="9"/>
  <c r="T45" i="9"/>
  <c r="T21" i="9"/>
  <c r="T49" i="9"/>
  <c r="T29" i="9"/>
  <c r="T23" i="9"/>
  <c r="T26" i="9"/>
  <c r="T24" i="9"/>
  <c r="A6" i="5" l="1"/>
  <c r="G6" i="5"/>
  <c r="L6" i="5"/>
  <c r="M6" i="5"/>
  <c r="O6" i="5"/>
  <c r="P6" i="5"/>
  <c r="Q6" i="5"/>
  <c r="R6" i="5"/>
  <c r="S6" i="5"/>
  <c r="T6" i="5"/>
  <c r="AM6" i="5" s="1"/>
  <c r="U6" i="5"/>
  <c r="V6" i="5"/>
  <c r="AA6" i="5" s="1"/>
  <c r="W6" i="5"/>
  <c r="X6" i="5"/>
  <c r="AD6" i="5" s="1"/>
  <c r="Y6" i="5"/>
  <c r="Z6" i="5"/>
  <c r="AE6" i="5"/>
  <c r="AF6" i="5"/>
  <c r="AG6" i="5"/>
  <c r="AH6" i="5"/>
  <c r="AI6" i="5"/>
  <c r="AJ6" i="5"/>
  <c r="AL6" i="5"/>
  <c r="AO6" i="5"/>
  <c r="AQ6" i="5" l="1"/>
  <c r="AC6" i="5"/>
  <c r="AN6" i="5"/>
  <c r="AS6" i="5"/>
  <c r="AP6" i="5"/>
  <c r="AB6" i="5"/>
  <c r="AR6" i="5"/>
  <c r="AK6" i="5"/>
  <c r="Y18" i="1" l="1"/>
  <c r="Y17" i="1"/>
  <c r="Y16" i="1"/>
  <c r="Y11" i="1"/>
  <c r="Y14" i="1"/>
  <c r="Y9" i="1"/>
  <c r="Y6" i="1"/>
  <c r="Y4" i="1"/>
  <c r="AR11" i="1" l="1"/>
  <c r="W11" i="1"/>
  <c r="S11" i="1"/>
  <c r="R11" i="1"/>
  <c r="P11" i="1"/>
  <c r="N11" i="1"/>
  <c r="AK11" i="1" s="1"/>
  <c r="L11" i="1"/>
  <c r="K11" i="1"/>
  <c r="J11" i="1"/>
  <c r="AN11" i="1" l="1"/>
  <c r="AM11" i="1"/>
  <c r="AL11" i="1"/>
  <c r="AJ11" i="1"/>
  <c r="AI11" i="1"/>
  <c r="AG11" i="1"/>
  <c r="AH11" i="1"/>
  <c r="I19" i="5"/>
  <c r="K19" i="5" s="1"/>
  <c r="L19" i="5"/>
  <c r="N19" i="5"/>
  <c r="Z19" i="5"/>
  <c r="AA19" i="5"/>
  <c r="AB19" i="5"/>
  <c r="AC19" i="5"/>
  <c r="AD19" i="5"/>
  <c r="AE19" i="5"/>
  <c r="AF19" i="5"/>
  <c r="AG19" i="5"/>
  <c r="AH19" i="5"/>
  <c r="AI19" i="5"/>
  <c r="AJ19" i="5"/>
  <c r="AK19" i="5"/>
  <c r="AL19" i="5"/>
  <c r="AM19" i="5"/>
  <c r="AN19" i="5"/>
  <c r="AO19" i="5"/>
  <c r="AP19" i="5"/>
  <c r="AQ19" i="5"/>
  <c r="AR19" i="5"/>
  <c r="AS19" i="5"/>
  <c r="I20" i="5"/>
  <c r="K20" i="5" s="1"/>
  <c r="L20" i="5"/>
  <c r="N20" i="5"/>
  <c r="Z20" i="5"/>
  <c r="AA20" i="5"/>
  <c r="AB20" i="5"/>
  <c r="AC20" i="5"/>
  <c r="AD20" i="5"/>
  <c r="AE20" i="5"/>
  <c r="AF20" i="5"/>
  <c r="AG20" i="5"/>
  <c r="AH20" i="5"/>
  <c r="AI20" i="5"/>
  <c r="AJ20" i="5"/>
  <c r="AK20" i="5"/>
  <c r="AL20" i="5"/>
  <c r="AM20" i="5"/>
  <c r="AN20" i="5"/>
  <c r="AO20" i="5"/>
  <c r="AP20" i="5"/>
  <c r="AQ20" i="5"/>
  <c r="AR20" i="5"/>
  <c r="AS20" i="5"/>
  <c r="I21" i="5"/>
  <c r="K21" i="5" s="1"/>
  <c r="L21" i="5"/>
  <c r="N21" i="5"/>
  <c r="Z21" i="5"/>
  <c r="AA21" i="5"/>
  <c r="AB21" i="5"/>
  <c r="AC21" i="5"/>
  <c r="AD21" i="5"/>
  <c r="AE21" i="5"/>
  <c r="AF21" i="5"/>
  <c r="AG21" i="5"/>
  <c r="AH21" i="5"/>
  <c r="AI21" i="5"/>
  <c r="AJ21" i="5"/>
  <c r="AK21" i="5"/>
  <c r="AL21" i="5"/>
  <c r="AM21" i="5"/>
  <c r="AN21" i="5"/>
  <c r="AO21" i="5"/>
  <c r="AP21" i="5"/>
  <c r="AQ21" i="5"/>
  <c r="AR21" i="5"/>
  <c r="AS21" i="5"/>
  <c r="I22" i="5"/>
  <c r="K22" i="5" s="1"/>
  <c r="L22" i="5"/>
  <c r="N22" i="5"/>
  <c r="Z22" i="5"/>
  <c r="AA22" i="5"/>
  <c r="AB22" i="5"/>
  <c r="AC22" i="5"/>
  <c r="AD22" i="5"/>
  <c r="AE22" i="5"/>
  <c r="AF22" i="5"/>
  <c r="AG22" i="5"/>
  <c r="AH22" i="5"/>
  <c r="AI22" i="5"/>
  <c r="AJ22" i="5"/>
  <c r="AK22" i="5"/>
  <c r="AL22" i="5"/>
  <c r="AM22" i="5"/>
  <c r="AN22" i="5"/>
  <c r="AO22" i="5"/>
  <c r="AP22" i="5"/>
  <c r="AQ22" i="5"/>
  <c r="AR22" i="5"/>
  <c r="AS22" i="5"/>
  <c r="I23" i="5"/>
  <c r="K23" i="5" s="1"/>
  <c r="L23" i="5"/>
  <c r="N23" i="5"/>
  <c r="Z23" i="5"/>
  <c r="AA23" i="5"/>
  <c r="AB23" i="5"/>
  <c r="AC23" i="5"/>
  <c r="AD23" i="5"/>
  <c r="AE23" i="5"/>
  <c r="AF23" i="5"/>
  <c r="AG23" i="5"/>
  <c r="AH23" i="5"/>
  <c r="AI23" i="5"/>
  <c r="AJ23" i="5"/>
  <c r="AK23" i="5"/>
  <c r="AL23" i="5"/>
  <c r="AM23" i="5"/>
  <c r="AN23" i="5"/>
  <c r="AO23" i="5"/>
  <c r="AP23" i="5"/>
  <c r="AQ23" i="5"/>
  <c r="AR23" i="5"/>
  <c r="AS23" i="5"/>
  <c r="I24" i="5"/>
  <c r="K24" i="5" s="1"/>
  <c r="L24" i="5"/>
  <c r="N24" i="5"/>
  <c r="Z24" i="5"/>
  <c r="AA24" i="5"/>
  <c r="AB24" i="5"/>
  <c r="AC24" i="5"/>
  <c r="AD24" i="5"/>
  <c r="AE24" i="5"/>
  <c r="AF24" i="5"/>
  <c r="AG24" i="5"/>
  <c r="AH24" i="5"/>
  <c r="AI24" i="5"/>
  <c r="AJ24" i="5"/>
  <c r="AK24" i="5"/>
  <c r="AL24" i="5"/>
  <c r="AM24" i="5"/>
  <c r="AN24" i="5"/>
  <c r="AO24" i="5"/>
  <c r="AP24" i="5"/>
  <c r="AQ24" i="5"/>
  <c r="AR24" i="5"/>
  <c r="AS24" i="5"/>
  <c r="I25" i="5"/>
  <c r="K25" i="5" s="1"/>
  <c r="L25" i="5"/>
  <c r="N25" i="5"/>
  <c r="Z25" i="5"/>
  <c r="AA25" i="5"/>
  <c r="AB25" i="5"/>
  <c r="AC25" i="5"/>
  <c r="AD25" i="5"/>
  <c r="AE25" i="5"/>
  <c r="AF25" i="5"/>
  <c r="AG25" i="5"/>
  <c r="AH25" i="5"/>
  <c r="AI25" i="5"/>
  <c r="AJ25" i="5"/>
  <c r="AK25" i="5"/>
  <c r="AL25" i="5"/>
  <c r="AM25" i="5"/>
  <c r="AN25" i="5"/>
  <c r="AO25" i="5"/>
  <c r="AP25" i="5"/>
  <c r="AQ25" i="5"/>
  <c r="AR25" i="5"/>
  <c r="AS25" i="5"/>
  <c r="I26" i="5"/>
  <c r="K26" i="5" s="1"/>
  <c r="L26" i="5"/>
  <c r="N26" i="5"/>
  <c r="Z26" i="5"/>
  <c r="AA26" i="5"/>
  <c r="AB26" i="5"/>
  <c r="AC26" i="5"/>
  <c r="AD26" i="5"/>
  <c r="AE26" i="5"/>
  <c r="AF26" i="5"/>
  <c r="AG26" i="5"/>
  <c r="AH26" i="5"/>
  <c r="AI26" i="5"/>
  <c r="AJ26" i="5"/>
  <c r="AK26" i="5"/>
  <c r="AL26" i="5"/>
  <c r="AM26" i="5"/>
  <c r="AN26" i="5"/>
  <c r="AO26" i="5"/>
  <c r="AP26" i="5"/>
  <c r="AQ26" i="5"/>
  <c r="AR26" i="5"/>
  <c r="AS26" i="5"/>
  <c r="I27" i="5"/>
  <c r="K27" i="5" s="1"/>
  <c r="L27" i="5"/>
  <c r="N27" i="5"/>
  <c r="Z27" i="5"/>
  <c r="AA27" i="5"/>
  <c r="AB27" i="5"/>
  <c r="AC27" i="5"/>
  <c r="AD27" i="5"/>
  <c r="AE27" i="5"/>
  <c r="AF27" i="5"/>
  <c r="AG27" i="5"/>
  <c r="AH27" i="5"/>
  <c r="AI27" i="5"/>
  <c r="AJ27" i="5"/>
  <c r="AK27" i="5"/>
  <c r="AL27" i="5"/>
  <c r="AM27" i="5"/>
  <c r="AN27" i="5"/>
  <c r="AO27" i="5"/>
  <c r="AP27" i="5"/>
  <c r="AQ27" i="5"/>
  <c r="AR27" i="5"/>
  <c r="AS27" i="5"/>
  <c r="I28" i="5"/>
  <c r="K28" i="5" s="1"/>
  <c r="L28" i="5"/>
  <c r="N28" i="5"/>
  <c r="Z28" i="5"/>
  <c r="AA28" i="5"/>
  <c r="AB28" i="5"/>
  <c r="AC28" i="5"/>
  <c r="AD28" i="5"/>
  <c r="AE28" i="5"/>
  <c r="AF28" i="5"/>
  <c r="AG28" i="5"/>
  <c r="AH28" i="5"/>
  <c r="AI28" i="5"/>
  <c r="AJ28" i="5"/>
  <c r="AK28" i="5"/>
  <c r="AL28" i="5"/>
  <c r="AM28" i="5"/>
  <c r="AN28" i="5"/>
  <c r="AO28" i="5"/>
  <c r="AP28" i="5"/>
  <c r="AQ28" i="5"/>
  <c r="AR28" i="5"/>
  <c r="AS28" i="5"/>
  <c r="I29" i="5"/>
  <c r="K29" i="5" s="1"/>
  <c r="L29" i="5"/>
  <c r="N29" i="5"/>
  <c r="Z29" i="5"/>
  <c r="AA29" i="5"/>
  <c r="AB29" i="5"/>
  <c r="AC29" i="5"/>
  <c r="AD29" i="5"/>
  <c r="AE29" i="5"/>
  <c r="AF29" i="5"/>
  <c r="AG29" i="5"/>
  <c r="AH29" i="5"/>
  <c r="AI29" i="5"/>
  <c r="AJ29" i="5"/>
  <c r="AK29" i="5"/>
  <c r="AL29" i="5"/>
  <c r="AM29" i="5"/>
  <c r="AN29" i="5"/>
  <c r="AO29" i="5"/>
  <c r="AP29" i="5"/>
  <c r="AQ29" i="5"/>
  <c r="AR29" i="5"/>
  <c r="AS29" i="5"/>
  <c r="I30" i="5"/>
  <c r="K30" i="5" s="1"/>
  <c r="L30" i="5"/>
  <c r="N30" i="5"/>
  <c r="Z30" i="5"/>
  <c r="AA30" i="5"/>
  <c r="AB30" i="5"/>
  <c r="AC30" i="5"/>
  <c r="AD30" i="5"/>
  <c r="AE30" i="5"/>
  <c r="AF30" i="5"/>
  <c r="AG30" i="5"/>
  <c r="AH30" i="5"/>
  <c r="AI30" i="5"/>
  <c r="AJ30" i="5"/>
  <c r="AK30" i="5"/>
  <c r="AL30" i="5"/>
  <c r="AM30" i="5"/>
  <c r="AN30" i="5"/>
  <c r="AO30" i="5"/>
  <c r="AP30" i="5"/>
  <c r="AQ30" i="5"/>
  <c r="AR30" i="5"/>
  <c r="AS30" i="5"/>
  <c r="I31" i="5"/>
  <c r="K31" i="5" s="1"/>
  <c r="L31" i="5"/>
  <c r="N31" i="5"/>
  <c r="Z31" i="5"/>
  <c r="AA31" i="5"/>
  <c r="AB31" i="5"/>
  <c r="AC31" i="5"/>
  <c r="AD31" i="5"/>
  <c r="AE31" i="5"/>
  <c r="AF31" i="5"/>
  <c r="AG31" i="5"/>
  <c r="AH31" i="5"/>
  <c r="AI31" i="5"/>
  <c r="AJ31" i="5"/>
  <c r="AK31" i="5"/>
  <c r="AL31" i="5"/>
  <c r="AM31" i="5"/>
  <c r="AN31" i="5"/>
  <c r="AO31" i="5"/>
  <c r="AP31" i="5"/>
  <c r="AQ31" i="5"/>
  <c r="AR31" i="5"/>
  <c r="AS31" i="5"/>
  <c r="I32" i="5"/>
  <c r="K32" i="5" s="1"/>
  <c r="L32" i="5"/>
  <c r="N32" i="5"/>
  <c r="Z32" i="5"/>
  <c r="AA32" i="5"/>
  <c r="AB32" i="5"/>
  <c r="AC32" i="5"/>
  <c r="AD32" i="5"/>
  <c r="AE32" i="5"/>
  <c r="AF32" i="5"/>
  <c r="AG32" i="5"/>
  <c r="AH32" i="5"/>
  <c r="AI32" i="5"/>
  <c r="AJ32" i="5"/>
  <c r="AK32" i="5"/>
  <c r="AL32" i="5"/>
  <c r="AM32" i="5"/>
  <c r="AN32" i="5"/>
  <c r="AO32" i="5"/>
  <c r="AP32" i="5"/>
  <c r="AQ32" i="5"/>
  <c r="AR32" i="5"/>
  <c r="AS32" i="5"/>
  <c r="I33" i="5"/>
  <c r="K33" i="5" s="1"/>
  <c r="L33" i="5"/>
  <c r="N33" i="5"/>
  <c r="Z33" i="5"/>
  <c r="AA33" i="5"/>
  <c r="AB33" i="5"/>
  <c r="AC33" i="5"/>
  <c r="AD33" i="5"/>
  <c r="AE33" i="5"/>
  <c r="AF33" i="5"/>
  <c r="AG33" i="5"/>
  <c r="AH33" i="5"/>
  <c r="AI33" i="5"/>
  <c r="AJ33" i="5"/>
  <c r="AK33" i="5"/>
  <c r="AL33" i="5"/>
  <c r="AM33" i="5"/>
  <c r="AN33" i="5"/>
  <c r="AO33" i="5"/>
  <c r="AP33" i="5"/>
  <c r="AQ33" i="5"/>
  <c r="AR33" i="5"/>
  <c r="AS33" i="5"/>
  <c r="I34" i="5"/>
  <c r="K34" i="5" s="1"/>
  <c r="L34" i="5"/>
  <c r="N34" i="5"/>
  <c r="Z34" i="5"/>
  <c r="AA34" i="5"/>
  <c r="AB34" i="5"/>
  <c r="AC34" i="5"/>
  <c r="AD34" i="5"/>
  <c r="AE34" i="5"/>
  <c r="AF34" i="5"/>
  <c r="AG34" i="5"/>
  <c r="AH34" i="5"/>
  <c r="AI34" i="5"/>
  <c r="AJ34" i="5"/>
  <c r="AK34" i="5"/>
  <c r="AL34" i="5"/>
  <c r="AM34" i="5"/>
  <c r="AN34" i="5"/>
  <c r="AO34" i="5"/>
  <c r="AP34" i="5"/>
  <c r="AQ34" i="5"/>
  <c r="AR34" i="5"/>
  <c r="AS34" i="5"/>
  <c r="I35" i="5"/>
  <c r="K35" i="5" s="1"/>
  <c r="L35" i="5"/>
  <c r="N35" i="5"/>
  <c r="Z35" i="5"/>
  <c r="AA35" i="5"/>
  <c r="AB35" i="5"/>
  <c r="AC35" i="5"/>
  <c r="AD35" i="5"/>
  <c r="AE35" i="5"/>
  <c r="AF35" i="5"/>
  <c r="AG35" i="5"/>
  <c r="AH35" i="5"/>
  <c r="AI35" i="5"/>
  <c r="AJ35" i="5"/>
  <c r="AK35" i="5"/>
  <c r="AL35" i="5"/>
  <c r="AM35" i="5"/>
  <c r="AN35" i="5"/>
  <c r="AO35" i="5"/>
  <c r="AP35" i="5"/>
  <c r="AQ35" i="5"/>
  <c r="AR35" i="5"/>
  <c r="AS35" i="5"/>
  <c r="I36" i="5"/>
  <c r="K36" i="5" s="1"/>
  <c r="L36" i="5"/>
  <c r="N36" i="5"/>
  <c r="Z36" i="5"/>
  <c r="AA36" i="5"/>
  <c r="AB36" i="5"/>
  <c r="AC36" i="5"/>
  <c r="AD36" i="5"/>
  <c r="AE36" i="5"/>
  <c r="AF36" i="5"/>
  <c r="AG36" i="5"/>
  <c r="AH36" i="5"/>
  <c r="AI36" i="5"/>
  <c r="AJ36" i="5"/>
  <c r="AK36" i="5"/>
  <c r="AL36" i="5"/>
  <c r="AM36" i="5"/>
  <c r="AN36" i="5"/>
  <c r="AO36" i="5"/>
  <c r="AP36" i="5"/>
  <c r="AQ36" i="5"/>
  <c r="AR36" i="5"/>
  <c r="AS36" i="5"/>
  <c r="I37" i="5"/>
  <c r="K37" i="5" s="1"/>
  <c r="L37" i="5"/>
  <c r="N37" i="5"/>
  <c r="Z37" i="5"/>
  <c r="AA37" i="5"/>
  <c r="AB37" i="5"/>
  <c r="AC37" i="5"/>
  <c r="AD37" i="5"/>
  <c r="AE37" i="5"/>
  <c r="AF37" i="5"/>
  <c r="AG37" i="5"/>
  <c r="AH37" i="5"/>
  <c r="AI37" i="5"/>
  <c r="AJ37" i="5"/>
  <c r="AK37" i="5"/>
  <c r="AL37" i="5"/>
  <c r="AM37" i="5"/>
  <c r="AN37" i="5"/>
  <c r="AO37" i="5"/>
  <c r="AP37" i="5"/>
  <c r="AQ37" i="5"/>
  <c r="AR37" i="5"/>
  <c r="AS37" i="5"/>
  <c r="I38" i="5"/>
  <c r="K38" i="5" s="1"/>
  <c r="L38" i="5"/>
  <c r="N38" i="5"/>
  <c r="Z38" i="5"/>
  <c r="AA38" i="5"/>
  <c r="AB38" i="5"/>
  <c r="AC38" i="5"/>
  <c r="AD38" i="5"/>
  <c r="AE38" i="5"/>
  <c r="AF38" i="5"/>
  <c r="AG38" i="5"/>
  <c r="AH38" i="5"/>
  <c r="AI38" i="5"/>
  <c r="AJ38" i="5"/>
  <c r="AK38" i="5"/>
  <c r="AL38" i="5"/>
  <c r="AM38" i="5"/>
  <c r="AN38" i="5"/>
  <c r="AO38" i="5"/>
  <c r="AP38" i="5"/>
  <c r="AQ38" i="5"/>
  <c r="AR38" i="5"/>
  <c r="AS38" i="5"/>
  <c r="I39" i="5"/>
  <c r="K39" i="5" s="1"/>
  <c r="L39" i="5"/>
  <c r="N39" i="5"/>
  <c r="Z39" i="5"/>
  <c r="AA39" i="5"/>
  <c r="AB39" i="5"/>
  <c r="AC39" i="5"/>
  <c r="AD39" i="5"/>
  <c r="AE39" i="5"/>
  <c r="AF39" i="5"/>
  <c r="AG39" i="5"/>
  <c r="AH39" i="5"/>
  <c r="AI39" i="5"/>
  <c r="AJ39" i="5"/>
  <c r="AK39" i="5"/>
  <c r="AL39" i="5"/>
  <c r="AM39" i="5"/>
  <c r="AN39" i="5"/>
  <c r="AO39" i="5"/>
  <c r="AP39" i="5"/>
  <c r="AQ39" i="5"/>
  <c r="AR39" i="5"/>
  <c r="AS39" i="5"/>
  <c r="I40" i="5"/>
  <c r="K40" i="5" s="1"/>
  <c r="L40" i="5"/>
  <c r="N40" i="5"/>
  <c r="Z40" i="5"/>
  <c r="AA40" i="5"/>
  <c r="AB40" i="5"/>
  <c r="AC40" i="5"/>
  <c r="AD40" i="5"/>
  <c r="AE40" i="5"/>
  <c r="AF40" i="5"/>
  <c r="AG40" i="5"/>
  <c r="AH40" i="5"/>
  <c r="AI40" i="5"/>
  <c r="AJ40" i="5"/>
  <c r="AK40" i="5"/>
  <c r="AL40" i="5"/>
  <c r="AM40" i="5"/>
  <c r="AN40" i="5"/>
  <c r="AO40" i="5"/>
  <c r="AP40" i="5"/>
  <c r="AQ40" i="5"/>
  <c r="AR40" i="5"/>
  <c r="AS40" i="5"/>
  <c r="I41" i="5"/>
  <c r="K41" i="5" s="1"/>
  <c r="L41" i="5"/>
  <c r="N41" i="5"/>
  <c r="Z41" i="5"/>
  <c r="AA41" i="5"/>
  <c r="AB41" i="5"/>
  <c r="AC41" i="5"/>
  <c r="AD41" i="5"/>
  <c r="AE41" i="5"/>
  <c r="AF41" i="5"/>
  <c r="AG41" i="5"/>
  <c r="AH41" i="5"/>
  <c r="AI41" i="5"/>
  <c r="AJ41" i="5"/>
  <c r="AK41" i="5"/>
  <c r="AL41" i="5"/>
  <c r="AM41" i="5"/>
  <c r="AN41" i="5"/>
  <c r="AO41" i="5"/>
  <c r="AP41" i="5"/>
  <c r="AQ41" i="5"/>
  <c r="AR41" i="5"/>
  <c r="AS41" i="5"/>
  <c r="I42" i="5"/>
  <c r="K42" i="5" s="1"/>
  <c r="L42" i="5"/>
  <c r="N42" i="5"/>
  <c r="Z42" i="5"/>
  <c r="AA42" i="5"/>
  <c r="AB42" i="5"/>
  <c r="AC42" i="5"/>
  <c r="AD42" i="5"/>
  <c r="AE42" i="5"/>
  <c r="AF42" i="5"/>
  <c r="AG42" i="5"/>
  <c r="AH42" i="5"/>
  <c r="AI42" i="5"/>
  <c r="AJ42" i="5"/>
  <c r="AK42" i="5"/>
  <c r="AL42" i="5"/>
  <c r="AM42" i="5"/>
  <c r="AN42" i="5"/>
  <c r="AO42" i="5"/>
  <c r="AP42" i="5"/>
  <c r="AQ42" i="5"/>
  <c r="AR42" i="5"/>
  <c r="AS42" i="5"/>
  <c r="I43" i="5"/>
  <c r="K43" i="5" s="1"/>
  <c r="L43" i="5"/>
  <c r="N43" i="5"/>
  <c r="Z43" i="5"/>
  <c r="AA43" i="5"/>
  <c r="AB43" i="5"/>
  <c r="AC43" i="5"/>
  <c r="AD43" i="5"/>
  <c r="AE43" i="5"/>
  <c r="AF43" i="5"/>
  <c r="AG43" i="5"/>
  <c r="AH43" i="5"/>
  <c r="AI43" i="5"/>
  <c r="AJ43" i="5"/>
  <c r="AK43" i="5"/>
  <c r="AL43" i="5"/>
  <c r="AM43" i="5"/>
  <c r="AN43" i="5"/>
  <c r="AO43" i="5"/>
  <c r="AP43" i="5"/>
  <c r="AQ43" i="5"/>
  <c r="AR43" i="5"/>
  <c r="AS43" i="5"/>
  <c r="I44" i="5"/>
  <c r="K44" i="5" s="1"/>
  <c r="L44" i="5"/>
  <c r="N44" i="5"/>
  <c r="Z44" i="5"/>
  <c r="AA44" i="5"/>
  <c r="AB44" i="5"/>
  <c r="AC44" i="5"/>
  <c r="AD44" i="5"/>
  <c r="AE44" i="5"/>
  <c r="AF44" i="5"/>
  <c r="AG44" i="5"/>
  <c r="AH44" i="5"/>
  <c r="AI44" i="5"/>
  <c r="AJ44" i="5"/>
  <c r="AK44" i="5"/>
  <c r="AL44" i="5"/>
  <c r="AM44" i="5"/>
  <c r="AN44" i="5"/>
  <c r="AO44" i="5"/>
  <c r="AP44" i="5"/>
  <c r="AQ44" i="5"/>
  <c r="AR44" i="5"/>
  <c r="AS44" i="5"/>
  <c r="I45" i="5"/>
  <c r="K45" i="5" s="1"/>
  <c r="L45" i="5"/>
  <c r="N45" i="5"/>
  <c r="Z45" i="5"/>
  <c r="AA45" i="5"/>
  <c r="AB45" i="5"/>
  <c r="AC45" i="5"/>
  <c r="AD45" i="5"/>
  <c r="AE45" i="5"/>
  <c r="AF45" i="5"/>
  <c r="AG45" i="5"/>
  <c r="AH45" i="5"/>
  <c r="AI45" i="5"/>
  <c r="AJ45" i="5"/>
  <c r="AK45" i="5"/>
  <c r="AL45" i="5"/>
  <c r="AM45" i="5"/>
  <c r="AN45" i="5"/>
  <c r="AO45" i="5"/>
  <c r="AP45" i="5"/>
  <c r="AQ45" i="5"/>
  <c r="AR45" i="5"/>
  <c r="AS45" i="5"/>
  <c r="I46" i="5"/>
  <c r="K46" i="5" s="1"/>
  <c r="L46" i="5"/>
  <c r="N46" i="5"/>
  <c r="Z46" i="5"/>
  <c r="AA46" i="5"/>
  <c r="AB46" i="5"/>
  <c r="AC46" i="5"/>
  <c r="AD46" i="5"/>
  <c r="AE46" i="5"/>
  <c r="AF46" i="5"/>
  <c r="AG46" i="5"/>
  <c r="AH46" i="5"/>
  <c r="AI46" i="5"/>
  <c r="AJ46" i="5"/>
  <c r="AK46" i="5"/>
  <c r="AL46" i="5"/>
  <c r="AM46" i="5"/>
  <c r="AN46" i="5"/>
  <c r="AO46" i="5"/>
  <c r="AP46" i="5"/>
  <c r="AQ46" i="5"/>
  <c r="AR46" i="5"/>
  <c r="AS46" i="5"/>
  <c r="I47" i="5"/>
  <c r="K47" i="5" s="1"/>
  <c r="L47" i="5"/>
  <c r="N47" i="5"/>
  <c r="Z47" i="5"/>
  <c r="AA47" i="5"/>
  <c r="AB47" i="5"/>
  <c r="AC47" i="5"/>
  <c r="AD47" i="5"/>
  <c r="AE47" i="5"/>
  <c r="AF47" i="5"/>
  <c r="AG47" i="5"/>
  <c r="AH47" i="5"/>
  <c r="AI47" i="5"/>
  <c r="AJ47" i="5"/>
  <c r="AK47" i="5"/>
  <c r="AL47" i="5"/>
  <c r="AM47" i="5"/>
  <c r="AN47" i="5"/>
  <c r="AO47" i="5"/>
  <c r="AP47" i="5"/>
  <c r="AQ47" i="5"/>
  <c r="AR47" i="5"/>
  <c r="AS47" i="5"/>
  <c r="I48" i="5"/>
  <c r="K48" i="5" s="1"/>
  <c r="L48" i="5"/>
  <c r="N48" i="5"/>
  <c r="Z48" i="5"/>
  <c r="AA48" i="5"/>
  <c r="AB48" i="5"/>
  <c r="AC48" i="5"/>
  <c r="AD48" i="5"/>
  <c r="AE48" i="5"/>
  <c r="AF48" i="5"/>
  <c r="AG48" i="5"/>
  <c r="AH48" i="5"/>
  <c r="AI48" i="5"/>
  <c r="AJ48" i="5"/>
  <c r="AK48" i="5"/>
  <c r="AL48" i="5"/>
  <c r="AM48" i="5"/>
  <c r="AN48" i="5"/>
  <c r="AO48" i="5"/>
  <c r="AP48" i="5"/>
  <c r="AQ48" i="5"/>
  <c r="AR48" i="5"/>
  <c r="AS48" i="5"/>
  <c r="I49" i="5"/>
  <c r="K49" i="5" s="1"/>
  <c r="L49" i="5"/>
  <c r="N49" i="5"/>
  <c r="Z49" i="5"/>
  <c r="AA49" i="5"/>
  <c r="AB49" i="5"/>
  <c r="AC49" i="5"/>
  <c r="AD49" i="5"/>
  <c r="AE49" i="5"/>
  <c r="AF49" i="5"/>
  <c r="AG49" i="5"/>
  <c r="AH49" i="5"/>
  <c r="AI49" i="5"/>
  <c r="AJ49" i="5"/>
  <c r="AK49" i="5"/>
  <c r="AL49" i="5"/>
  <c r="AM49" i="5"/>
  <c r="AN49" i="5"/>
  <c r="AO49" i="5"/>
  <c r="AP49" i="5"/>
  <c r="AQ49" i="5"/>
  <c r="AR49" i="5"/>
  <c r="AS49" i="5"/>
  <c r="I50" i="5"/>
  <c r="K50" i="5" s="1"/>
  <c r="L50" i="5"/>
  <c r="N50" i="5"/>
  <c r="Z50" i="5"/>
  <c r="AA50" i="5"/>
  <c r="AB50" i="5"/>
  <c r="AC50" i="5"/>
  <c r="AD50" i="5"/>
  <c r="AE50" i="5"/>
  <c r="AF50" i="5"/>
  <c r="AG50" i="5"/>
  <c r="AH50" i="5"/>
  <c r="AI50" i="5"/>
  <c r="AJ50" i="5"/>
  <c r="AK50" i="5"/>
  <c r="AL50" i="5"/>
  <c r="AM50" i="5"/>
  <c r="AN50" i="5"/>
  <c r="AO50" i="5"/>
  <c r="AP50" i="5"/>
  <c r="AQ50" i="5"/>
  <c r="AR50" i="5"/>
  <c r="AS50" i="5"/>
  <c r="I51" i="5"/>
  <c r="K51" i="5" s="1"/>
  <c r="L51" i="5"/>
  <c r="N51" i="5"/>
  <c r="Z51" i="5"/>
  <c r="AA51" i="5"/>
  <c r="AB51" i="5"/>
  <c r="AC51" i="5"/>
  <c r="AD51" i="5"/>
  <c r="AE51" i="5"/>
  <c r="AF51" i="5"/>
  <c r="AG51" i="5"/>
  <c r="AH51" i="5"/>
  <c r="AI51" i="5"/>
  <c r="AJ51" i="5"/>
  <c r="AK51" i="5"/>
  <c r="AL51" i="5"/>
  <c r="AM51" i="5"/>
  <c r="AN51" i="5"/>
  <c r="AO51" i="5"/>
  <c r="AP51" i="5"/>
  <c r="AQ51" i="5"/>
  <c r="AR51" i="5"/>
  <c r="AS51" i="5"/>
  <c r="I52" i="5"/>
  <c r="K52" i="5" s="1"/>
  <c r="L52" i="5"/>
  <c r="N52" i="5"/>
  <c r="Z52" i="5"/>
  <c r="AA52" i="5"/>
  <c r="AB52" i="5"/>
  <c r="AC52" i="5"/>
  <c r="AD52" i="5"/>
  <c r="AE52" i="5"/>
  <c r="AF52" i="5"/>
  <c r="AG52" i="5"/>
  <c r="AH52" i="5"/>
  <c r="AI52" i="5"/>
  <c r="AJ52" i="5"/>
  <c r="AK52" i="5"/>
  <c r="AL52" i="5"/>
  <c r="AM52" i="5"/>
  <c r="AN52" i="5"/>
  <c r="AO52" i="5"/>
  <c r="AP52" i="5"/>
  <c r="AQ52" i="5"/>
  <c r="AR52" i="5"/>
  <c r="AS52" i="5"/>
  <c r="I53" i="5"/>
  <c r="K53" i="5" s="1"/>
  <c r="L53" i="5"/>
  <c r="N53" i="5"/>
  <c r="Z53" i="5"/>
  <c r="AA53" i="5"/>
  <c r="AB53" i="5"/>
  <c r="AC53" i="5"/>
  <c r="AD53" i="5"/>
  <c r="AE53" i="5"/>
  <c r="AF53" i="5"/>
  <c r="AG53" i="5"/>
  <c r="AH53" i="5"/>
  <c r="AI53" i="5"/>
  <c r="AJ53" i="5"/>
  <c r="AK53" i="5"/>
  <c r="AL53" i="5"/>
  <c r="AM53" i="5"/>
  <c r="AN53" i="5"/>
  <c r="AO53" i="5"/>
  <c r="AP53" i="5"/>
  <c r="AQ53" i="5"/>
  <c r="AR53" i="5"/>
  <c r="AS53" i="5"/>
  <c r="I54" i="5"/>
  <c r="K54" i="5" s="1"/>
  <c r="L54" i="5"/>
  <c r="N54" i="5"/>
  <c r="Z54" i="5"/>
  <c r="AA54" i="5"/>
  <c r="AB54" i="5"/>
  <c r="AC54" i="5"/>
  <c r="AD54" i="5"/>
  <c r="AE54" i="5"/>
  <c r="AF54" i="5"/>
  <c r="AG54" i="5"/>
  <c r="AH54" i="5"/>
  <c r="AI54" i="5"/>
  <c r="AJ54" i="5"/>
  <c r="AK54" i="5"/>
  <c r="AL54" i="5"/>
  <c r="AM54" i="5"/>
  <c r="AN54" i="5"/>
  <c r="AO54" i="5"/>
  <c r="AP54" i="5"/>
  <c r="AQ54" i="5"/>
  <c r="AR54" i="5"/>
  <c r="AS54" i="5"/>
  <c r="I55" i="5"/>
  <c r="K55" i="5" s="1"/>
  <c r="L55" i="5"/>
  <c r="N55" i="5"/>
  <c r="Z55" i="5"/>
  <c r="AA55" i="5"/>
  <c r="AB55" i="5"/>
  <c r="AC55" i="5"/>
  <c r="AD55" i="5"/>
  <c r="AE55" i="5"/>
  <c r="AF55" i="5"/>
  <c r="AG55" i="5"/>
  <c r="AH55" i="5"/>
  <c r="AI55" i="5"/>
  <c r="AJ55" i="5"/>
  <c r="AK55" i="5"/>
  <c r="AL55" i="5"/>
  <c r="AM55" i="5"/>
  <c r="AN55" i="5"/>
  <c r="AO55" i="5"/>
  <c r="AP55" i="5"/>
  <c r="AQ55" i="5"/>
  <c r="AR55" i="5"/>
  <c r="AS55" i="5"/>
  <c r="I56" i="5"/>
  <c r="K56" i="5" s="1"/>
  <c r="L56" i="5"/>
  <c r="N56" i="5"/>
  <c r="Z56" i="5"/>
  <c r="AA56" i="5"/>
  <c r="AB56" i="5"/>
  <c r="AC56" i="5"/>
  <c r="AD56" i="5"/>
  <c r="AE56" i="5"/>
  <c r="AF56" i="5"/>
  <c r="AG56" i="5"/>
  <c r="AH56" i="5"/>
  <c r="AI56" i="5"/>
  <c r="AJ56" i="5"/>
  <c r="AK56" i="5"/>
  <c r="AL56" i="5"/>
  <c r="AM56" i="5"/>
  <c r="AN56" i="5"/>
  <c r="AO56" i="5"/>
  <c r="AP56" i="5"/>
  <c r="AQ56" i="5"/>
  <c r="AR56" i="5"/>
  <c r="AS56" i="5"/>
  <c r="I57" i="5"/>
  <c r="K57" i="5" s="1"/>
  <c r="L57" i="5"/>
  <c r="N57" i="5"/>
  <c r="Z57" i="5"/>
  <c r="AA57" i="5"/>
  <c r="AB57" i="5"/>
  <c r="AC57" i="5"/>
  <c r="AD57" i="5"/>
  <c r="AE57" i="5"/>
  <c r="AF57" i="5"/>
  <c r="AG57" i="5"/>
  <c r="AH57" i="5"/>
  <c r="AI57" i="5"/>
  <c r="AJ57" i="5"/>
  <c r="AK57" i="5"/>
  <c r="AL57" i="5"/>
  <c r="AM57" i="5"/>
  <c r="AN57" i="5"/>
  <c r="AO57" i="5"/>
  <c r="AP57" i="5"/>
  <c r="AQ57" i="5"/>
  <c r="AR57" i="5"/>
  <c r="AS57" i="5"/>
  <c r="I58" i="5"/>
  <c r="K58" i="5" s="1"/>
  <c r="L58" i="5"/>
  <c r="N58" i="5"/>
  <c r="Z58" i="5"/>
  <c r="AA58" i="5"/>
  <c r="AB58" i="5"/>
  <c r="AC58" i="5"/>
  <c r="AD58" i="5"/>
  <c r="AE58" i="5"/>
  <c r="AF58" i="5"/>
  <c r="AG58" i="5"/>
  <c r="AH58" i="5"/>
  <c r="AI58" i="5"/>
  <c r="AJ58" i="5"/>
  <c r="AK58" i="5"/>
  <c r="AL58" i="5"/>
  <c r="AM58" i="5"/>
  <c r="AN58" i="5"/>
  <c r="AO58" i="5"/>
  <c r="AP58" i="5"/>
  <c r="AQ58" i="5"/>
  <c r="AR58" i="5"/>
  <c r="AS58" i="5"/>
  <c r="I59" i="5"/>
  <c r="K59" i="5" s="1"/>
  <c r="L59" i="5"/>
  <c r="N59" i="5"/>
  <c r="Z59" i="5"/>
  <c r="AA59" i="5"/>
  <c r="AB59" i="5"/>
  <c r="AC59" i="5"/>
  <c r="AD59" i="5"/>
  <c r="AE59" i="5"/>
  <c r="AF59" i="5"/>
  <c r="AG59" i="5"/>
  <c r="AH59" i="5"/>
  <c r="AI59" i="5"/>
  <c r="AJ59" i="5"/>
  <c r="AK59" i="5"/>
  <c r="AL59" i="5"/>
  <c r="AM59" i="5"/>
  <c r="AN59" i="5"/>
  <c r="AO59" i="5"/>
  <c r="AP59" i="5"/>
  <c r="AQ59" i="5"/>
  <c r="AR59" i="5"/>
  <c r="AS59" i="5"/>
  <c r="I60" i="5"/>
  <c r="K60" i="5" s="1"/>
  <c r="L60" i="5"/>
  <c r="N60" i="5"/>
  <c r="Z60" i="5"/>
  <c r="AA60" i="5"/>
  <c r="AB60" i="5"/>
  <c r="AC60" i="5"/>
  <c r="AD60" i="5"/>
  <c r="AE60" i="5"/>
  <c r="AF60" i="5"/>
  <c r="AG60" i="5"/>
  <c r="AH60" i="5"/>
  <c r="AI60" i="5"/>
  <c r="AJ60" i="5"/>
  <c r="AK60" i="5"/>
  <c r="AL60" i="5"/>
  <c r="AM60" i="5"/>
  <c r="AN60" i="5"/>
  <c r="AO60" i="5"/>
  <c r="AP60" i="5"/>
  <c r="AQ60" i="5"/>
  <c r="AR60" i="5"/>
  <c r="AS60" i="5"/>
  <c r="I61" i="5"/>
  <c r="K61" i="5" s="1"/>
  <c r="L61" i="5"/>
  <c r="N61" i="5"/>
  <c r="Z61" i="5"/>
  <c r="AA61" i="5"/>
  <c r="AB61" i="5"/>
  <c r="AC61" i="5"/>
  <c r="AD61" i="5"/>
  <c r="AE61" i="5"/>
  <c r="AF61" i="5"/>
  <c r="AG61" i="5"/>
  <c r="AH61" i="5"/>
  <c r="AI61" i="5"/>
  <c r="AJ61" i="5"/>
  <c r="AK61" i="5"/>
  <c r="AL61" i="5"/>
  <c r="AM61" i="5"/>
  <c r="AN61" i="5"/>
  <c r="AO61" i="5"/>
  <c r="AP61" i="5"/>
  <c r="AQ61" i="5"/>
  <c r="AR61" i="5"/>
  <c r="AS61" i="5"/>
  <c r="I62" i="5"/>
  <c r="K62" i="5" s="1"/>
  <c r="L62" i="5"/>
  <c r="N62" i="5"/>
  <c r="Z62" i="5"/>
  <c r="AA62" i="5"/>
  <c r="AB62" i="5"/>
  <c r="AC62" i="5"/>
  <c r="AD62" i="5"/>
  <c r="AE62" i="5"/>
  <c r="AF62" i="5"/>
  <c r="AG62" i="5"/>
  <c r="AH62" i="5"/>
  <c r="AI62" i="5"/>
  <c r="AJ62" i="5"/>
  <c r="AK62" i="5"/>
  <c r="AL62" i="5"/>
  <c r="AM62" i="5"/>
  <c r="AN62" i="5"/>
  <c r="AO62" i="5"/>
  <c r="AP62" i="5"/>
  <c r="AQ62" i="5"/>
  <c r="AR62" i="5"/>
  <c r="AS62" i="5"/>
  <c r="I63" i="5"/>
  <c r="K63" i="5" s="1"/>
  <c r="L63" i="5"/>
  <c r="N63" i="5"/>
  <c r="Z63" i="5"/>
  <c r="AA63" i="5"/>
  <c r="AB63" i="5"/>
  <c r="AC63" i="5"/>
  <c r="AD63" i="5"/>
  <c r="AE63" i="5"/>
  <c r="AF63" i="5"/>
  <c r="AG63" i="5"/>
  <c r="AH63" i="5"/>
  <c r="AI63" i="5"/>
  <c r="AJ63" i="5"/>
  <c r="AK63" i="5"/>
  <c r="AL63" i="5"/>
  <c r="AM63" i="5"/>
  <c r="AN63" i="5"/>
  <c r="AO63" i="5"/>
  <c r="AP63" i="5"/>
  <c r="AQ63" i="5"/>
  <c r="AR63" i="5"/>
  <c r="AS63" i="5"/>
  <c r="I64" i="5"/>
  <c r="K64" i="5" s="1"/>
  <c r="L64" i="5"/>
  <c r="N64" i="5"/>
  <c r="Z64" i="5"/>
  <c r="AA64" i="5"/>
  <c r="AB64" i="5"/>
  <c r="AC64" i="5"/>
  <c r="AD64" i="5"/>
  <c r="AE64" i="5"/>
  <c r="AF64" i="5"/>
  <c r="AG64" i="5"/>
  <c r="AH64" i="5"/>
  <c r="AI64" i="5"/>
  <c r="AJ64" i="5"/>
  <c r="AK64" i="5"/>
  <c r="AL64" i="5"/>
  <c r="AM64" i="5"/>
  <c r="AN64" i="5"/>
  <c r="AO64" i="5"/>
  <c r="AP64" i="5"/>
  <c r="AQ64" i="5"/>
  <c r="AR64" i="5"/>
  <c r="AS64" i="5"/>
  <c r="I65" i="5"/>
  <c r="K65" i="5" s="1"/>
  <c r="L65" i="5"/>
  <c r="N65" i="5"/>
  <c r="Z65" i="5"/>
  <c r="AA65" i="5"/>
  <c r="AB65" i="5"/>
  <c r="AC65" i="5"/>
  <c r="AD65" i="5"/>
  <c r="AE65" i="5"/>
  <c r="AF65" i="5"/>
  <c r="AG65" i="5"/>
  <c r="AH65" i="5"/>
  <c r="AI65" i="5"/>
  <c r="AJ65" i="5"/>
  <c r="AK65" i="5"/>
  <c r="AL65" i="5"/>
  <c r="AM65" i="5"/>
  <c r="AN65" i="5"/>
  <c r="AO65" i="5"/>
  <c r="AP65" i="5"/>
  <c r="AQ65" i="5"/>
  <c r="AR65" i="5"/>
  <c r="AS65" i="5"/>
  <c r="I66" i="5"/>
  <c r="K66" i="5" s="1"/>
  <c r="L66" i="5"/>
  <c r="N66" i="5"/>
  <c r="Z66" i="5"/>
  <c r="AA66" i="5"/>
  <c r="AB66" i="5"/>
  <c r="AC66" i="5"/>
  <c r="AD66" i="5"/>
  <c r="AE66" i="5"/>
  <c r="AF66" i="5"/>
  <c r="AG66" i="5"/>
  <c r="AH66" i="5"/>
  <c r="AI66" i="5"/>
  <c r="AJ66" i="5"/>
  <c r="AK66" i="5"/>
  <c r="AL66" i="5"/>
  <c r="AM66" i="5"/>
  <c r="AN66" i="5"/>
  <c r="AO66" i="5"/>
  <c r="AP66" i="5"/>
  <c r="AQ66" i="5"/>
  <c r="AR66" i="5"/>
  <c r="AS66" i="5"/>
  <c r="I67" i="5"/>
  <c r="K67" i="5" s="1"/>
  <c r="L67" i="5"/>
  <c r="N67" i="5"/>
  <c r="Z67" i="5"/>
  <c r="AA67" i="5"/>
  <c r="AB67" i="5"/>
  <c r="AC67" i="5"/>
  <c r="AD67" i="5"/>
  <c r="AE67" i="5"/>
  <c r="AF67" i="5"/>
  <c r="AG67" i="5"/>
  <c r="AH67" i="5"/>
  <c r="AI67" i="5"/>
  <c r="AJ67" i="5"/>
  <c r="AK67" i="5"/>
  <c r="AL67" i="5"/>
  <c r="AM67" i="5"/>
  <c r="AN67" i="5"/>
  <c r="AO67" i="5"/>
  <c r="AP67" i="5"/>
  <c r="AQ67" i="5"/>
  <c r="AR67" i="5"/>
  <c r="AS67" i="5"/>
  <c r="I68" i="5"/>
  <c r="K68" i="5" s="1"/>
  <c r="L68" i="5"/>
  <c r="N68" i="5"/>
  <c r="Z68" i="5"/>
  <c r="AA68" i="5"/>
  <c r="AB68" i="5"/>
  <c r="AC68" i="5"/>
  <c r="AD68" i="5"/>
  <c r="AE68" i="5"/>
  <c r="AF68" i="5"/>
  <c r="AG68" i="5"/>
  <c r="AH68" i="5"/>
  <c r="AI68" i="5"/>
  <c r="AJ68" i="5"/>
  <c r="AK68" i="5"/>
  <c r="AL68" i="5"/>
  <c r="AM68" i="5"/>
  <c r="AN68" i="5"/>
  <c r="AO68" i="5"/>
  <c r="AP68" i="5"/>
  <c r="AQ68" i="5"/>
  <c r="AR68" i="5"/>
  <c r="AS68" i="5"/>
  <c r="I69" i="5"/>
  <c r="K69" i="5" s="1"/>
  <c r="L69" i="5"/>
  <c r="N69" i="5"/>
  <c r="Z69" i="5"/>
  <c r="AA69" i="5"/>
  <c r="AB69" i="5"/>
  <c r="AC69" i="5"/>
  <c r="AD69" i="5"/>
  <c r="AE69" i="5"/>
  <c r="AF69" i="5"/>
  <c r="AG69" i="5"/>
  <c r="AH69" i="5"/>
  <c r="AI69" i="5"/>
  <c r="AJ69" i="5"/>
  <c r="AK69" i="5"/>
  <c r="AL69" i="5"/>
  <c r="AM69" i="5"/>
  <c r="AN69" i="5"/>
  <c r="AO69" i="5"/>
  <c r="AP69" i="5"/>
  <c r="AQ69" i="5"/>
  <c r="AR69" i="5"/>
  <c r="AS69" i="5"/>
  <c r="I70" i="5"/>
  <c r="K70" i="5" s="1"/>
  <c r="L70" i="5"/>
  <c r="N70" i="5"/>
  <c r="Z70" i="5"/>
  <c r="AA70" i="5"/>
  <c r="AB70" i="5"/>
  <c r="AC70" i="5"/>
  <c r="AD70" i="5"/>
  <c r="AE70" i="5"/>
  <c r="AF70" i="5"/>
  <c r="AG70" i="5"/>
  <c r="AH70" i="5"/>
  <c r="AI70" i="5"/>
  <c r="AJ70" i="5"/>
  <c r="AK70" i="5"/>
  <c r="AL70" i="5"/>
  <c r="AM70" i="5"/>
  <c r="AN70" i="5"/>
  <c r="AO70" i="5"/>
  <c r="AP70" i="5"/>
  <c r="AQ70" i="5"/>
  <c r="AR70" i="5"/>
  <c r="AS70" i="5"/>
  <c r="I71" i="5"/>
  <c r="K71" i="5" s="1"/>
  <c r="L71" i="5"/>
  <c r="N71" i="5"/>
  <c r="Z71" i="5"/>
  <c r="AA71" i="5"/>
  <c r="AB71" i="5"/>
  <c r="AC71" i="5"/>
  <c r="AD71" i="5"/>
  <c r="AE71" i="5"/>
  <c r="AF71" i="5"/>
  <c r="AG71" i="5"/>
  <c r="AH71" i="5"/>
  <c r="AI71" i="5"/>
  <c r="AJ71" i="5"/>
  <c r="AK71" i="5"/>
  <c r="AL71" i="5"/>
  <c r="AM71" i="5"/>
  <c r="AN71" i="5"/>
  <c r="AO71" i="5"/>
  <c r="AP71" i="5"/>
  <c r="AQ71" i="5"/>
  <c r="AR71" i="5"/>
  <c r="AS71" i="5"/>
  <c r="I72" i="5"/>
  <c r="K72" i="5" s="1"/>
  <c r="L72" i="5"/>
  <c r="N72" i="5"/>
  <c r="Z72" i="5"/>
  <c r="AA72" i="5"/>
  <c r="AB72" i="5"/>
  <c r="AC72" i="5"/>
  <c r="AD72" i="5"/>
  <c r="AE72" i="5"/>
  <c r="AF72" i="5"/>
  <c r="AG72" i="5"/>
  <c r="AH72" i="5"/>
  <c r="AI72" i="5"/>
  <c r="AJ72" i="5"/>
  <c r="AK72" i="5"/>
  <c r="AL72" i="5"/>
  <c r="AM72" i="5"/>
  <c r="AN72" i="5"/>
  <c r="AO72" i="5"/>
  <c r="AP72" i="5"/>
  <c r="AQ72" i="5"/>
  <c r="AR72" i="5"/>
  <c r="AS72" i="5"/>
  <c r="I73" i="5"/>
  <c r="K73" i="5" s="1"/>
  <c r="L73" i="5"/>
  <c r="N73" i="5"/>
  <c r="Z73" i="5"/>
  <c r="AA73" i="5"/>
  <c r="AB73" i="5"/>
  <c r="AC73" i="5"/>
  <c r="AD73" i="5"/>
  <c r="AE73" i="5"/>
  <c r="AF73" i="5"/>
  <c r="AG73" i="5"/>
  <c r="AH73" i="5"/>
  <c r="AI73" i="5"/>
  <c r="AJ73" i="5"/>
  <c r="AK73" i="5"/>
  <c r="AL73" i="5"/>
  <c r="AM73" i="5"/>
  <c r="AN73" i="5"/>
  <c r="AO73" i="5"/>
  <c r="AP73" i="5"/>
  <c r="AQ73" i="5"/>
  <c r="AR73" i="5"/>
  <c r="AS73" i="5"/>
  <c r="I74" i="5"/>
  <c r="K74" i="5" s="1"/>
  <c r="L74" i="5"/>
  <c r="N74" i="5"/>
  <c r="Z74" i="5"/>
  <c r="AA74" i="5"/>
  <c r="AB74" i="5"/>
  <c r="AC74" i="5"/>
  <c r="AD74" i="5"/>
  <c r="AE74" i="5"/>
  <c r="AF74" i="5"/>
  <c r="AG74" i="5"/>
  <c r="AH74" i="5"/>
  <c r="AI74" i="5"/>
  <c r="AJ74" i="5"/>
  <c r="AK74" i="5"/>
  <c r="AL74" i="5"/>
  <c r="AM74" i="5"/>
  <c r="AN74" i="5"/>
  <c r="AO74" i="5"/>
  <c r="AP74" i="5"/>
  <c r="AQ74" i="5"/>
  <c r="AR74" i="5"/>
  <c r="AS74" i="5"/>
  <c r="I75" i="5"/>
  <c r="K75" i="5" s="1"/>
  <c r="L75" i="5"/>
  <c r="N75" i="5"/>
  <c r="Z75" i="5"/>
  <c r="AA75" i="5"/>
  <c r="AB75" i="5"/>
  <c r="AC75" i="5"/>
  <c r="AD75" i="5"/>
  <c r="AE75" i="5"/>
  <c r="AF75" i="5"/>
  <c r="AG75" i="5"/>
  <c r="AH75" i="5"/>
  <c r="AI75" i="5"/>
  <c r="AJ75" i="5"/>
  <c r="AK75" i="5"/>
  <c r="AL75" i="5"/>
  <c r="AM75" i="5"/>
  <c r="AN75" i="5"/>
  <c r="AO75" i="5"/>
  <c r="AP75" i="5"/>
  <c r="AQ75" i="5"/>
  <c r="AR75" i="5"/>
  <c r="AS75" i="5"/>
  <c r="I76" i="5"/>
  <c r="K76" i="5" s="1"/>
  <c r="L76" i="5"/>
  <c r="N76" i="5"/>
  <c r="Z76" i="5"/>
  <c r="AA76" i="5"/>
  <c r="AB76" i="5"/>
  <c r="AC76" i="5"/>
  <c r="AD76" i="5"/>
  <c r="AE76" i="5"/>
  <c r="AF76" i="5"/>
  <c r="AG76" i="5"/>
  <c r="AH76" i="5"/>
  <c r="AI76" i="5"/>
  <c r="AJ76" i="5"/>
  <c r="AK76" i="5"/>
  <c r="AL76" i="5"/>
  <c r="AM76" i="5"/>
  <c r="AN76" i="5"/>
  <c r="AO76" i="5"/>
  <c r="AP76" i="5"/>
  <c r="AQ76" i="5"/>
  <c r="AR76" i="5"/>
  <c r="AS76" i="5"/>
  <c r="I77" i="5"/>
  <c r="K77" i="5" s="1"/>
  <c r="L77" i="5"/>
  <c r="N77" i="5"/>
  <c r="Z77" i="5"/>
  <c r="AA77" i="5"/>
  <c r="AB77" i="5"/>
  <c r="AC77" i="5"/>
  <c r="AD77" i="5"/>
  <c r="AE77" i="5"/>
  <c r="AF77" i="5"/>
  <c r="AG77" i="5"/>
  <c r="AH77" i="5"/>
  <c r="AI77" i="5"/>
  <c r="AJ77" i="5"/>
  <c r="AK77" i="5"/>
  <c r="AL77" i="5"/>
  <c r="AM77" i="5"/>
  <c r="AN77" i="5"/>
  <c r="AO77" i="5"/>
  <c r="AP77" i="5"/>
  <c r="AQ77" i="5"/>
  <c r="AR77" i="5"/>
  <c r="AS77" i="5"/>
  <c r="I78" i="5"/>
  <c r="K78" i="5" s="1"/>
  <c r="L78" i="5"/>
  <c r="N78" i="5"/>
  <c r="Z78" i="5"/>
  <c r="AA78" i="5"/>
  <c r="AB78" i="5"/>
  <c r="AC78" i="5"/>
  <c r="AD78" i="5"/>
  <c r="AE78" i="5"/>
  <c r="AF78" i="5"/>
  <c r="AG78" i="5"/>
  <c r="AH78" i="5"/>
  <c r="AI78" i="5"/>
  <c r="AJ78" i="5"/>
  <c r="AK78" i="5"/>
  <c r="AL78" i="5"/>
  <c r="AM78" i="5"/>
  <c r="AN78" i="5"/>
  <c r="AO78" i="5"/>
  <c r="AP78" i="5"/>
  <c r="AQ78" i="5"/>
  <c r="AR78" i="5"/>
  <c r="AS78" i="5"/>
  <c r="I79" i="5"/>
  <c r="K79" i="5" s="1"/>
  <c r="L79" i="5"/>
  <c r="N79" i="5"/>
  <c r="Z79" i="5"/>
  <c r="AA79" i="5"/>
  <c r="AB79" i="5"/>
  <c r="AC79" i="5"/>
  <c r="AD79" i="5"/>
  <c r="AE79" i="5"/>
  <c r="AF79" i="5"/>
  <c r="AG79" i="5"/>
  <c r="AH79" i="5"/>
  <c r="AI79" i="5"/>
  <c r="AJ79" i="5"/>
  <c r="AK79" i="5"/>
  <c r="AL79" i="5"/>
  <c r="AM79" i="5"/>
  <c r="AN79" i="5"/>
  <c r="AO79" i="5"/>
  <c r="AP79" i="5"/>
  <c r="AQ79" i="5"/>
  <c r="AR79" i="5"/>
  <c r="AS79" i="5"/>
  <c r="I80" i="5"/>
  <c r="K80" i="5" s="1"/>
  <c r="L80" i="5"/>
  <c r="N80" i="5"/>
  <c r="Z80" i="5"/>
  <c r="AA80" i="5"/>
  <c r="AB80" i="5"/>
  <c r="AC80" i="5"/>
  <c r="AD80" i="5"/>
  <c r="AE80" i="5"/>
  <c r="AF80" i="5"/>
  <c r="AG80" i="5"/>
  <c r="AH80" i="5"/>
  <c r="AI80" i="5"/>
  <c r="AJ80" i="5"/>
  <c r="AK80" i="5"/>
  <c r="AL80" i="5"/>
  <c r="AM80" i="5"/>
  <c r="AN80" i="5"/>
  <c r="AO80" i="5"/>
  <c r="AP80" i="5"/>
  <c r="AQ80" i="5"/>
  <c r="AR80" i="5"/>
  <c r="AS80" i="5"/>
  <c r="I81" i="5"/>
  <c r="K81" i="5" s="1"/>
  <c r="L81" i="5"/>
  <c r="N81" i="5"/>
  <c r="Z81" i="5"/>
  <c r="AA81" i="5"/>
  <c r="AB81" i="5"/>
  <c r="AC81" i="5"/>
  <c r="AD81" i="5"/>
  <c r="AE81" i="5"/>
  <c r="AF81" i="5"/>
  <c r="AG81" i="5"/>
  <c r="AH81" i="5"/>
  <c r="AI81" i="5"/>
  <c r="AJ81" i="5"/>
  <c r="AK81" i="5"/>
  <c r="AL81" i="5"/>
  <c r="AM81" i="5"/>
  <c r="AN81" i="5"/>
  <c r="AO81" i="5"/>
  <c r="AP81" i="5"/>
  <c r="AQ81" i="5"/>
  <c r="AR81" i="5"/>
  <c r="AS81" i="5"/>
  <c r="I82" i="5"/>
  <c r="K82" i="5" s="1"/>
  <c r="L82" i="5"/>
  <c r="N82" i="5"/>
  <c r="Z82" i="5"/>
  <c r="AA82" i="5"/>
  <c r="AB82" i="5"/>
  <c r="AC82" i="5"/>
  <c r="AD82" i="5"/>
  <c r="AE82" i="5"/>
  <c r="AF82" i="5"/>
  <c r="AG82" i="5"/>
  <c r="AH82" i="5"/>
  <c r="AI82" i="5"/>
  <c r="AJ82" i="5"/>
  <c r="AK82" i="5"/>
  <c r="AL82" i="5"/>
  <c r="AM82" i="5"/>
  <c r="AN82" i="5"/>
  <c r="AO82" i="5"/>
  <c r="AP82" i="5"/>
  <c r="AQ82" i="5"/>
  <c r="AR82" i="5"/>
  <c r="AS82" i="5"/>
  <c r="I83" i="5"/>
  <c r="K83" i="5" s="1"/>
  <c r="L83" i="5"/>
  <c r="N83" i="5"/>
  <c r="Z83" i="5"/>
  <c r="AA83" i="5"/>
  <c r="AB83" i="5"/>
  <c r="AC83" i="5"/>
  <c r="AD83" i="5"/>
  <c r="AE83" i="5"/>
  <c r="AF83" i="5"/>
  <c r="AG83" i="5"/>
  <c r="AH83" i="5"/>
  <c r="AI83" i="5"/>
  <c r="AJ83" i="5"/>
  <c r="AK83" i="5"/>
  <c r="AL83" i="5"/>
  <c r="AM83" i="5"/>
  <c r="AN83" i="5"/>
  <c r="AO83" i="5"/>
  <c r="AP83" i="5"/>
  <c r="AQ83" i="5"/>
  <c r="AR83" i="5"/>
  <c r="AS83" i="5"/>
  <c r="I84" i="5"/>
  <c r="K84" i="5" s="1"/>
  <c r="L84" i="5"/>
  <c r="N84" i="5"/>
  <c r="Z84" i="5"/>
  <c r="AA84" i="5"/>
  <c r="AB84" i="5"/>
  <c r="AC84" i="5"/>
  <c r="AD84" i="5"/>
  <c r="AE84" i="5"/>
  <c r="AF84" i="5"/>
  <c r="AG84" i="5"/>
  <c r="AH84" i="5"/>
  <c r="AI84" i="5"/>
  <c r="AJ84" i="5"/>
  <c r="AK84" i="5"/>
  <c r="AL84" i="5"/>
  <c r="AM84" i="5"/>
  <c r="AN84" i="5"/>
  <c r="AO84" i="5"/>
  <c r="AP84" i="5"/>
  <c r="AQ84" i="5"/>
  <c r="AR84" i="5"/>
  <c r="AS84" i="5"/>
  <c r="I85" i="5"/>
  <c r="K85" i="5" s="1"/>
  <c r="L85" i="5"/>
  <c r="N85" i="5"/>
  <c r="Z85" i="5"/>
  <c r="AA85" i="5"/>
  <c r="AB85" i="5"/>
  <c r="AC85" i="5"/>
  <c r="AD85" i="5"/>
  <c r="AE85" i="5"/>
  <c r="AF85" i="5"/>
  <c r="AG85" i="5"/>
  <c r="AH85" i="5"/>
  <c r="AI85" i="5"/>
  <c r="AJ85" i="5"/>
  <c r="AK85" i="5"/>
  <c r="AL85" i="5"/>
  <c r="AM85" i="5"/>
  <c r="AN85" i="5"/>
  <c r="AO85" i="5"/>
  <c r="AP85" i="5"/>
  <c r="AQ85" i="5"/>
  <c r="AR85" i="5"/>
  <c r="AS85" i="5"/>
  <c r="I86" i="5"/>
  <c r="K86" i="5" s="1"/>
  <c r="L86" i="5"/>
  <c r="N86" i="5"/>
  <c r="Z86" i="5"/>
  <c r="AA86" i="5"/>
  <c r="AB86" i="5"/>
  <c r="AC86" i="5"/>
  <c r="AD86" i="5"/>
  <c r="AE86" i="5"/>
  <c r="AF86" i="5"/>
  <c r="AG86" i="5"/>
  <c r="AH86" i="5"/>
  <c r="AI86" i="5"/>
  <c r="AJ86" i="5"/>
  <c r="AK86" i="5"/>
  <c r="AL86" i="5"/>
  <c r="AM86" i="5"/>
  <c r="AN86" i="5"/>
  <c r="AO86" i="5"/>
  <c r="AP86" i="5"/>
  <c r="AQ86" i="5"/>
  <c r="AR86" i="5"/>
  <c r="AS86" i="5"/>
  <c r="I87" i="5"/>
  <c r="K87" i="5" s="1"/>
  <c r="L87" i="5"/>
  <c r="N87" i="5"/>
  <c r="Z87" i="5"/>
  <c r="AA87" i="5"/>
  <c r="AB87" i="5"/>
  <c r="AC87" i="5"/>
  <c r="AD87" i="5"/>
  <c r="AE87" i="5"/>
  <c r="AF87" i="5"/>
  <c r="AG87" i="5"/>
  <c r="AH87" i="5"/>
  <c r="AI87" i="5"/>
  <c r="AJ87" i="5"/>
  <c r="AK87" i="5"/>
  <c r="AL87" i="5"/>
  <c r="AM87" i="5"/>
  <c r="AN87" i="5"/>
  <c r="AO87" i="5"/>
  <c r="AP87" i="5"/>
  <c r="AQ87" i="5"/>
  <c r="AR87" i="5"/>
  <c r="AS87" i="5"/>
  <c r="I88" i="5"/>
  <c r="K88" i="5" s="1"/>
  <c r="L88" i="5"/>
  <c r="N88" i="5"/>
  <c r="Z88" i="5"/>
  <c r="AA88" i="5"/>
  <c r="AB88" i="5"/>
  <c r="AC88" i="5"/>
  <c r="AD88" i="5"/>
  <c r="AE88" i="5"/>
  <c r="AF88" i="5"/>
  <c r="AG88" i="5"/>
  <c r="AH88" i="5"/>
  <c r="AI88" i="5"/>
  <c r="AJ88" i="5"/>
  <c r="AK88" i="5"/>
  <c r="AL88" i="5"/>
  <c r="AM88" i="5"/>
  <c r="AN88" i="5"/>
  <c r="AO88" i="5"/>
  <c r="AP88" i="5"/>
  <c r="AQ88" i="5"/>
  <c r="AR88" i="5"/>
  <c r="AS88" i="5"/>
  <c r="I89" i="5"/>
  <c r="K89" i="5" s="1"/>
  <c r="L89" i="5"/>
  <c r="N89" i="5"/>
  <c r="Z89" i="5"/>
  <c r="AA89" i="5"/>
  <c r="AB89" i="5"/>
  <c r="AC89" i="5"/>
  <c r="AD89" i="5"/>
  <c r="AE89" i="5"/>
  <c r="AF89" i="5"/>
  <c r="AG89" i="5"/>
  <c r="AH89" i="5"/>
  <c r="AI89" i="5"/>
  <c r="AJ89" i="5"/>
  <c r="AK89" i="5"/>
  <c r="AL89" i="5"/>
  <c r="AM89" i="5"/>
  <c r="AN89" i="5"/>
  <c r="AO89" i="5"/>
  <c r="AP89" i="5"/>
  <c r="AQ89" i="5"/>
  <c r="AR89" i="5"/>
  <c r="AS89" i="5"/>
  <c r="I90" i="5"/>
  <c r="K90" i="5" s="1"/>
  <c r="L90" i="5"/>
  <c r="N90" i="5"/>
  <c r="Z90" i="5"/>
  <c r="AA90" i="5"/>
  <c r="AB90" i="5"/>
  <c r="AC90" i="5"/>
  <c r="AD90" i="5"/>
  <c r="AE90" i="5"/>
  <c r="AF90" i="5"/>
  <c r="AG90" i="5"/>
  <c r="AH90" i="5"/>
  <c r="AI90" i="5"/>
  <c r="AJ90" i="5"/>
  <c r="AK90" i="5"/>
  <c r="AL90" i="5"/>
  <c r="AM90" i="5"/>
  <c r="AN90" i="5"/>
  <c r="AO90" i="5"/>
  <c r="AP90" i="5"/>
  <c r="AQ90" i="5"/>
  <c r="AR90" i="5"/>
  <c r="AS90" i="5"/>
  <c r="I91" i="5"/>
  <c r="K91" i="5" s="1"/>
  <c r="L91" i="5"/>
  <c r="N91" i="5"/>
  <c r="Z91" i="5"/>
  <c r="AA91" i="5"/>
  <c r="AB91" i="5"/>
  <c r="AC91" i="5"/>
  <c r="AD91" i="5"/>
  <c r="AE91" i="5"/>
  <c r="AF91" i="5"/>
  <c r="AG91" i="5"/>
  <c r="AH91" i="5"/>
  <c r="AI91" i="5"/>
  <c r="AJ91" i="5"/>
  <c r="AK91" i="5"/>
  <c r="AL91" i="5"/>
  <c r="AM91" i="5"/>
  <c r="AN91" i="5"/>
  <c r="AO91" i="5"/>
  <c r="AP91" i="5"/>
  <c r="AQ91" i="5"/>
  <c r="AR91" i="5"/>
  <c r="AS91" i="5"/>
  <c r="I92" i="5"/>
  <c r="K92" i="5" s="1"/>
  <c r="L92" i="5"/>
  <c r="N92" i="5"/>
  <c r="Z92" i="5"/>
  <c r="AA92" i="5"/>
  <c r="AB92" i="5"/>
  <c r="AC92" i="5"/>
  <c r="AD92" i="5"/>
  <c r="AE92" i="5"/>
  <c r="AF92" i="5"/>
  <c r="AG92" i="5"/>
  <c r="AH92" i="5"/>
  <c r="AI92" i="5"/>
  <c r="AJ92" i="5"/>
  <c r="AK92" i="5"/>
  <c r="AL92" i="5"/>
  <c r="AM92" i="5"/>
  <c r="AN92" i="5"/>
  <c r="AO92" i="5"/>
  <c r="AP92" i="5"/>
  <c r="AQ92" i="5"/>
  <c r="AR92" i="5"/>
  <c r="AS92" i="5"/>
  <c r="I93" i="5"/>
  <c r="K93" i="5" s="1"/>
  <c r="L93" i="5"/>
  <c r="N93" i="5"/>
  <c r="Z93" i="5"/>
  <c r="AA93" i="5"/>
  <c r="AB93" i="5"/>
  <c r="AC93" i="5"/>
  <c r="AD93" i="5"/>
  <c r="AE93" i="5"/>
  <c r="AF93" i="5"/>
  <c r="AG93" i="5"/>
  <c r="AH93" i="5"/>
  <c r="AI93" i="5"/>
  <c r="AJ93" i="5"/>
  <c r="AK93" i="5"/>
  <c r="AL93" i="5"/>
  <c r="AM93" i="5"/>
  <c r="AN93" i="5"/>
  <c r="AO93" i="5"/>
  <c r="AP93" i="5"/>
  <c r="AQ93" i="5"/>
  <c r="AR93" i="5"/>
  <c r="AS93" i="5"/>
  <c r="I94" i="5"/>
  <c r="K94" i="5" s="1"/>
  <c r="L94" i="5"/>
  <c r="N94" i="5"/>
  <c r="Z94" i="5"/>
  <c r="AA94" i="5"/>
  <c r="AB94" i="5"/>
  <c r="AC94" i="5"/>
  <c r="AD94" i="5"/>
  <c r="AE94" i="5"/>
  <c r="AF94" i="5"/>
  <c r="AG94" i="5"/>
  <c r="AH94" i="5"/>
  <c r="AI94" i="5"/>
  <c r="AJ94" i="5"/>
  <c r="AK94" i="5"/>
  <c r="AL94" i="5"/>
  <c r="AM94" i="5"/>
  <c r="AN94" i="5"/>
  <c r="AO94" i="5"/>
  <c r="AP94" i="5"/>
  <c r="AQ94" i="5"/>
  <c r="AR94" i="5"/>
  <c r="AS94" i="5"/>
  <c r="I95" i="5"/>
  <c r="K95" i="5" s="1"/>
  <c r="L95" i="5"/>
  <c r="N95" i="5"/>
  <c r="Z95" i="5"/>
  <c r="AA95" i="5"/>
  <c r="AB95" i="5"/>
  <c r="AC95" i="5"/>
  <c r="AD95" i="5"/>
  <c r="AE95" i="5"/>
  <c r="AF95" i="5"/>
  <c r="AG95" i="5"/>
  <c r="AH95" i="5"/>
  <c r="AI95" i="5"/>
  <c r="AJ95" i="5"/>
  <c r="AK95" i="5"/>
  <c r="AL95" i="5"/>
  <c r="AM95" i="5"/>
  <c r="AN95" i="5"/>
  <c r="AO95" i="5"/>
  <c r="AP95" i="5"/>
  <c r="AQ95" i="5"/>
  <c r="AR95" i="5"/>
  <c r="AS95" i="5"/>
  <c r="I96" i="5"/>
  <c r="K96" i="5" s="1"/>
  <c r="L96" i="5"/>
  <c r="N96" i="5"/>
  <c r="Z96" i="5"/>
  <c r="AA96" i="5"/>
  <c r="AB96" i="5"/>
  <c r="AC96" i="5"/>
  <c r="AD96" i="5"/>
  <c r="AE96" i="5"/>
  <c r="AF96" i="5"/>
  <c r="AG96" i="5"/>
  <c r="AH96" i="5"/>
  <c r="AI96" i="5"/>
  <c r="AJ96" i="5"/>
  <c r="AK96" i="5"/>
  <c r="AL96" i="5"/>
  <c r="AM96" i="5"/>
  <c r="AN96" i="5"/>
  <c r="AO96" i="5"/>
  <c r="AP96" i="5"/>
  <c r="AQ96" i="5"/>
  <c r="AR96" i="5"/>
  <c r="AS96" i="5"/>
  <c r="I97" i="5"/>
  <c r="K97" i="5" s="1"/>
  <c r="L97" i="5"/>
  <c r="N97" i="5"/>
  <c r="Z97" i="5"/>
  <c r="AA97" i="5"/>
  <c r="AB97" i="5"/>
  <c r="AC97" i="5"/>
  <c r="AD97" i="5"/>
  <c r="AE97" i="5"/>
  <c r="AF97" i="5"/>
  <c r="AG97" i="5"/>
  <c r="AH97" i="5"/>
  <c r="AI97" i="5"/>
  <c r="AJ97" i="5"/>
  <c r="AK97" i="5"/>
  <c r="AL97" i="5"/>
  <c r="AM97" i="5"/>
  <c r="AN97" i="5"/>
  <c r="AO97" i="5"/>
  <c r="AP97" i="5"/>
  <c r="AQ97" i="5"/>
  <c r="AR97" i="5"/>
  <c r="AS97" i="5"/>
  <c r="I98" i="5"/>
  <c r="K98" i="5" s="1"/>
  <c r="L98" i="5"/>
  <c r="N98" i="5"/>
  <c r="Z98" i="5"/>
  <c r="AA98" i="5"/>
  <c r="AB98" i="5"/>
  <c r="AC98" i="5"/>
  <c r="AD98" i="5"/>
  <c r="AE98" i="5"/>
  <c r="AF98" i="5"/>
  <c r="AG98" i="5"/>
  <c r="AH98" i="5"/>
  <c r="AI98" i="5"/>
  <c r="AJ98" i="5"/>
  <c r="AK98" i="5"/>
  <c r="AL98" i="5"/>
  <c r="AM98" i="5"/>
  <c r="AN98" i="5"/>
  <c r="AO98" i="5"/>
  <c r="AP98" i="5"/>
  <c r="AQ98" i="5"/>
  <c r="AR98" i="5"/>
  <c r="AS98" i="5"/>
  <c r="I99" i="5"/>
  <c r="K99" i="5" s="1"/>
  <c r="L99" i="5"/>
  <c r="N99" i="5"/>
  <c r="Z99" i="5"/>
  <c r="AA99" i="5"/>
  <c r="AB99" i="5"/>
  <c r="AC99" i="5"/>
  <c r="AD99" i="5"/>
  <c r="AE99" i="5"/>
  <c r="AF99" i="5"/>
  <c r="AG99" i="5"/>
  <c r="AH99" i="5"/>
  <c r="AI99" i="5"/>
  <c r="AJ99" i="5"/>
  <c r="AK99" i="5"/>
  <c r="AL99" i="5"/>
  <c r="AM99" i="5"/>
  <c r="AN99" i="5"/>
  <c r="AO99" i="5"/>
  <c r="AP99" i="5"/>
  <c r="AQ99" i="5"/>
  <c r="AR99" i="5"/>
  <c r="AS99" i="5"/>
  <c r="I100" i="5"/>
  <c r="K100" i="5" s="1"/>
  <c r="L100" i="5"/>
  <c r="N100" i="5"/>
  <c r="Z100" i="5"/>
  <c r="AA100" i="5"/>
  <c r="AB100" i="5"/>
  <c r="AC100" i="5"/>
  <c r="AD100" i="5"/>
  <c r="AE100" i="5"/>
  <c r="AF100" i="5"/>
  <c r="AG100" i="5"/>
  <c r="AH100" i="5"/>
  <c r="AI100" i="5"/>
  <c r="AJ100" i="5"/>
  <c r="AK100" i="5"/>
  <c r="AL100" i="5"/>
  <c r="AM100" i="5"/>
  <c r="AN100" i="5"/>
  <c r="AO100" i="5"/>
  <c r="AP100" i="5"/>
  <c r="AQ100" i="5"/>
  <c r="AR100" i="5"/>
  <c r="AS100" i="5"/>
  <c r="I101" i="5"/>
  <c r="K101" i="5" s="1"/>
  <c r="L101" i="5"/>
  <c r="N101" i="5"/>
  <c r="Z101" i="5"/>
  <c r="AA101" i="5"/>
  <c r="AB101" i="5"/>
  <c r="AC101" i="5"/>
  <c r="AD101" i="5"/>
  <c r="AE101" i="5"/>
  <c r="AF101" i="5"/>
  <c r="AG101" i="5"/>
  <c r="AH101" i="5"/>
  <c r="AI101" i="5"/>
  <c r="AJ101" i="5"/>
  <c r="AK101" i="5"/>
  <c r="AL101" i="5"/>
  <c r="AM101" i="5"/>
  <c r="AN101" i="5"/>
  <c r="AO101" i="5"/>
  <c r="AP101" i="5"/>
  <c r="AQ101" i="5"/>
  <c r="AR101" i="5"/>
  <c r="AS101" i="5"/>
  <c r="I102" i="5"/>
  <c r="K102" i="5" s="1"/>
  <c r="L102" i="5"/>
  <c r="N102" i="5"/>
  <c r="Z102" i="5"/>
  <c r="AA102" i="5"/>
  <c r="AB102" i="5"/>
  <c r="AC102" i="5"/>
  <c r="AD102" i="5"/>
  <c r="AE102" i="5"/>
  <c r="AF102" i="5"/>
  <c r="AG102" i="5"/>
  <c r="AH102" i="5"/>
  <c r="AI102" i="5"/>
  <c r="AJ102" i="5"/>
  <c r="AK102" i="5"/>
  <c r="AL102" i="5"/>
  <c r="AM102" i="5"/>
  <c r="AN102" i="5"/>
  <c r="AO102" i="5"/>
  <c r="AP102" i="5"/>
  <c r="AQ102" i="5"/>
  <c r="AR102" i="5"/>
  <c r="AS102" i="5"/>
  <c r="I103" i="5"/>
  <c r="K103" i="5" s="1"/>
  <c r="L103" i="5"/>
  <c r="N103" i="5"/>
  <c r="Z103" i="5"/>
  <c r="AA103" i="5"/>
  <c r="AB103" i="5"/>
  <c r="AC103" i="5"/>
  <c r="AD103" i="5"/>
  <c r="AE103" i="5"/>
  <c r="AF103" i="5"/>
  <c r="AG103" i="5"/>
  <c r="AH103" i="5"/>
  <c r="AI103" i="5"/>
  <c r="AJ103" i="5"/>
  <c r="AK103" i="5"/>
  <c r="AL103" i="5"/>
  <c r="AM103" i="5"/>
  <c r="AN103" i="5"/>
  <c r="AO103" i="5"/>
  <c r="AP103" i="5"/>
  <c r="AQ103" i="5"/>
  <c r="AR103" i="5"/>
  <c r="AS103" i="5"/>
  <c r="I104" i="5"/>
  <c r="K104" i="5" s="1"/>
  <c r="L104" i="5"/>
  <c r="N104" i="5"/>
  <c r="Z104" i="5"/>
  <c r="AA104" i="5"/>
  <c r="AB104" i="5"/>
  <c r="AC104" i="5"/>
  <c r="AD104" i="5"/>
  <c r="AE104" i="5"/>
  <c r="AF104" i="5"/>
  <c r="AG104" i="5"/>
  <c r="AH104" i="5"/>
  <c r="AI104" i="5"/>
  <c r="AJ104" i="5"/>
  <c r="AK104" i="5"/>
  <c r="AL104" i="5"/>
  <c r="AM104" i="5"/>
  <c r="AN104" i="5"/>
  <c r="AO104" i="5"/>
  <c r="AP104" i="5"/>
  <c r="AQ104" i="5"/>
  <c r="AR104" i="5"/>
  <c r="AS104" i="5"/>
  <c r="I105" i="5"/>
  <c r="K105" i="5" s="1"/>
  <c r="L105" i="5"/>
  <c r="N105" i="5"/>
  <c r="Z105" i="5"/>
  <c r="AA105" i="5"/>
  <c r="AB105" i="5"/>
  <c r="AC105" i="5"/>
  <c r="AD105" i="5"/>
  <c r="AE105" i="5"/>
  <c r="AF105" i="5"/>
  <c r="AG105" i="5"/>
  <c r="AH105" i="5"/>
  <c r="AI105" i="5"/>
  <c r="AJ105" i="5"/>
  <c r="AK105" i="5"/>
  <c r="AL105" i="5"/>
  <c r="AM105" i="5"/>
  <c r="AN105" i="5"/>
  <c r="AO105" i="5"/>
  <c r="AP105" i="5"/>
  <c r="AQ105" i="5"/>
  <c r="AR105" i="5"/>
  <c r="AS105" i="5"/>
  <c r="I106" i="5"/>
  <c r="K106" i="5" s="1"/>
  <c r="L106" i="5"/>
  <c r="N106" i="5"/>
  <c r="Z106" i="5"/>
  <c r="AA106" i="5"/>
  <c r="AB106" i="5"/>
  <c r="AC106" i="5"/>
  <c r="AD106" i="5"/>
  <c r="AE106" i="5"/>
  <c r="AF106" i="5"/>
  <c r="AG106" i="5"/>
  <c r="AH106" i="5"/>
  <c r="AI106" i="5"/>
  <c r="AJ106" i="5"/>
  <c r="AK106" i="5"/>
  <c r="AL106" i="5"/>
  <c r="AM106" i="5"/>
  <c r="AN106" i="5"/>
  <c r="AO106" i="5"/>
  <c r="AP106" i="5"/>
  <c r="AQ106" i="5"/>
  <c r="AR106" i="5"/>
  <c r="AS106" i="5"/>
  <c r="I107" i="5"/>
  <c r="K107" i="5" s="1"/>
  <c r="L107" i="5"/>
  <c r="N107" i="5"/>
  <c r="Z107" i="5"/>
  <c r="AA107" i="5"/>
  <c r="AB107" i="5"/>
  <c r="AC107" i="5"/>
  <c r="AD107" i="5"/>
  <c r="AE107" i="5"/>
  <c r="AF107" i="5"/>
  <c r="AG107" i="5"/>
  <c r="AH107" i="5"/>
  <c r="AI107" i="5"/>
  <c r="AJ107" i="5"/>
  <c r="AK107" i="5"/>
  <c r="AL107" i="5"/>
  <c r="AM107" i="5"/>
  <c r="AN107" i="5"/>
  <c r="AO107" i="5"/>
  <c r="AP107" i="5"/>
  <c r="AQ107" i="5"/>
  <c r="AR107" i="5"/>
  <c r="AS107" i="5"/>
  <c r="I108" i="5"/>
  <c r="K108" i="5" s="1"/>
  <c r="L108" i="5"/>
  <c r="N108" i="5"/>
  <c r="Z108" i="5"/>
  <c r="AA108" i="5"/>
  <c r="AB108" i="5"/>
  <c r="AC108" i="5"/>
  <c r="AD108" i="5"/>
  <c r="AE108" i="5"/>
  <c r="AF108" i="5"/>
  <c r="AG108" i="5"/>
  <c r="AH108" i="5"/>
  <c r="AI108" i="5"/>
  <c r="AJ108" i="5"/>
  <c r="AK108" i="5"/>
  <c r="AL108" i="5"/>
  <c r="AM108" i="5"/>
  <c r="AN108" i="5"/>
  <c r="AO108" i="5"/>
  <c r="AP108" i="5"/>
  <c r="AQ108" i="5"/>
  <c r="AR108" i="5"/>
  <c r="AS108" i="5"/>
  <c r="I109" i="5"/>
  <c r="K109" i="5" s="1"/>
  <c r="L109" i="5"/>
  <c r="N109" i="5"/>
  <c r="Z109" i="5"/>
  <c r="AA109" i="5"/>
  <c r="AB109" i="5"/>
  <c r="AC109" i="5"/>
  <c r="AD109" i="5"/>
  <c r="AE109" i="5"/>
  <c r="AF109" i="5"/>
  <c r="AG109" i="5"/>
  <c r="AH109" i="5"/>
  <c r="AI109" i="5"/>
  <c r="AJ109" i="5"/>
  <c r="AK109" i="5"/>
  <c r="AL109" i="5"/>
  <c r="AM109" i="5"/>
  <c r="AN109" i="5"/>
  <c r="AO109" i="5"/>
  <c r="AP109" i="5"/>
  <c r="AQ109" i="5"/>
  <c r="AR109" i="5"/>
  <c r="AS109" i="5"/>
  <c r="I110" i="5"/>
  <c r="K110" i="5" s="1"/>
  <c r="L110" i="5"/>
  <c r="N110" i="5"/>
  <c r="Z110" i="5"/>
  <c r="AA110" i="5"/>
  <c r="AB110" i="5"/>
  <c r="AC110" i="5"/>
  <c r="AD110" i="5"/>
  <c r="AE110" i="5"/>
  <c r="AF110" i="5"/>
  <c r="AG110" i="5"/>
  <c r="AH110" i="5"/>
  <c r="AI110" i="5"/>
  <c r="AJ110" i="5"/>
  <c r="AK110" i="5"/>
  <c r="AL110" i="5"/>
  <c r="AM110" i="5"/>
  <c r="AN110" i="5"/>
  <c r="AO110" i="5"/>
  <c r="AP110" i="5"/>
  <c r="AQ110" i="5"/>
  <c r="AR110" i="5"/>
  <c r="AS110" i="5"/>
  <c r="I111" i="5"/>
  <c r="K111" i="5" s="1"/>
  <c r="L111" i="5"/>
  <c r="N111" i="5"/>
  <c r="Z111" i="5"/>
  <c r="AA111" i="5"/>
  <c r="AB111" i="5"/>
  <c r="AC111" i="5"/>
  <c r="AD111" i="5"/>
  <c r="AE111" i="5"/>
  <c r="AF111" i="5"/>
  <c r="AG111" i="5"/>
  <c r="AH111" i="5"/>
  <c r="AI111" i="5"/>
  <c r="AJ111" i="5"/>
  <c r="AK111" i="5"/>
  <c r="AL111" i="5"/>
  <c r="AM111" i="5"/>
  <c r="AN111" i="5"/>
  <c r="AO111" i="5"/>
  <c r="AP111" i="5"/>
  <c r="AQ111" i="5"/>
  <c r="AR111" i="5"/>
  <c r="AS111" i="5"/>
  <c r="I112" i="5"/>
  <c r="K112" i="5" s="1"/>
  <c r="L112" i="5"/>
  <c r="N112" i="5"/>
  <c r="Z112" i="5"/>
  <c r="AA112" i="5"/>
  <c r="AB112" i="5"/>
  <c r="AC112" i="5"/>
  <c r="AD112" i="5"/>
  <c r="AE112" i="5"/>
  <c r="AF112" i="5"/>
  <c r="AG112" i="5"/>
  <c r="AH112" i="5"/>
  <c r="AI112" i="5"/>
  <c r="AJ112" i="5"/>
  <c r="AK112" i="5"/>
  <c r="AL112" i="5"/>
  <c r="AM112" i="5"/>
  <c r="AN112" i="5"/>
  <c r="AO112" i="5"/>
  <c r="AP112" i="5"/>
  <c r="AQ112" i="5"/>
  <c r="AR112" i="5"/>
  <c r="AS112" i="5"/>
  <c r="I113" i="5"/>
  <c r="K113" i="5" s="1"/>
  <c r="L113" i="5"/>
  <c r="N113" i="5"/>
  <c r="Z113" i="5"/>
  <c r="AA113" i="5"/>
  <c r="AB113" i="5"/>
  <c r="AC113" i="5"/>
  <c r="AD113" i="5"/>
  <c r="AE113" i="5"/>
  <c r="AF113" i="5"/>
  <c r="AG113" i="5"/>
  <c r="AH113" i="5"/>
  <c r="AI113" i="5"/>
  <c r="AJ113" i="5"/>
  <c r="AK113" i="5"/>
  <c r="AL113" i="5"/>
  <c r="AM113" i="5"/>
  <c r="AN113" i="5"/>
  <c r="AO113" i="5"/>
  <c r="AP113" i="5"/>
  <c r="AQ113" i="5"/>
  <c r="AR113" i="5"/>
  <c r="AS113" i="5"/>
  <c r="I114" i="5"/>
  <c r="K114" i="5" s="1"/>
  <c r="L114" i="5"/>
  <c r="N114" i="5"/>
  <c r="Z114" i="5"/>
  <c r="AA114" i="5"/>
  <c r="AB114" i="5"/>
  <c r="AC114" i="5"/>
  <c r="AD114" i="5"/>
  <c r="AE114" i="5"/>
  <c r="AF114" i="5"/>
  <c r="AG114" i="5"/>
  <c r="AH114" i="5"/>
  <c r="AI114" i="5"/>
  <c r="AJ114" i="5"/>
  <c r="AK114" i="5"/>
  <c r="AL114" i="5"/>
  <c r="AM114" i="5"/>
  <c r="AN114" i="5"/>
  <c r="AO114" i="5"/>
  <c r="AP114" i="5"/>
  <c r="AQ114" i="5"/>
  <c r="AR114" i="5"/>
  <c r="AS114" i="5"/>
  <c r="I115" i="5"/>
  <c r="K115" i="5" s="1"/>
  <c r="L115" i="5"/>
  <c r="N115" i="5"/>
  <c r="Z115" i="5"/>
  <c r="AA115" i="5"/>
  <c r="AB115" i="5"/>
  <c r="AC115" i="5"/>
  <c r="AD115" i="5"/>
  <c r="AE115" i="5"/>
  <c r="AF115" i="5"/>
  <c r="AG115" i="5"/>
  <c r="AH115" i="5"/>
  <c r="AI115" i="5"/>
  <c r="AJ115" i="5"/>
  <c r="AK115" i="5"/>
  <c r="AL115" i="5"/>
  <c r="AM115" i="5"/>
  <c r="AN115" i="5"/>
  <c r="AO115" i="5"/>
  <c r="AP115" i="5"/>
  <c r="AQ115" i="5"/>
  <c r="AR115" i="5"/>
  <c r="AS115" i="5"/>
  <c r="I116" i="5"/>
  <c r="K116" i="5" s="1"/>
  <c r="L116" i="5"/>
  <c r="N116" i="5"/>
  <c r="Z116" i="5"/>
  <c r="AA116" i="5"/>
  <c r="AB116" i="5"/>
  <c r="AC116" i="5"/>
  <c r="AD116" i="5"/>
  <c r="AE116" i="5"/>
  <c r="AF116" i="5"/>
  <c r="AG116" i="5"/>
  <c r="AH116" i="5"/>
  <c r="AI116" i="5"/>
  <c r="AJ116" i="5"/>
  <c r="AK116" i="5"/>
  <c r="AL116" i="5"/>
  <c r="AM116" i="5"/>
  <c r="AN116" i="5"/>
  <c r="AO116" i="5"/>
  <c r="AP116" i="5"/>
  <c r="AQ116" i="5"/>
  <c r="AR116" i="5"/>
  <c r="AS116" i="5"/>
  <c r="I117" i="5"/>
  <c r="K117" i="5" s="1"/>
  <c r="L117" i="5"/>
  <c r="N117" i="5"/>
  <c r="Z117" i="5"/>
  <c r="AA117" i="5"/>
  <c r="AB117" i="5"/>
  <c r="AC117" i="5"/>
  <c r="AD117" i="5"/>
  <c r="AE117" i="5"/>
  <c r="AF117" i="5"/>
  <c r="AG117" i="5"/>
  <c r="AH117" i="5"/>
  <c r="AI117" i="5"/>
  <c r="AJ117" i="5"/>
  <c r="AK117" i="5"/>
  <c r="AL117" i="5"/>
  <c r="AM117" i="5"/>
  <c r="AN117" i="5"/>
  <c r="AO117" i="5"/>
  <c r="AP117" i="5"/>
  <c r="AQ117" i="5"/>
  <c r="AR117" i="5"/>
  <c r="AS117" i="5"/>
  <c r="I118" i="5"/>
  <c r="K118" i="5" s="1"/>
  <c r="L118" i="5"/>
  <c r="N118" i="5"/>
  <c r="Z118" i="5"/>
  <c r="AA118" i="5"/>
  <c r="AB118" i="5"/>
  <c r="AC118" i="5"/>
  <c r="AD118" i="5"/>
  <c r="AE118" i="5"/>
  <c r="AF118" i="5"/>
  <c r="AG118" i="5"/>
  <c r="AH118" i="5"/>
  <c r="AI118" i="5"/>
  <c r="AJ118" i="5"/>
  <c r="AK118" i="5"/>
  <c r="AL118" i="5"/>
  <c r="AM118" i="5"/>
  <c r="AN118" i="5"/>
  <c r="AO118" i="5"/>
  <c r="AP118" i="5"/>
  <c r="AQ118" i="5"/>
  <c r="AR118" i="5"/>
  <c r="AS118" i="5"/>
  <c r="I119" i="5"/>
  <c r="K119" i="5" s="1"/>
  <c r="L119" i="5"/>
  <c r="N119" i="5"/>
  <c r="Z119" i="5"/>
  <c r="AA119" i="5"/>
  <c r="AB119" i="5"/>
  <c r="AC119" i="5"/>
  <c r="AD119" i="5"/>
  <c r="AE119" i="5"/>
  <c r="AF119" i="5"/>
  <c r="AG119" i="5"/>
  <c r="AH119" i="5"/>
  <c r="AI119" i="5"/>
  <c r="AJ119" i="5"/>
  <c r="AK119" i="5"/>
  <c r="AL119" i="5"/>
  <c r="AM119" i="5"/>
  <c r="AN119" i="5"/>
  <c r="AO119" i="5"/>
  <c r="AP119" i="5"/>
  <c r="AQ119" i="5"/>
  <c r="AR119" i="5"/>
  <c r="AS119" i="5"/>
  <c r="I120" i="5"/>
  <c r="K120" i="5" s="1"/>
  <c r="L120" i="5"/>
  <c r="N120" i="5"/>
  <c r="Z120" i="5"/>
  <c r="AA120" i="5"/>
  <c r="AB120" i="5"/>
  <c r="AC120" i="5"/>
  <c r="AD120" i="5"/>
  <c r="AE120" i="5"/>
  <c r="AF120" i="5"/>
  <c r="AG120" i="5"/>
  <c r="AH120" i="5"/>
  <c r="AI120" i="5"/>
  <c r="AJ120" i="5"/>
  <c r="AK120" i="5"/>
  <c r="AL120" i="5"/>
  <c r="AM120" i="5"/>
  <c r="AN120" i="5"/>
  <c r="AO120" i="5"/>
  <c r="AP120" i="5"/>
  <c r="AQ120" i="5"/>
  <c r="AR120" i="5"/>
  <c r="AS120" i="5"/>
  <c r="I121" i="5"/>
  <c r="K121" i="5" s="1"/>
  <c r="L121" i="5"/>
  <c r="N121" i="5"/>
  <c r="Z121" i="5"/>
  <c r="AA121" i="5"/>
  <c r="AB121" i="5"/>
  <c r="AC121" i="5"/>
  <c r="AD121" i="5"/>
  <c r="AE121" i="5"/>
  <c r="AF121" i="5"/>
  <c r="AG121" i="5"/>
  <c r="AH121" i="5"/>
  <c r="AI121" i="5"/>
  <c r="AJ121" i="5"/>
  <c r="AK121" i="5"/>
  <c r="AL121" i="5"/>
  <c r="AM121" i="5"/>
  <c r="AN121" i="5"/>
  <c r="AO121" i="5"/>
  <c r="AP121" i="5"/>
  <c r="AQ121" i="5"/>
  <c r="AR121" i="5"/>
  <c r="AS121" i="5"/>
  <c r="I122" i="5"/>
  <c r="K122" i="5" s="1"/>
  <c r="L122" i="5"/>
  <c r="N122" i="5"/>
  <c r="Z122" i="5"/>
  <c r="AA122" i="5"/>
  <c r="AB122" i="5"/>
  <c r="AC122" i="5"/>
  <c r="AD122" i="5"/>
  <c r="AE122" i="5"/>
  <c r="AF122" i="5"/>
  <c r="AG122" i="5"/>
  <c r="AH122" i="5"/>
  <c r="AI122" i="5"/>
  <c r="AJ122" i="5"/>
  <c r="AK122" i="5"/>
  <c r="AL122" i="5"/>
  <c r="AM122" i="5"/>
  <c r="AN122" i="5"/>
  <c r="AO122" i="5"/>
  <c r="AP122" i="5"/>
  <c r="AQ122" i="5"/>
  <c r="AR122" i="5"/>
  <c r="AS122" i="5"/>
  <c r="I123" i="5"/>
  <c r="K123" i="5" s="1"/>
  <c r="L123" i="5"/>
  <c r="N123" i="5"/>
  <c r="Z123" i="5"/>
  <c r="AA123" i="5"/>
  <c r="AB123" i="5"/>
  <c r="AC123" i="5"/>
  <c r="AD123" i="5"/>
  <c r="AE123" i="5"/>
  <c r="AF123" i="5"/>
  <c r="AG123" i="5"/>
  <c r="AH123" i="5"/>
  <c r="AI123" i="5"/>
  <c r="AJ123" i="5"/>
  <c r="AK123" i="5"/>
  <c r="AL123" i="5"/>
  <c r="AM123" i="5"/>
  <c r="AN123" i="5"/>
  <c r="AO123" i="5"/>
  <c r="AP123" i="5"/>
  <c r="AQ123" i="5"/>
  <c r="AR123" i="5"/>
  <c r="AS123" i="5"/>
  <c r="I124" i="5"/>
  <c r="K124" i="5" s="1"/>
  <c r="L124" i="5"/>
  <c r="N124" i="5"/>
  <c r="Z124" i="5"/>
  <c r="AA124" i="5"/>
  <c r="AB124" i="5"/>
  <c r="AC124" i="5"/>
  <c r="AD124" i="5"/>
  <c r="AE124" i="5"/>
  <c r="AF124" i="5"/>
  <c r="AG124" i="5"/>
  <c r="AH124" i="5"/>
  <c r="AI124" i="5"/>
  <c r="AJ124" i="5"/>
  <c r="AK124" i="5"/>
  <c r="AL124" i="5"/>
  <c r="AM124" i="5"/>
  <c r="AN124" i="5"/>
  <c r="AO124" i="5"/>
  <c r="AP124" i="5"/>
  <c r="AQ124" i="5"/>
  <c r="AR124" i="5"/>
  <c r="AS124" i="5"/>
  <c r="I125" i="5"/>
  <c r="K125" i="5" s="1"/>
  <c r="L125" i="5"/>
  <c r="N125" i="5"/>
  <c r="Z125" i="5"/>
  <c r="AA125" i="5"/>
  <c r="AB125" i="5"/>
  <c r="AC125" i="5"/>
  <c r="AD125" i="5"/>
  <c r="AE125" i="5"/>
  <c r="AF125" i="5"/>
  <c r="AG125" i="5"/>
  <c r="AH125" i="5"/>
  <c r="AI125" i="5"/>
  <c r="AJ125" i="5"/>
  <c r="AK125" i="5"/>
  <c r="AL125" i="5"/>
  <c r="AM125" i="5"/>
  <c r="AN125" i="5"/>
  <c r="AO125" i="5"/>
  <c r="AP125" i="5"/>
  <c r="AQ125" i="5"/>
  <c r="AR125" i="5"/>
  <c r="AS125" i="5"/>
  <c r="I126" i="5"/>
  <c r="K126" i="5" s="1"/>
  <c r="L126" i="5"/>
  <c r="N126" i="5"/>
  <c r="Z126" i="5"/>
  <c r="AA126" i="5"/>
  <c r="AB126" i="5"/>
  <c r="AC126" i="5"/>
  <c r="AD126" i="5"/>
  <c r="AE126" i="5"/>
  <c r="AF126" i="5"/>
  <c r="AG126" i="5"/>
  <c r="AH126" i="5"/>
  <c r="AI126" i="5"/>
  <c r="AJ126" i="5"/>
  <c r="AK126" i="5"/>
  <c r="AL126" i="5"/>
  <c r="AM126" i="5"/>
  <c r="AN126" i="5"/>
  <c r="AO126" i="5"/>
  <c r="AP126" i="5"/>
  <c r="AQ126" i="5"/>
  <c r="AR126" i="5"/>
  <c r="AS126" i="5"/>
  <c r="I127" i="5"/>
  <c r="K127" i="5" s="1"/>
  <c r="L127" i="5"/>
  <c r="N127" i="5"/>
  <c r="Z127" i="5"/>
  <c r="AA127" i="5"/>
  <c r="AB127" i="5"/>
  <c r="AC127" i="5"/>
  <c r="AD127" i="5"/>
  <c r="AE127" i="5"/>
  <c r="AF127" i="5"/>
  <c r="AG127" i="5"/>
  <c r="AH127" i="5"/>
  <c r="AI127" i="5"/>
  <c r="AJ127" i="5"/>
  <c r="AK127" i="5"/>
  <c r="AL127" i="5"/>
  <c r="AM127" i="5"/>
  <c r="AN127" i="5"/>
  <c r="AO127" i="5"/>
  <c r="AP127" i="5"/>
  <c r="AQ127" i="5"/>
  <c r="AR127" i="5"/>
  <c r="AS127" i="5"/>
  <c r="I128" i="5"/>
  <c r="K128" i="5" s="1"/>
  <c r="L128" i="5"/>
  <c r="N128" i="5"/>
  <c r="Z128" i="5"/>
  <c r="AA128" i="5"/>
  <c r="AB128" i="5"/>
  <c r="AC128" i="5"/>
  <c r="AD128" i="5"/>
  <c r="AE128" i="5"/>
  <c r="AF128" i="5"/>
  <c r="AG128" i="5"/>
  <c r="AH128" i="5"/>
  <c r="AI128" i="5"/>
  <c r="AJ128" i="5"/>
  <c r="AK128" i="5"/>
  <c r="AL128" i="5"/>
  <c r="AM128" i="5"/>
  <c r="AN128" i="5"/>
  <c r="AO128" i="5"/>
  <c r="AP128" i="5"/>
  <c r="AQ128" i="5"/>
  <c r="AR128" i="5"/>
  <c r="AS128" i="5"/>
  <c r="I129" i="5"/>
  <c r="K129" i="5" s="1"/>
  <c r="L129" i="5"/>
  <c r="N129" i="5"/>
  <c r="Z129" i="5"/>
  <c r="AA129" i="5"/>
  <c r="AB129" i="5"/>
  <c r="AC129" i="5"/>
  <c r="AD129" i="5"/>
  <c r="AE129" i="5"/>
  <c r="AF129" i="5"/>
  <c r="AG129" i="5"/>
  <c r="AH129" i="5"/>
  <c r="AI129" i="5"/>
  <c r="AJ129" i="5"/>
  <c r="AK129" i="5"/>
  <c r="AL129" i="5"/>
  <c r="AM129" i="5"/>
  <c r="AN129" i="5"/>
  <c r="AO129" i="5"/>
  <c r="AP129" i="5"/>
  <c r="AQ129" i="5"/>
  <c r="AR129" i="5"/>
  <c r="AS129" i="5"/>
  <c r="I130" i="5"/>
  <c r="K130" i="5" s="1"/>
  <c r="L130" i="5"/>
  <c r="N130" i="5"/>
  <c r="Z130" i="5"/>
  <c r="AA130" i="5"/>
  <c r="AB130" i="5"/>
  <c r="AC130" i="5"/>
  <c r="AD130" i="5"/>
  <c r="AE130" i="5"/>
  <c r="AF130" i="5"/>
  <c r="AG130" i="5"/>
  <c r="AH130" i="5"/>
  <c r="AI130" i="5"/>
  <c r="AJ130" i="5"/>
  <c r="AK130" i="5"/>
  <c r="AL130" i="5"/>
  <c r="AM130" i="5"/>
  <c r="AN130" i="5"/>
  <c r="AO130" i="5"/>
  <c r="AP130" i="5"/>
  <c r="AQ130" i="5"/>
  <c r="AR130" i="5"/>
  <c r="AS130" i="5"/>
  <c r="I131" i="5"/>
  <c r="K131" i="5" s="1"/>
  <c r="L131" i="5"/>
  <c r="N131" i="5"/>
  <c r="Z131" i="5"/>
  <c r="AA131" i="5"/>
  <c r="AB131" i="5"/>
  <c r="AC131" i="5"/>
  <c r="AD131" i="5"/>
  <c r="AE131" i="5"/>
  <c r="AF131" i="5"/>
  <c r="AG131" i="5"/>
  <c r="AH131" i="5"/>
  <c r="AI131" i="5"/>
  <c r="AJ131" i="5"/>
  <c r="AK131" i="5"/>
  <c r="AL131" i="5"/>
  <c r="AM131" i="5"/>
  <c r="AN131" i="5"/>
  <c r="AO131" i="5"/>
  <c r="AP131" i="5"/>
  <c r="AQ131" i="5"/>
  <c r="AR131" i="5"/>
  <c r="AS131" i="5"/>
  <c r="I132" i="5"/>
  <c r="K132" i="5" s="1"/>
  <c r="L132" i="5"/>
  <c r="N132" i="5"/>
  <c r="Z132" i="5"/>
  <c r="AA132" i="5"/>
  <c r="AB132" i="5"/>
  <c r="AC132" i="5"/>
  <c r="AD132" i="5"/>
  <c r="AE132" i="5"/>
  <c r="AF132" i="5"/>
  <c r="AG132" i="5"/>
  <c r="AH132" i="5"/>
  <c r="AI132" i="5"/>
  <c r="AJ132" i="5"/>
  <c r="AK132" i="5"/>
  <c r="AL132" i="5"/>
  <c r="AM132" i="5"/>
  <c r="AN132" i="5"/>
  <c r="AO132" i="5"/>
  <c r="AP132" i="5"/>
  <c r="AQ132" i="5"/>
  <c r="AR132" i="5"/>
  <c r="AS132" i="5"/>
  <c r="I133" i="5"/>
  <c r="K133" i="5" s="1"/>
  <c r="L133" i="5"/>
  <c r="N133" i="5"/>
  <c r="Z133" i="5"/>
  <c r="AA133" i="5"/>
  <c r="AB133" i="5"/>
  <c r="AC133" i="5"/>
  <c r="AD133" i="5"/>
  <c r="AE133" i="5"/>
  <c r="AF133" i="5"/>
  <c r="AG133" i="5"/>
  <c r="AH133" i="5"/>
  <c r="AI133" i="5"/>
  <c r="AJ133" i="5"/>
  <c r="AK133" i="5"/>
  <c r="AL133" i="5"/>
  <c r="AM133" i="5"/>
  <c r="AN133" i="5"/>
  <c r="AO133" i="5"/>
  <c r="AP133" i="5"/>
  <c r="AQ133" i="5"/>
  <c r="AR133" i="5"/>
  <c r="AS133" i="5"/>
  <c r="I134" i="5"/>
  <c r="K134" i="5" s="1"/>
  <c r="L134" i="5"/>
  <c r="N134" i="5"/>
  <c r="Z134" i="5"/>
  <c r="AA134" i="5"/>
  <c r="AB134" i="5"/>
  <c r="AC134" i="5"/>
  <c r="AD134" i="5"/>
  <c r="AE134" i="5"/>
  <c r="AF134" i="5"/>
  <c r="AG134" i="5"/>
  <c r="AH134" i="5"/>
  <c r="AI134" i="5"/>
  <c r="AJ134" i="5"/>
  <c r="AK134" i="5"/>
  <c r="AL134" i="5"/>
  <c r="AM134" i="5"/>
  <c r="AN134" i="5"/>
  <c r="AO134" i="5"/>
  <c r="AP134" i="5"/>
  <c r="AQ134" i="5"/>
  <c r="AR134" i="5"/>
  <c r="AS134" i="5"/>
  <c r="I135" i="5"/>
  <c r="K135" i="5" s="1"/>
  <c r="L135" i="5"/>
  <c r="N135" i="5"/>
  <c r="Z135" i="5"/>
  <c r="AA135" i="5"/>
  <c r="AB135" i="5"/>
  <c r="AC135" i="5"/>
  <c r="AD135" i="5"/>
  <c r="AE135" i="5"/>
  <c r="AF135" i="5"/>
  <c r="AG135" i="5"/>
  <c r="AH135" i="5"/>
  <c r="AI135" i="5"/>
  <c r="AJ135" i="5"/>
  <c r="AK135" i="5"/>
  <c r="AL135" i="5"/>
  <c r="AM135" i="5"/>
  <c r="AN135" i="5"/>
  <c r="AO135" i="5"/>
  <c r="AP135" i="5"/>
  <c r="AQ135" i="5"/>
  <c r="AR135" i="5"/>
  <c r="AS135" i="5"/>
  <c r="I136" i="5"/>
  <c r="K136" i="5" s="1"/>
  <c r="L136" i="5"/>
  <c r="N136" i="5"/>
  <c r="Z136" i="5"/>
  <c r="AA136" i="5"/>
  <c r="AB136" i="5"/>
  <c r="AC136" i="5"/>
  <c r="AD136" i="5"/>
  <c r="AE136" i="5"/>
  <c r="AF136" i="5"/>
  <c r="AG136" i="5"/>
  <c r="AH136" i="5"/>
  <c r="AI136" i="5"/>
  <c r="AJ136" i="5"/>
  <c r="AK136" i="5"/>
  <c r="AL136" i="5"/>
  <c r="AM136" i="5"/>
  <c r="AN136" i="5"/>
  <c r="AO136" i="5"/>
  <c r="AP136" i="5"/>
  <c r="AQ136" i="5"/>
  <c r="AR136" i="5"/>
  <c r="AS136" i="5"/>
  <c r="I137" i="5"/>
  <c r="K137" i="5" s="1"/>
  <c r="L137" i="5"/>
  <c r="N137" i="5"/>
  <c r="Z137" i="5"/>
  <c r="AA137" i="5"/>
  <c r="AB137" i="5"/>
  <c r="AC137" i="5"/>
  <c r="AD137" i="5"/>
  <c r="AE137" i="5"/>
  <c r="AF137" i="5"/>
  <c r="AG137" i="5"/>
  <c r="AH137" i="5"/>
  <c r="AI137" i="5"/>
  <c r="AJ137" i="5"/>
  <c r="AK137" i="5"/>
  <c r="AL137" i="5"/>
  <c r="AM137" i="5"/>
  <c r="AN137" i="5"/>
  <c r="AO137" i="5"/>
  <c r="AP137" i="5"/>
  <c r="AQ137" i="5"/>
  <c r="AR137" i="5"/>
  <c r="AS137" i="5"/>
  <c r="I138" i="5"/>
  <c r="K138" i="5" s="1"/>
  <c r="L138" i="5"/>
  <c r="N138" i="5"/>
  <c r="Z138" i="5"/>
  <c r="AA138" i="5"/>
  <c r="AB138" i="5"/>
  <c r="AC138" i="5"/>
  <c r="AD138" i="5"/>
  <c r="AE138" i="5"/>
  <c r="AF138" i="5"/>
  <c r="AG138" i="5"/>
  <c r="AH138" i="5"/>
  <c r="AI138" i="5"/>
  <c r="AJ138" i="5"/>
  <c r="AK138" i="5"/>
  <c r="AL138" i="5"/>
  <c r="AM138" i="5"/>
  <c r="AN138" i="5"/>
  <c r="AO138" i="5"/>
  <c r="AP138" i="5"/>
  <c r="AQ138" i="5"/>
  <c r="AR138" i="5"/>
  <c r="AS138" i="5"/>
  <c r="I139" i="5"/>
  <c r="K139" i="5" s="1"/>
  <c r="L139" i="5"/>
  <c r="N139" i="5"/>
  <c r="Z139" i="5"/>
  <c r="AA139" i="5"/>
  <c r="AB139" i="5"/>
  <c r="AC139" i="5"/>
  <c r="AD139" i="5"/>
  <c r="AE139" i="5"/>
  <c r="AF139" i="5"/>
  <c r="AG139" i="5"/>
  <c r="AH139" i="5"/>
  <c r="AI139" i="5"/>
  <c r="AJ139" i="5"/>
  <c r="AK139" i="5"/>
  <c r="AL139" i="5"/>
  <c r="AM139" i="5"/>
  <c r="AN139" i="5"/>
  <c r="AO139" i="5"/>
  <c r="AP139" i="5"/>
  <c r="AQ139" i="5"/>
  <c r="AR139" i="5"/>
  <c r="AS139" i="5"/>
  <c r="I140" i="5"/>
  <c r="K140" i="5" s="1"/>
  <c r="L140" i="5"/>
  <c r="N140" i="5"/>
  <c r="Z140" i="5"/>
  <c r="AA140" i="5"/>
  <c r="AB140" i="5"/>
  <c r="AC140" i="5"/>
  <c r="AD140" i="5"/>
  <c r="AE140" i="5"/>
  <c r="AF140" i="5"/>
  <c r="AG140" i="5"/>
  <c r="AH140" i="5"/>
  <c r="AI140" i="5"/>
  <c r="AJ140" i="5"/>
  <c r="AK140" i="5"/>
  <c r="AL140" i="5"/>
  <c r="AM140" i="5"/>
  <c r="AN140" i="5"/>
  <c r="AO140" i="5"/>
  <c r="AP140" i="5"/>
  <c r="AQ140" i="5"/>
  <c r="AR140" i="5"/>
  <c r="AS140" i="5"/>
  <c r="I141" i="5"/>
  <c r="K141" i="5" s="1"/>
  <c r="L141" i="5"/>
  <c r="N141" i="5"/>
  <c r="Z141" i="5"/>
  <c r="AA141" i="5"/>
  <c r="AB141" i="5"/>
  <c r="AC141" i="5"/>
  <c r="AD141" i="5"/>
  <c r="AE141" i="5"/>
  <c r="AF141" i="5"/>
  <c r="AG141" i="5"/>
  <c r="AH141" i="5"/>
  <c r="AI141" i="5"/>
  <c r="AJ141" i="5"/>
  <c r="AK141" i="5"/>
  <c r="AL141" i="5"/>
  <c r="AM141" i="5"/>
  <c r="AN141" i="5"/>
  <c r="AO141" i="5"/>
  <c r="AP141" i="5"/>
  <c r="AQ141" i="5"/>
  <c r="AR141" i="5"/>
  <c r="AS141" i="5"/>
  <c r="I142" i="5"/>
  <c r="K142" i="5" s="1"/>
  <c r="L142" i="5"/>
  <c r="N142" i="5"/>
  <c r="Z142" i="5"/>
  <c r="AA142" i="5"/>
  <c r="AB142" i="5"/>
  <c r="AC142" i="5"/>
  <c r="AD142" i="5"/>
  <c r="AE142" i="5"/>
  <c r="AF142" i="5"/>
  <c r="AG142" i="5"/>
  <c r="AH142" i="5"/>
  <c r="AI142" i="5"/>
  <c r="AJ142" i="5"/>
  <c r="AK142" i="5"/>
  <c r="AL142" i="5"/>
  <c r="AM142" i="5"/>
  <c r="AN142" i="5"/>
  <c r="AO142" i="5"/>
  <c r="AP142" i="5"/>
  <c r="AQ142" i="5"/>
  <c r="AR142" i="5"/>
  <c r="AS142" i="5"/>
  <c r="I143" i="5"/>
  <c r="K143" i="5" s="1"/>
  <c r="L143" i="5"/>
  <c r="N143" i="5"/>
  <c r="Z143" i="5"/>
  <c r="AA143" i="5"/>
  <c r="AB143" i="5"/>
  <c r="AC143" i="5"/>
  <c r="AD143" i="5"/>
  <c r="AE143" i="5"/>
  <c r="AF143" i="5"/>
  <c r="AG143" i="5"/>
  <c r="AH143" i="5"/>
  <c r="AI143" i="5"/>
  <c r="AJ143" i="5"/>
  <c r="AK143" i="5"/>
  <c r="AL143" i="5"/>
  <c r="AM143" i="5"/>
  <c r="AN143" i="5"/>
  <c r="AO143" i="5"/>
  <c r="AP143" i="5"/>
  <c r="AQ143" i="5"/>
  <c r="AR143" i="5"/>
  <c r="AS143" i="5"/>
  <c r="I144" i="5"/>
  <c r="K144" i="5" s="1"/>
  <c r="L144" i="5"/>
  <c r="N144" i="5"/>
  <c r="Z144" i="5"/>
  <c r="AA144" i="5"/>
  <c r="AB144" i="5"/>
  <c r="AC144" i="5"/>
  <c r="AD144" i="5"/>
  <c r="AE144" i="5"/>
  <c r="AF144" i="5"/>
  <c r="AG144" i="5"/>
  <c r="AH144" i="5"/>
  <c r="AI144" i="5"/>
  <c r="AJ144" i="5"/>
  <c r="AK144" i="5"/>
  <c r="AL144" i="5"/>
  <c r="AM144" i="5"/>
  <c r="AN144" i="5"/>
  <c r="AO144" i="5"/>
  <c r="AP144" i="5"/>
  <c r="AQ144" i="5"/>
  <c r="AR144" i="5"/>
  <c r="AS144" i="5"/>
  <c r="I145" i="5"/>
  <c r="K145" i="5" s="1"/>
  <c r="L145" i="5"/>
  <c r="N145" i="5"/>
  <c r="Z145" i="5"/>
  <c r="AA145" i="5"/>
  <c r="AB145" i="5"/>
  <c r="AC145" i="5"/>
  <c r="AD145" i="5"/>
  <c r="AE145" i="5"/>
  <c r="AF145" i="5"/>
  <c r="AG145" i="5"/>
  <c r="AH145" i="5"/>
  <c r="AI145" i="5"/>
  <c r="AJ145" i="5"/>
  <c r="AK145" i="5"/>
  <c r="AL145" i="5"/>
  <c r="AM145" i="5"/>
  <c r="AN145" i="5"/>
  <c r="AO145" i="5"/>
  <c r="AP145" i="5"/>
  <c r="AQ145" i="5"/>
  <c r="AR145" i="5"/>
  <c r="AS145" i="5"/>
  <c r="I146" i="5"/>
  <c r="K146" i="5" s="1"/>
  <c r="L146" i="5"/>
  <c r="N146" i="5"/>
  <c r="Z146" i="5"/>
  <c r="AA146" i="5"/>
  <c r="AB146" i="5"/>
  <c r="AC146" i="5"/>
  <c r="AD146" i="5"/>
  <c r="AE146" i="5"/>
  <c r="AF146" i="5"/>
  <c r="AG146" i="5"/>
  <c r="AH146" i="5"/>
  <c r="AI146" i="5"/>
  <c r="AJ146" i="5"/>
  <c r="AK146" i="5"/>
  <c r="AL146" i="5"/>
  <c r="AM146" i="5"/>
  <c r="AN146" i="5"/>
  <c r="AO146" i="5"/>
  <c r="AP146" i="5"/>
  <c r="AQ146" i="5"/>
  <c r="AR146" i="5"/>
  <c r="AS146" i="5"/>
  <c r="I147" i="5"/>
  <c r="K147" i="5" s="1"/>
  <c r="L147" i="5"/>
  <c r="N147" i="5"/>
  <c r="Z147" i="5"/>
  <c r="AA147" i="5"/>
  <c r="AB147" i="5"/>
  <c r="AC147" i="5"/>
  <c r="AD147" i="5"/>
  <c r="AE147" i="5"/>
  <c r="AF147" i="5"/>
  <c r="AG147" i="5"/>
  <c r="AH147" i="5"/>
  <c r="AI147" i="5"/>
  <c r="AJ147" i="5"/>
  <c r="AK147" i="5"/>
  <c r="AL147" i="5"/>
  <c r="AM147" i="5"/>
  <c r="AN147" i="5"/>
  <c r="AO147" i="5"/>
  <c r="AP147" i="5"/>
  <c r="AQ147" i="5"/>
  <c r="AR147" i="5"/>
  <c r="AS147" i="5"/>
  <c r="I148" i="5"/>
  <c r="K148" i="5" s="1"/>
  <c r="L148" i="5"/>
  <c r="N148" i="5"/>
  <c r="Z148" i="5"/>
  <c r="AA148" i="5"/>
  <c r="AB148" i="5"/>
  <c r="AC148" i="5"/>
  <c r="AD148" i="5"/>
  <c r="AE148" i="5"/>
  <c r="AF148" i="5"/>
  <c r="AG148" i="5"/>
  <c r="AH148" i="5"/>
  <c r="AI148" i="5"/>
  <c r="AJ148" i="5"/>
  <c r="AK148" i="5"/>
  <c r="AL148" i="5"/>
  <c r="AM148" i="5"/>
  <c r="AN148" i="5"/>
  <c r="AO148" i="5"/>
  <c r="AP148" i="5"/>
  <c r="AQ148" i="5"/>
  <c r="AR148" i="5"/>
  <c r="AS148" i="5"/>
  <c r="I149" i="5"/>
  <c r="K149" i="5" s="1"/>
  <c r="L149" i="5"/>
  <c r="N149" i="5"/>
  <c r="Z149" i="5"/>
  <c r="AA149" i="5"/>
  <c r="AB149" i="5"/>
  <c r="AC149" i="5"/>
  <c r="AD149" i="5"/>
  <c r="AE149" i="5"/>
  <c r="AF149" i="5"/>
  <c r="AG149" i="5"/>
  <c r="AH149" i="5"/>
  <c r="AI149" i="5"/>
  <c r="AJ149" i="5"/>
  <c r="AK149" i="5"/>
  <c r="AL149" i="5"/>
  <c r="AM149" i="5"/>
  <c r="AN149" i="5"/>
  <c r="AO149" i="5"/>
  <c r="AP149" i="5"/>
  <c r="AQ149" i="5"/>
  <c r="AR149" i="5"/>
  <c r="AS149" i="5"/>
  <c r="I150" i="5"/>
  <c r="K150" i="5" s="1"/>
  <c r="L150" i="5"/>
  <c r="N150" i="5"/>
  <c r="Z150" i="5"/>
  <c r="AA150" i="5"/>
  <c r="AB150" i="5"/>
  <c r="AC150" i="5"/>
  <c r="AD150" i="5"/>
  <c r="AE150" i="5"/>
  <c r="AF150" i="5"/>
  <c r="AG150" i="5"/>
  <c r="AH150" i="5"/>
  <c r="AI150" i="5"/>
  <c r="AJ150" i="5"/>
  <c r="AK150" i="5"/>
  <c r="AL150" i="5"/>
  <c r="AM150" i="5"/>
  <c r="AN150" i="5"/>
  <c r="AO150" i="5"/>
  <c r="AP150" i="5"/>
  <c r="AQ150" i="5"/>
  <c r="AR150" i="5"/>
  <c r="AS150" i="5"/>
  <c r="I151" i="5"/>
  <c r="K151" i="5" s="1"/>
  <c r="L151" i="5"/>
  <c r="N151" i="5"/>
  <c r="Z151" i="5"/>
  <c r="AA151" i="5"/>
  <c r="AB151" i="5"/>
  <c r="AC151" i="5"/>
  <c r="AD151" i="5"/>
  <c r="AE151" i="5"/>
  <c r="AF151" i="5"/>
  <c r="AG151" i="5"/>
  <c r="AH151" i="5"/>
  <c r="AI151" i="5"/>
  <c r="AJ151" i="5"/>
  <c r="AK151" i="5"/>
  <c r="AL151" i="5"/>
  <c r="AM151" i="5"/>
  <c r="AN151" i="5"/>
  <c r="AO151" i="5"/>
  <c r="AP151" i="5"/>
  <c r="AQ151" i="5"/>
  <c r="AR151" i="5"/>
  <c r="AS151" i="5"/>
  <c r="I152" i="5"/>
  <c r="K152" i="5" s="1"/>
  <c r="L152" i="5"/>
  <c r="N152" i="5"/>
  <c r="Z152" i="5"/>
  <c r="AA152" i="5"/>
  <c r="AB152" i="5"/>
  <c r="AC152" i="5"/>
  <c r="AD152" i="5"/>
  <c r="AE152" i="5"/>
  <c r="AF152" i="5"/>
  <c r="AG152" i="5"/>
  <c r="AH152" i="5"/>
  <c r="AI152" i="5"/>
  <c r="AJ152" i="5"/>
  <c r="AK152" i="5"/>
  <c r="AL152" i="5"/>
  <c r="AM152" i="5"/>
  <c r="AN152" i="5"/>
  <c r="AO152" i="5"/>
  <c r="AP152" i="5"/>
  <c r="AQ152" i="5"/>
  <c r="AR152" i="5"/>
  <c r="AS152" i="5"/>
  <c r="I153" i="5"/>
  <c r="K153" i="5" s="1"/>
  <c r="L153" i="5"/>
  <c r="N153" i="5"/>
  <c r="Z153" i="5"/>
  <c r="AA153" i="5"/>
  <c r="AB153" i="5"/>
  <c r="AC153" i="5"/>
  <c r="AD153" i="5"/>
  <c r="AE153" i="5"/>
  <c r="AF153" i="5"/>
  <c r="AG153" i="5"/>
  <c r="AH153" i="5"/>
  <c r="AI153" i="5"/>
  <c r="AJ153" i="5"/>
  <c r="AK153" i="5"/>
  <c r="AL153" i="5"/>
  <c r="AM153" i="5"/>
  <c r="AN153" i="5"/>
  <c r="AO153" i="5"/>
  <c r="AP153" i="5"/>
  <c r="AQ153" i="5"/>
  <c r="AR153" i="5"/>
  <c r="AS153" i="5"/>
  <c r="I154" i="5"/>
  <c r="K154" i="5" s="1"/>
  <c r="L154" i="5"/>
  <c r="N154" i="5"/>
  <c r="Z154" i="5"/>
  <c r="AA154" i="5"/>
  <c r="AB154" i="5"/>
  <c r="AC154" i="5"/>
  <c r="AD154" i="5"/>
  <c r="AE154" i="5"/>
  <c r="AF154" i="5"/>
  <c r="AG154" i="5"/>
  <c r="AH154" i="5"/>
  <c r="AI154" i="5"/>
  <c r="AJ154" i="5"/>
  <c r="AK154" i="5"/>
  <c r="AL154" i="5"/>
  <c r="AM154" i="5"/>
  <c r="AN154" i="5"/>
  <c r="AO154" i="5"/>
  <c r="AP154" i="5"/>
  <c r="AQ154" i="5"/>
  <c r="AR154" i="5"/>
  <c r="AS154" i="5"/>
  <c r="I155" i="5"/>
  <c r="K155" i="5" s="1"/>
  <c r="L155" i="5"/>
  <c r="N155" i="5"/>
  <c r="Z155" i="5"/>
  <c r="AA155" i="5"/>
  <c r="AB155" i="5"/>
  <c r="AC155" i="5"/>
  <c r="AD155" i="5"/>
  <c r="AE155" i="5"/>
  <c r="AF155" i="5"/>
  <c r="AG155" i="5"/>
  <c r="AH155" i="5"/>
  <c r="AI155" i="5"/>
  <c r="AJ155" i="5"/>
  <c r="AK155" i="5"/>
  <c r="AL155" i="5"/>
  <c r="AM155" i="5"/>
  <c r="AN155" i="5"/>
  <c r="AO155" i="5"/>
  <c r="AP155" i="5"/>
  <c r="AQ155" i="5"/>
  <c r="AR155" i="5"/>
  <c r="AS155" i="5"/>
  <c r="I156" i="5"/>
  <c r="K156" i="5" s="1"/>
  <c r="L156" i="5"/>
  <c r="N156" i="5"/>
  <c r="Z156" i="5"/>
  <c r="AA156" i="5"/>
  <c r="AB156" i="5"/>
  <c r="AC156" i="5"/>
  <c r="AD156" i="5"/>
  <c r="AE156" i="5"/>
  <c r="AF156" i="5"/>
  <c r="AG156" i="5"/>
  <c r="AH156" i="5"/>
  <c r="AI156" i="5"/>
  <c r="AJ156" i="5"/>
  <c r="AK156" i="5"/>
  <c r="AL156" i="5"/>
  <c r="AM156" i="5"/>
  <c r="AN156" i="5"/>
  <c r="AO156" i="5"/>
  <c r="AP156" i="5"/>
  <c r="AQ156" i="5"/>
  <c r="AR156" i="5"/>
  <c r="AS156" i="5"/>
  <c r="I157" i="5"/>
  <c r="K157" i="5" s="1"/>
  <c r="L157" i="5"/>
  <c r="N157" i="5"/>
  <c r="Z157" i="5"/>
  <c r="AA157" i="5"/>
  <c r="AB157" i="5"/>
  <c r="AC157" i="5"/>
  <c r="AD157" i="5"/>
  <c r="AE157" i="5"/>
  <c r="AF157" i="5"/>
  <c r="AG157" i="5"/>
  <c r="AH157" i="5"/>
  <c r="AI157" i="5"/>
  <c r="AJ157" i="5"/>
  <c r="AK157" i="5"/>
  <c r="AL157" i="5"/>
  <c r="AM157" i="5"/>
  <c r="AN157" i="5"/>
  <c r="AO157" i="5"/>
  <c r="AP157" i="5"/>
  <c r="AQ157" i="5"/>
  <c r="AR157" i="5"/>
  <c r="AS157" i="5"/>
  <c r="I158" i="5"/>
  <c r="K158" i="5" s="1"/>
  <c r="L158" i="5"/>
  <c r="N158" i="5"/>
  <c r="Z158" i="5"/>
  <c r="AA158" i="5"/>
  <c r="AB158" i="5"/>
  <c r="AC158" i="5"/>
  <c r="AD158" i="5"/>
  <c r="AE158" i="5"/>
  <c r="AF158" i="5"/>
  <c r="AG158" i="5"/>
  <c r="AH158" i="5"/>
  <c r="AI158" i="5"/>
  <c r="AJ158" i="5"/>
  <c r="AK158" i="5"/>
  <c r="AL158" i="5"/>
  <c r="AM158" i="5"/>
  <c r="AN158" i="5"/>
  <c r="AO158" i="5"/>
  <c r="AP158" i="5"/>
  <c r="AQ158" i="5"/>
  <c r="AR158" i="5"/>
  <c r="AS158" i="5"/>
  <c r="I159" i="5"/>
  <c r="K159" i="5" s="1"/>
  <c r="L159" i="5"/>
  <c r="N159" i="5"/>
  <c r="Z159" i="5"/>
  <c r="AA159" i="5"/>
  <c r="AB159" i="5"/>
  <c r="AC159" i="5"/>
  <c r="AD159" i="5"/>
  <c r="AE159" i="5"/>
  <c r="AF159" i="5"/>
  <c r="AG159" i="5"/>
  <c r="AH159" i="5"/>
  <c r="AI159" i="5"/>
  <c r="AJ159" i="5"/>
  <c r="AK159" i="5"/>
  <c r="AL159" i="5"/>
  <c r="AM159" i="5"/>
  <c r="AN159" i="5"/>
  <c r="AO159" i="5"/>
  <c r="AP159" i="5"/>
  <c r="AQ159" i="5"/>
  <c r="AR159" i="5"/>
  <c r="AS159" i="5"/>
  <c r="I160" i="5"/>
  <c r="K160" i="5" s="1"/>
  <c r="L160" i="5"/>
  <c r="N160" i="5"/>
  <c r="Z160" i="5"/>
  <c r="AA160" i="5"/>
  <c r="AB160" i="5"/>
  <c r="AC160" i="5"/>
  <c r="AD160" i="5"/>
  <c r="AE160" i="5"/>
  <c r="AF160" i="5"/>
  <c r="AG160" i="5"/>
  <c r="AH160" i="5"/>
  <c r="AI160" i="5"/>
  <c r="AJ160" i="5"/>
  <c r="AK160" i="5"/>
  <c r="AL160" i="5"/>
  <c r="AM160" i="5"/>
  <c r="AN160" i="5"/>
  <c r="AO160" i="5"/>
  <c r="AP160" i="5"/>
  <c r="AQ160" i="5"/>
  <c r="AR160" i="5"/>
  <c r="AS160" i="5"/>
  <c r="I161" i="5"/>
  <c r="K161" i="5" s="1"/>
  <c r="L161" i="5"/>
  <c r="N161" i="5"/>
  <c r="Z161" i="5"/>
  <c r="AA161" i="5"/>
  <c r="AB161" i="5"/>
  <c r="AC161" i="5"/>
  <c r="AD161" i="5"/>
  <c r="AE161" i="5"/>
  <c r="AF161" i="5"/>
  <c r="AG161" i="5"/>
  <c r="AH161" i="5"/>
  <c r="AI161" i="5"/>
  <c r="AJ161" i="5"/>
  <c r="AK161" i="5"/>
  <c r="AL161" i="5"/>
  <c r="AM161" i="5"/>
  <c r="AN161" i="5"/>
  <c r="AO161" i="5"/>
  <c r="AP161" i="5"/>
  <c r="AQ161" i="5"/>
  <c r="AR161" i="5"/>
  <c r="AS161" i="5"/>
  <c r="I162" i="5"/>
  <c r="K162" i="5" s="1"/>
  <c r="L162" i="5"/>
  <c r="N162" i="5"/>
  <c r="Z162" i="5"/>
  <c r="AA162" i="5"/>
  <c r="AB162" i="5"/>
  <c r="AC162" i="5"/>
  <c r="AD162" i="5"/>
  <c r="AE162" i="5"/>
  <c r="AF162" i="5"/>
  <c r="AG162" i="5"/>
  <c r="AH162" i="5"/>
  <c r="AI162" i="5"/>
  <c r="AJ162" i="5"/>
  <c r="AK162" i="5"/>
  <c r="AL162" i="5"/>
  <c r="AM162" i="5"/>
  <c r="AN162" i="5"/>
  <c r="AO162" i="5"/>
  <c r="AP162" i="5"/>
  <c r="AQ162" i="5"/>
  <c r="AR162" i="5"/>
  <c r="AS162" i="5"/>
  <c r="I163" i="5"/>
  <c r="K163" i="5" s="1"/>
  <c r="L163" i="5"/>
  <c r="N163" i="5"/>
  <c r="Z163" i="5"/>
  <c r="AA163" i="5"/>
  <c r="AB163" i="5"/>
  <c r="AC163" i="5"/>
  <c r="AD163" i="5"/>
  <c r="AE163" i="5"/>
  <c r="AF163" i="5"/>
  <c r="AG163" i="5"/>
  <c r="AH163" i="5"/>
  <c r="AI163" i="5"/>
  <c r="AJ163" i="5"/>
  <c r="AK163" i="5"/>
  <c r="AL163" i="5"/>
  <c r="AM163" i="5"/>
  <c r="AN163" i="5"/>
  <c r="AO163" i="5"/>
  <c r="AP163" i="5"/>
  <c r="AQ163" i="5"/>
  <c r="AR163" i="5"/>
  <c r="AS163" i="5"/>
  <c r="I164" i="5"/>
  <c r="K164" i="5" s="1"/>
  <c r="L164" i="5"/>
  <c r="N164" i="5"/>
  <c r="Z164" i="5"/>
  <c r="AA164" i="5"/>
  <c r="AB164" i="5"/>
  <c r="AC164" i="5"/>
  <c r="AD164" i="5"/>
  <c r="AE164" i="5"/>
  <c r="AF164" i="5"/>
  <c r="AG164" i="5"/>
  <c r="AH164" i="5"/>
  <c r="AI164" i="5"/>
  <c r="AJ164" i="5"/>
  <c r="AK164" i="5"/>
  <c r="AL164" i="5"/>
  <c r="AM164" i="5"/>
  <c r="AN164" i="5"/>
  <c r="AO164" i="5"/>
  <c r="AP164" i="5"/>
  <c r="AQ164" i="5"/>
  <c r="AR164" i="5"/>
  <c r="AS164" i="5"/>
  <c r="I165" i="5"/>
  <c r="K165" i="5" s="1"/>
  <c r="L165" i="5"/>
  <c r="N165" i="5"/>
  <c r="Z165" i="5"/>
  <c r="AA165" i="5"/>
  <c r="AB165" i="5"/>
  <c r="AC165" i="5"/>
  <c r="AD165" i="5"/>
  <c r="AE165" i="5"/>
  <c r="AF165" i="5"/>
  <c r="AG165" i="5"/>
  <c r="AH165" i="5"/>
  <c r="AI165" i="5"/>
  <c r="AJ165" i="5"/>
  <c r="AK165" i="5"/>
  <c r="AL165" i="5"/>
  <c r="AM165" i="5"/>
  <c r="AN165" i="5"/>
  <c r="AO165" i="5"/>
  <c r="AP165" i="5"/>
  <c r="AQ165" i="5"/>
  <c r="AR165" i="5"/>
  <c r="AS165" i="5"/>
  <c r="I166" i="5"/>
  <c r="K166" i="5" s="1"/>
  <c r="L166" i="5"/>
  <c r="N166" i="5"/>
  <c r="Z166" i="5"/>
  <c r="AA166" i="5"/>
  <c r="AB166" i="5"/>
  <c r="AC166" i="5"/>
  <c r="AD166" i="5"/>
  <c r="AE166" i="5"/>
  <c r="AF166" i="5"/>
  <c r="AG166" i="5"/>
  <c r="AH166" i="5"/>
  <c r="AI166" i="5"/>
  <c r="AJ166" i="5"/>
  <c r="AK166" i="5"/>
  <c r="AL166" i="5"/>
  <c r="AM166" i="5"/>
  <c r="AN166" i="5"/>
  <c r="AO166" i="5"/>
  <c r="AP166" i="5"/>
  <c r="AQ166" i="5"/>
  <c r="AR166" i="5"/>
  <c r="AS166" i="5"/>
  <c r="I167" i="5"/>
  <c r="K167" i="5" s="1"/>
  <c r="L167" i="5"/>
  <c r="N167" i="5"/>
  <c r="Z167" i="5"/>
  <c r="AA167" i="5"/>
  <c r="AB167" i="5"/>
  <c r="AC167" i="5"/>
  <c r="AD167" i="5"/>
  <c r="AE167" i="5"/>
  <c r="AF167" i="5"/>
  <c r="AG167" i="5"/>
  <c r="AH167" i="5"/>
  <c r="AI167" i="5"/>
  <c r="AJ167" i="5"/>
  <c r="AK167" i="5"/>
  <c r="AL167" i="5"/>
  <c r="AM167" i="5"/>
  <c r="AN167" i="5"/>
  <c r="AO167" i="5"/>
  <c r="AP167" i="5"/>
  <c r="AQ167" i="5"/>
  <c r="AR167" i="5"/>
  <c r="AS167" i="5"/>
  <c r="I168" i="5"/>
  <c r="K168" i="5" s="1"/>
  <c r="L168" i="5"/>
  <c r="N168" i="5"/>
  <c r="Z168" i="5"/>
  <c r="AA168" i="5"/>
  <c r="AB168" i="5"/>
  <c r="AC168" i="5"/>
  <c r="AD168" i="5"/>
  <c r="AE168" i="5"/>
  <c r="AF168" i="5"/>
  <c r="AG168" i="5"/>
  <c r="AH168" i="5"/>
  <c r="AI168" i="5"/>
  <c r="AJ168" i="5"/>
  <c r="AK168" i="5"/>
  <c r="AL168" i="5"/>
  <c r="AM168" i="5"/>
  <c r="AN168" i="5"/>
  <c r="AO168" i="5"/>
  <c r="AP168" i="5"/>
  <c r="AQ168" i="5"/>
  <c r="AR168" i="5"/>
  <c r="AS168" i="5"/>
  <c r="I169" i="5"/>
  <c r="K169" i="5" s="1"/>
  <c r="L169" i="5"/>
  <c r="N169" i="5"/>
  <c r="Z169" i="5"/>
  <c r="AA169" i="5"/>
  <c r="AB169" i="5"/>
  <c r="AC169" i="5"/>
  <c r="AD169" i="5"/>
  <c r="AE169" i="5"/>
  <c r="AF169" i="5"/>
  <c r="AG169" i="5"/>
  <c r="AH169" i="5"/>
  <c r="AI169" i="5"/>
  <c r="AJ169" i="5"/>
  <c r="AK169" i="5"/>
  <c r="AL169" i="5"/>
  <c r="AM169" i="5"/>
  <c r="AN169" i="5"/>
  <c r="AO169" i="5"/>
  <c r="AP169" i="5"/>
  <c r="AQ169" i="5"/>
  <c r="AR169" i="5"/>
  <c r="AS169" i="5"/>
  <c r="I170" i="5"/>
  <c r="K170" i="5" s="1"/>
  <c r="L170" i="5"/>
  <c r="N170" i="5"/>
  <c r="Z170" i="5"/>
  <c r="AA170" i="5"/>
  <c r="AB170" i="5"/>
  <c r="AC170" i="5"/>
  <c r="AD170" i="5"/>
  <c r="AE170" i="5"/>
  <c r="AF170" i="5"/>
  <c r="AG170" i="5"/>
  <c r="AH170" i="5"/>
  <c r="AI170" i="5"/>
  <c r="AJ170" i="5"/>
  <c r="AK170" i="5"/>
  <c r="AL170" i="5"/>
  <c r="AM170" i="5"/>
  <c r="AN170" i="5"/>
  <c r="AO170" i="5"/>
  <c r="AP170" i="5"/>
  <c r="AQ170" i="5"/>
  <c r="AR170" i="5"/>
  <c r="AS170" i="5"/>
  <c r="I171" i="5"/>
  <c r="K171" i="5" s="1"/>
  <c r="L171" i="5"/>
  <c r="N171" i="5"/>
  <c r="Z171" i="5"/>
  <c r="AA171" i="5"/>
  <c r="AB171" i="5"/>
  <c r="AC171" i="5"/>
  <c r="AD171" i="5"/>
  <c r="AE171" i="5"/>
  <c r="AF171" i="5"/>
  <c r="AG171" i="5"/>
  <c r="AH171" i="5"/>
  <c r="AI171" i="5"/>
  <c r="AJ171" i="5"/>
  <c r="AK171" i="5"/>
  <c r="AL171" i="5"/>
  <c r="AM171" i="5"/>
  <c r="AN171" i="5"/>
  <c r="AO171" i="5"/>
  <c r="AP171" i="5"/>
  <c r="AQ171" i="5"/>
  <c r="AR171" i="5"/>
  <c r="AS171" i="5"/>
  <c r="I172" i="5"/>
  <c r="K172" i="5" s="1"/>
  <c r="L172" i="5"/>
  <c r="N172" i="5"/>
  <c r="Z172" i="5"/>
  <c r="AA172" i="5"/>
  <c r="AB172" i="5"/>
  <c r="AC172" i="5"/>
  <c r="AD172" i="5"/>
  <c r="AE172" i="5"/>
  <c r="AF172" i="5"/>
  <c r="AG172" i="5"/>
  <c r="AH172" i="5"/>
  <c r="AI172" i="5"/>
  <c r="AJ172" i="5"/>
  <c r="AK172" i="5"/>
  <c r="AL172" i="5"/>
  <c r="AM172" i="5"/>
  <c r="AN172" i="5"/>
  <c r="AO172" i="5"/>
  <c r="AP172" i="5"/>
  <c r="AQ172" i="5"/>
  <c r="AR172" i="5"/>
  <c r="AS172" i="5"/>
  <c r="I173" i="5"/>
  <c r="K173" i="5" s="1"/>
  <c r="L173" i="5"/>
  <c r="N173" i="5"/>
  <c r="Z173" i="5"/>
  <c r="AA173" i="5"/>
  <c r="AB173" i="5"/>
  <c r="AC173" i="5"/>
  <c r="AD173" i="5"/>
  <c r="AE173" i="5"/>
  <c r="AF173" i="5"/>
  <c r="AG173" i="5"/>
  <c r="AH173" i="5"/>
  <c r="AI173" i="5"/>
  <c r="AJ173" i="5"/>
  <c r="AK173" i="5"/>
  <c r="AL173" i="5"/>
  <c r="AM173" i="5"/>
  <c r="AN173" i="5"/>
  <c r="AO173" i="5"/>
  <c r="AP173" i="5"/>
  <c r="AQ173" i="5"/>
  <c r="AR173" i="5"/>
  <c r="AS173" i="5"/>
  <c r="I174" i="5"/>
  <c r="K174" i="5" s="1"/>
  <c r="L174" i="5"/>
  <c r="N174" i="5"/>
  <c r="Z174" i="5"/>
  <c r="AA174" i="5"/>
  <c r="AB174" i="5"/>
  <c r="AC174" i="5"/>
  <c r="AD174" i="5"/>
  <c r="AE174" i="5"/>
  <c r="AF174" i="5"/>
  <c r="AG174" i="5"/>
  <c r="AH174" i="5"/>
  <c r="AI174" i="5"/>
  <c r="AJ174" i="5"/>
  <c r="AK174" i="5"/>
  <c r="AL174" i="5"/>
  <c r="AM174" i="5"/>
  <c r="AN174" i="5"/>
  <c r="AO174" i="5"/>
  <c r="AP174" i="5"/>
  <c r="AQ174" i="5"/>
  <c r="AR174" i="5"/>
  <c r="AS174" i="5"/>
  <c r="I175" i="5"/>
  <c r="K175" i="5" s="1"/>
  <c r="L175" i="5"/>
  <c r="N175" i="5"/>
  <c r="Z175" i="5"/>
  <c r="AA175" i="5"/>
  <c r="AB175" i="5"/>
  <c r="AC175" i="5"/>
  <c r="AD175" i="5"/>
  <c r="AE175" i="5"/>
  <c r="AF175" i="5"/>
  <c r="AG175" i="5"/>
  <c r="AH175" i="5"/>
  <c r="AI175" i="5"/>
  <c r="AJ175" i="5"/>
  <c r="AK175" i="5"/>
  <c r="AL175" i="5"/>
  <c r="AM175" i="5"/>
  <c r="AN175" i="5"/>
  <c r="AO175" i="5"/>
  <c r="AP175" i="5"/>
  <c r="AQ175" i="5"/>
  <c r="AR175" i="5"/>
  <c r="AS175" i="5"/>
  <c r="I176" i="5"/>
  <c r="K176" i="5" s="1"/>
  <c r="L176" i="5"/>
  <c r="N176" i="5"/>
  <c r="Z176" i="5"/>
  <c r="AA176" i="5"/>
  <c r="AB176" i="5"/>
  <c r="AC176" i="5"/>
  <c r="AD176" i="5"/>
  <c r="AE176" i="5"/>
  <c r="AF176" i="5"/>
  <c r="AG176" i="5"/>
  <c r="AH176" i="5"/>
  <c r="AI176" i="5"/>
  <c r="AJ176" i="5"/>
  <c r="AK176" i="5"/>
  <c r="AL176" i="5"/>
  <c r="AM176" i="5"/>
  <c r="AN176" i="5"/>
  <c r="AO176" i="5"/>
  <c r="AP176" i="5"/>
  <c r="AQ176" i="5"/>
  <c r="AR176" i="5"/>
  <c r="AS176" i="5"/>
  <c r="I177" i="5"/>
  <c r="K177" i="5" s="1"/>
  <c r="L177" i="5"/>
  <c r="N177" i="5"/>
  <c r="Z177" i="5"/>
  <c r="AA177" i="5"/>
  <c r="AB177" i="5"/>
  <c r="AC177" i="5"/>
  <c r="AD177" i="5"/>
  <c r="AE177" i="5"/>
  <c r="AF177" i="5"/>
  <c r="AG177" i="5"/>
  <c r="AH177" i="5"/>
  <c r="AI177" i="5"/>
  <c r="AJ177" i="5"/>
  <c r="AK177" i="5"/>
  <c r="AL177" i="5"/>
  <c r="AM177" i="5"/>
  <c r="AN177" i="5"/>
  <c r="AO177" i="5"/>
  <c r="AP177" i="5"/>
  <c r="AQ177" i="5"/>
  <c r="AR177" i="5"/>
  <c r="AS177" i="5"/>
  <c r="I178" i="5"/>
  <c r="K178" i="5" s="1"/>
  <c r="L178" i="5"/>
  <c r="N178" i="5"/>
  <c r="Z178" i="5"/>
  <c r="AA178" i="5"/>
  <c r="AB178" i="5"/>
  <c r="AC178" i="5"/>
  <c r="AD178" i="5"/>
  <c r="AE178" i="5"/>
  <c r="AF178" i="5"/>
  <c r="AG178" i="5"/>
  <c r="AH178" i="5"/>
  <c r="AI178" i="5"/>
  <c r="AJ178" i="5"/>
  <c r="AK178" i="5"/>
  <c r="AL178" i="5"/>
  <c r="AM178" i="5"/>
  <c r="AN178" i="5"/>
  <c r="AO178" i="5"/>
  <c r="AP178" i="5"/>
  <c r="AQ178" i="5"/>
  <c r="AR178" i="5"/>
  <c r="AS178" i="5"/>
  <c r="I179" i="5"/>
  <c r="K179" i="5" s="1"/>
  <c r="L179" i="5"/>
  <c r="N179" i="5"/>
  <c r="Z179" i="5"/>
  <c r="AA179" i="5"/>
  <c r="AB179" i="5"/>
  <c r="AC179" i="5"/>
  <c r="AD179" i="5"/>
  <c r="AE179" i="5"/>
  <c r="AF179" i="5"/>
  <c r="AG179" i="5"/>
  <c r="AH179" i="5"/>
  <c r="AI179" i="5"/>
  <c r="AJ179" i="5"/>
  <c r="AK179" i="5"/>
  <c r="AL179" i="5"/>
  <c r="AM179" i="5"/>
  <c r="AN179" i="5"/>
  <c r="AO179" i="5"/>
  <c r="AP179" i="5"/>
  <c r="AQ179" i="5"/>
  <c r="AR179" i="5"/>
  <c r="AS179" i="5"/>
  <c r="I180" i="5"/>
  <c r="K180" i="5" s="1"/>
  <c r="L180" i="5"/>
  <c r="N180" i="5"/>
  <c r="Z180" i="5"/>
  <c r="AA180" i="5"/>
  <c r="AB180" i="5"/>
  <c r="AC180" i="5"/>
  <c r="AD180" i="5"/>
  <c r="AE180" i="5"/>
  <c r="AF180" i="5"/>
  <c r="AG180" i="5"/>
  <c r="AH180" i="5"/>
  <c r="AI180" i="5"/>
  <c r="AJ180" i="5"/>
  <c r="AK180" i="5"/>
  <c r="AL180" i="5"/>
  <c r="AM180" i="5"/>
  <c r="AN180" i="5"/>
  <c r="AO180" i="5"/>
  <c r="AP180" i="5"/>
  <c r="AQ180" i="5"/>
  <c r="AR180" i="5"/>
  <c r="AS180" i="5"/>
  <c r="I181" i="5"/>
  <c r="K181" i="5" s="1"/>
  <c r="L181" i="5"/>
  <c r="N181" i="5"/>
  <c r="Z181" i="5"/>
  <c r="AA181" i="5"/>
  <c r="AB181" i="5"/>
  <c r="AC181" i="5"/>
  <c r="AD181" i="5"/>
  <c r="AE181" i="5"/>
  <c r="AF181" i="5"/>
  <c r="AG181" i="5"/>
  <c r="AH181" i="5"/>
  <c r="AI181" i="5"/>
  <c r="AJ181" i="5"/>
  <c r="AK181" i="5"/>
  <c r="AL181" i="5"/>
  <c r="AM181" i="5"/>
  <c r="AN181" i="5"/>
  <c r="AO181" i="5"/>
  <c r="AP181" i="5"/>
  <c r="AQ181" i="5"/>
  <c r="AR181" i="5"/>
  <c r="AS181" i="5"/>
  <c r="I182" i="5"/>
  <c r="K182" i="5" s="1"/>
  <c r="L182" i="5"/>
  <c r="N182" i="5"/>
  <c r="Z182" i="5"/>
  <c r="AA182" i="5"/>
  <c r="AB182" i="5"/>
  <c r="AC182" i="5"/>
  <c r="AD182" i="5"/>
  <c r="AE182" i="5"/>
  <c r="AF182" i="5"/>
  <c r="AG182" i="5"/>
  <c r="AH182" i="5"/>
  <c r="AI182" i="5"/>
  <c r="AJ182" i="5"/>
  <c r="AK182" i="5"/>
  <c r="AL182" i="5"/>
  <c r="AM182" i="5"/>
  <c r="AN182" i="5"/>
  <c r="AO182" i="5"/>
  <c r="AP182" i="5"/>
  <c r="AQ182" i="5"/>
  <c r="AR182" i="5"/>
  <c r="AS182" i="5"/>
  <c r="I183" i="5"/>
  <c r="K183" i="5" s="1"/>
  <c r="L183" i="5"/>
  <c r="N183" i="5"/>
  <c r="Z183" i="5"/>
  <c r="AA183" i="5"/>
  <c r="AB183" i="5"/>
  <c r="AC183" i="5"/>
  <c r="AD183" i="5"/>
  <c r="AE183" i="5"/>
  <c r="AF183" i="5"/>
  <c r="AG183" i="5"/>
  <c r="AH183" i="5"/>
  <c r="AI183" i="5"/>
  <c r="AJ183" i="5"/>
  <c r="AK183" i="5"/>
  <c r="AL183" i="5"/>
  <c r="AM183" i="5"/>
  <c r="AN183" i="5"/>
  <c r="AO183" i="5"/>
  <c r="AP183" i="5"/>
  <c r="AQ183" i="5"/>
  <c r="AR183" i="5"/>
  <c r="AS183" i="5"/>
  <c r="I184" i="5"/>
  <c r="K184" i="5" s="1"/>
  <c r="L184" i="5"/>
  <c r="N184" i="5"/>
  <c r="Z184" i="5"/>
  <c r="AA184" i="5"/>
  <c r="AB184" i="5"/>
  <c r="AC184" i="5"/>
  <c r="AD184" i="5"/>
  <c r="AE184" i="5"/>
  <c r="AF184" i="5"/>
  <c r="AG184" i="5"/>
  <c r="AH184" i="5"/>
  <c r="AI184" i="5"/>
  <c r="AJ184" i="5"/>
  <c r="AK184" i="5"/>
  <c r="AL184" i="5"/>
  <c r="AM184" i="5"/>
  <c r="AN184" i="5"/>
  <c r="AO184" i="5"/>
  <c r="AP184" i="5"/>
  <c r="AQ184" i="5"/>
  <c r="AR184" i="5"/>
  <c r="AS184" i="5"/>
  <c r="I185" i="5"/>
  <c r="K185" i="5" s="1"/>
  <c r="L185" i="5"/>
  <c r="N185" i="5"/>
  <c r="Z185" i="5"/>
  <c r="AA185" i="5"/>
  <c r="AB185" i="5"/>
  <c r="AC185" i="5"/>
  <c r="AD185" i="5"/>
  <c r="AE185" i="5"/>
  <c r="AF185" i="5"/>
  <c r="AG185" i="5"/>
  <c r="AH185" i="5"/>
  <c r="AI185" i="5"/>
  <c r="AJ185" i="5"/>
  <c r="AK185" i="5"/>
  <c r="AL185" i="5"/>
  <c r="AM185" i="5"/>
  <c r="AN185" i="5"/>
  <c r="AO185" i="5"/>
  <c r="AP185" i="5"/>
  <c r="AQ185" i="5"/>
  <c r="AR185" i="5"/>
  <c r="AS185" i="5"/>
  <c r="I186" i="5"/>
  <c r="K186" i="5" s="1"/>
  <c r="L186" i="5"/>
  <c r="N186" i="5"/>
  <c r="Z186" i="5"/>
  <c r="AA186" i="5"/>
  <c r="AB186" i="5"/>
  <c r="AC186" i="5"/>
  <c r="AD186" i="5"/>
  <c r="AE186" i="5"/>
  <c r="AF186" i="5"/>
  <c r="AG186" i="5"/>
  <c r="AH186" i="5"/>
  <c r="AI186" i="5"/>
  <c r="AJ186" i="5"/>
  <c r="AK186" i="5"/>
  <c r="AL186" i="5"/>
  <c r="AM186" i="5"/>
  <c r="AN186" i="5"/>
  <c r="AO186" i="5"/>
  <c r="AP186" i="5"/>
  <c r="AQ186" i="5"/>
  <c r="AR186" i="5"/>
  <c r="AS186" i="5"/>
  <c r="I187" i="5"/>
  <c r="K187" i="5" s="1"/>
  <c r="L187" i="5"/>
  <c r="N187" i="5"/>
  <c r="Z187" i="5"/>
  <c r="AA187" i="5"/>
  <c r="AB187" i="5"/>
  <c r="AC187" i="5"/>
  <c r="AD187" i="5"/>
  <c r="AE187" i="5"/>
  <c r="AF187" i="5"/>
  <c r="AG187" i="5"/>
  <c r="AH187" i="5"/>
  <c r="AI187" i="5"/>
  <c r="AJ187" i="5"/>
  <c r="AK187" i="5"/>
  <c r="AL187" i="5"/>
  <c r="AM187" i="5"/>
  <c r="AN187" i="5"/>
  <c r="AO187" i="5"/>
  <c r="AP187" i="5"/>
  <c r="AQ187" i="5"/>
  <c r="AR187" i="5"/>
  <c r="AS187" i="5"/>
  <c r="I188" i="5"/>
  <c r="K188" i="5" s="1"/>
  <c r="L188" i="5"/>
  <c r="N188" i="5"/>
  <c r="Z188" i="5"/>
  <c r="AA188" i="5"/>
  <c r="AB188" i="5"/>
  <c r="AC188" i="5"/>
  <c r="AD188" i="5"/>
  <c r="AE188" i="5"/>
  <c r="AF188" i="5"/>
  <c r="AG188" i="5"/>
  <c r="AH188" i="5"/>
  <c r="AI188" i="5"/>
  <c r="AJ188" i="5"/>
  <c r="AK188" i="5"/>
  <c r="AL188" i="5"/>
  <c r="AM188" i="5"/>
  <c r="AN188" i="5"/>
  <c r="AO188" i="5"/>
  <c r="AP188" i="5"/>
  <c r="AQ188" i="5"/>
  <c r="AR188" i="5"/>
  <c r="AS188" i="5"/>
  <c r="I189" i="5"/>
  <c r="K189" i="5" s="1"/>
  <c r="L189" i="5"/>
  <c r="N189" i="5"/>
  <c r="Z189" i="5"/>
  <c r="AA189" i="5"/>
  <c r="AB189" i="5"/>
  <c r="AC189" i="5"/>
  <c r="AD189" i="5"/>
  <c r="AE189" i="5"/>
  <c r="AF189" i="5"/>
  <c r="AG189" i="5"/>
  <c r="AH189" i="5"/>
  <c r="AI189" i="5"/>
  <c r="AJ189" i="5"/>
  <c r="AK189" i="5"/>
  <c r="AL189" i="5"/>
  <c r="AM189" i="5"/>
  <c r="AN189" i="5"/>
  <c r="AO189" i="5"/>
  <c r="AP189" i="5"/>
  <c r="AQ189" i="5"/>
  <c r="AR189" i="5"/>
  <c r="AS189" i="5"/>
  <c r="I190" i="5"/>
  <c r="K190" i="5" s="1"/>
  <c r="L190" i="5"/>
  <c r="N190" i="5"/>
  <c r="Z190" i="5"/>
  <c r="AA190" i="5"/>
  <c r="AB190" i="5"/>
  <c r="AC190" i="5"/>
  <c r="AD190" i="5"/>
  <c r="AE190" i="5"/>
  <c r="AF190" i="5"/>
  <c r="AG190" i="5"/>
  <c r="AH190" i="5"/>
  <c r="AI190" i="5"/>
  <c r="AJ190" i="5"/>
  <c r="AK190" i="5"/>
  <c r="AL190" i="5"/>
  <c r="AM190" i="5"/>
  <c r="AN190" i="5"/>
  <c r="AO190" i="5"/>
  <c r="AP190" i="5"/>
  <c r="AQ190" i="5"/>
  <c r="AR190" i="5"/>
  <c r="AS190" i="5"/>
  <c r="I191" i="5"/>
  <c r="K191" i="5" s="1"/>
  <c r="L191" i="5"/>
  <c r="N191" i="5"/>
  <c r="Z191" i="5"/>
  <c r="AA191" i="5"/>
  <c r="AB191" i="5"/>
  <c r="AC191" i="5"/>
  <c r="AD191" i="5"/>
  <c r="AE191" i="5"/>
  <c r="AF191" i="5"/>
  <c r="AG191" i="5"/>
  <c r="AH191" i="5"/>
  <c r="AI191" i="5"/>
  <c r="AJ191" i="5"/>
  <c r="AK191" i="5"/>
  <c r="AL191" i="5"/>
  <c r="AM191" i="5"/>
  <c r="AN191" i="5"/>
  <c r="AO191" i="5"/>
  <c r="AP191" i="5"/>
  <c r="AQ191" i="5"/>
  <c r="AR191" i="5"/>
  <c r="AS191" i="5"/>
  <c r="I192" i="5"/>
  <c r="K192" i="5" s="1"/>
  <c r="L192" i="5"/>
  <c r="N192" i="5"/>
  <c r="Z192" i="5"/>
  <c r="AA192" i="5"/>
  <c r="AB192" i="5"/>
  <c r="AC192" i="5"/>
  <c r="AD192" i="5"/>
  <c r="AE192" i="5"/>
  <c r="AF192" i="5"/>
  <c r="AG192" i="5"/>
  <c r="AH192" i="5"/>
  <c r="AI192" i="5"/>
  <c r="AJ192" i="5"/>
  <c r="AK192" i="5"/>
  <c r="AL192" i="5"/>
  <c r="AM192" i="5"/>
  <c r="AN192" i="5"/>
  <c r="AO192" i="5"/>
  <c r="AP192" i="5"/>
  <c r="AQ192" i="5"/>
  <c r="AR192" i="5"/>
  <c r="AS192" i="5"/>
  <c r="I193" i="5"/>
  <c r="K193" i="5" s="1"/>
  <c r="L193" i="5"/>
  <c r="N193" i="5"/>
  <c r="Z193" i="5"/>
  <c r="AA193" i="5"/>
  <c r="AB193" i="5"/>
  <c r="AC193" i="5"/>
  <c r="AD193" i="5"/>
  <c r="AE193" i="5"/>
  <c r="AF193" i="5"/>
  <c r="AG193" i="5"/>
  <c r="AH193" i="5"/>
  <c r="AI193" i="5"/>
  <c r="AJ193" i="5"/>
  <c r="AK193" i="5"/>
  <c r="AL193" i="5"/>
  <c r="AM193" i="5"/>
  <c r="AN193" i="5"/>
  <c r="AO193" i="5"/>
  <c r="AP193" i="5"/>
  <c r="AQ193" i="5"/>
  <c r="AR193" i="5"/>
  <c r="AS193" i="5"/>
  <c r="I194" i="5"/>
  <c r="K194" i="5" s="1"/>
  <c r="L194" i="5"/>
  <c r="N194" i="5"/>
  <c r="Z194" i="5"/>
  <c r="AA194" i="5"/>
  <c r="AB194" i="5"/>
  <c r="AC194" i="5"/>
  <c r="AD194" i="5"/>
  <c r="AE194" i="5"/>
  <c r="AF194" i="5"/>
  <c r="AG194" i="5"/>
  <c r="AH194" i="5"/>
  <c r="AI194" i="5"/>
  <c r="AJ194" i="5"/>
  <c r="AK194" i="5"/>
  <c r="AL194" i="5"/>
  <c r="AM194" i="5"/>
  <c r="AN194" i="5"/>
  <c r="AO194" i="5"/>
  <c r="AP194" i="5"/>
  <c r="AQ194" i="5"/>
  <c r="AR194" i="5"/>
  <c r="AS194" i="5"/>
  <c r="I195" i="5"/>
  <c r="K195" i="5" s="1"/>
  <c r="L195" i="5"/>
  <c r="N195" i="5"/>
  <c r="Z195" i="5"/>
  <c r="AA195" i="5"/>
  <c r="AB195" i="5"/>
  <c r="AC195" i="5"/>
  <c r="AD195" i="5"/>
  <c r="AE195" i="5"/>
  <c r="AF195" i="5"/>
  <c r="AG195" i="5"/>
  <c r="AH195" i="5"/>
  <c r="AI195" i="5"/>
  <c r="AJ195" i="5"/>
  <c r="AK195" i="5"/>
  <c r="AL195" i="5"/>
  <c r="AM195" i="5"/>
  <c r="AN195" i="5"/>
  <c r="AO195" i="5"/>
  <c r="AP195" i="5"/>
  <c r="AQ195" i="5"/>
  <c r="AR195" i="5"/>
  <c r="AS195" i="5"/>
  <c r="I196" i="5"/>
  <c r="K196" i="5" s="1"/>
  <c r="L196" i="5"/>
  <c r="N196" i="5"/>
  <c r="Z196" i="5"/>
  <c r="AA196" i="5"/>
  <c r="AB196" i="5"/>
  <c r="AC196" i="5"/>
  <c r="AD196" i="5"/>
  <c r="AE196" i="5"/>
  <c r="AF196" i="5"/>
  <c r="AG196" i="5"/>
  <c r="AH196" i="5"/>
  <c r="AI196" i="5"/>
  <c r="AJ196" i="5"/>
  <c r="AK196" i="5"/>
  <c r="AL196" i="5"/>
  <c r="AM196" i="5"/>
  <c r="AN196" i="5"/>
  <c r="AO196" i="5"/>
  <c r="AP196" i="5"/>
  <c r="AQ196" i="5"/>
  <c r="AR196" i="5"/>
  <c r="AS196" i="5"/>
  <c r="I197" i="5"/>
  <c r="K197" i="5" s="1"/>
  <c r="L197" i="5"/>
  <c r="N197" i="5"/>
  <c r="Z197" i="5"/>
  <c r="AA197" i="5"/>
  <c r="AB197" i="5"/>
  <c r="AC197" i="5"/>
  <c r="AD197" i="5"/>
  <c r="AE197" i="5"/>
  <c r="AF197" i="5"/>
  <c r="AG197" i="5"/>
  <c r="AH197" i="5"/>
  <c r="AI197" i="5"/>
  <c r="AJ197" i="5"/>
  <c r="AK197" i="5"/>
  <c r="AL197" i="5"/>
  <c r="AM197" i="5"/>
  <c r="AN197" i="5"/>
  <c r="AO197" i="5"/>
  <c r="AP197" i="5"/>
  <c r="AQ197" i="5"/>
  <c r="AR197" i="5"/>
  <c r="AS197" i="5"/>
  <c r="I198" i="5"/>
  <c r="K198" i="5" s="1"/>
  <c r="L198" i="5"/>
  <c r="N198" i="5"/>
  <c r="Z198" i="5"/>
  <c r="AA198" i="5"/>
  <c r="AB198" i="5"/>
  <c r="AC198" i="5"/>
  <c r="AD198" i="5"/>
  <c r="AE198" i="5"/>
  <c r="AF198" i="5"/>
  <c r="AG198" i="5"/>
  <c r="AH198" i="5"/>
  <c r="AI198" i="5"/>
  <c r="AJ198" i="5"/>
  <c r="AK198" i="5"/>
  <c r="AL198" i="5"/>
  <c r="AM198" i="5"/>
  <c r="AN198" i="5"/>
  <c r="AO198" i="5"/>
  <c r="AP198" i="5"/>
  <c r="AQ198" i="5"/>
  <c r="AR198" i="5"/>
  <c r="AS198" i="5"/>
  <c r="I199" i="5"/>
  <c r="K199" i="5" s="1"/>
  <c r="L199" i="5"/>
  <c r="N199" i="5"/>
  <c r="Z199" i="5"/>
  <c r="AA199" i="5"/>
  <c r="AB199" i="5"/>
  <c r="AC199" i="5"/>
  <c r="AD199" i="5"/>
  <c r="AE199" i="5"/>
  <c r="AF199" i="5"/>
  <c r="AG199" i="5"/>
  <c r="AH199" i="5"/>
  <c r="AI199" i="5"/>
  <c r="AJ199" i="5"/>
  <c r="AK199" i="5"/>
  <c r="AL199" i="5"/>
  <c r="AM199" i="5"/>
  <c r="AN199" i="5"/>
  <c r="AO199" i="5"/>
  <c r="AP199" i="5"/>
  <c r="AQ199" i="5"/>
  <c r="AR199" i="5"/>
  <c r="AS199" i="5"/>
  <c r="I200" i="5"/>
  <c r="K200" i="5" s="1"/>
  <c r="L200" i="5"/>
  <c r="N200" i="5"/>
  <c r="Z200" i="5"/>
  <c r="AA200" i="5"/>
  <c r="AB200" i="5"/>
  <c r="AC200" i="5"/>
  <c r="AD200" i="5"/>
  <c r="AE200" i="5"/>
  <c r="AF200" i="5"/>
  <c r="AG200" i="5"/>
  <c r="AH200" i="5"/>
  <c r="AI200" i="5"/>
  <c r="AJ200" i="5"/>
  <c r="AK200" i="5"/>
  <c r="AL200" i="5"/>
  <c r="AM200" i="5"/>
  <c r="AN200" i="5"/>
  <c r="AO200" i="5"/>
  <c r="AP200" i="5"/>
  <c r="AQ200" i="5"/>
  <c r="AR200" i="5"/>
  <c r="AS200" i="5"/>
  <c r="I201" i="5"/>
  <c r="K201" i="5" s="1"/>
  <c r="L201" i="5"/>
  <c r="N201" i="5"/>
  <c r="Z201" i="5"/>
  <c r="AA201" i="5"/>
  <c r="AB201" i="5"/>
  <c r="AC201" i="5"/>
  <c r="AD201" i="5"/>
  <c r="AE201" i="5"/>
  <c r="AF201" i="5"/>
  <c r="AG201" i="5"/>
  <c r="AH201" i="5"/>
  <c r="AI201" i="5"/>
  <c r="AJ201" i="5"/>
  <c r="AK201" i="5"/>
  <c r="AL201" i="5"/>
  <c r="AM201" i="5"/>
  <c r="AN201" i="5"/>
  <c r="AO201" i="5"/>
  <c r="AP201" i="5"/>
  <c r="AQ201" i="5"/>
  <c r="AR201" i="5"/>
  <c r="AS201" i="5"/>
  <c r="I202" i="5"/>
  <c r="K202" i="5" s="1"/>
  <c r="L202" i="5"/>
  <c r="N202" i="5"/>
  <c r="Z202" i="5"/>
  <c r="AA202" i="5"/>
  <c r="AB202" i="5"/>
  <c r="AC202" i="5"/>
  <c r="AD202" i="5"/>
  <c r="AE202" i="5"/>
  <c r="AF202" i="5"/>
  <c r="AG202" i="5"/>
  <c r="AH202" i="5"/>
  <c r="AI202" i="5"/>
  <c r="AJ202" i="5"/>
  <c r="AK202" i="5"/>
  <c r="AL202" i="5"/>
  <c r="AM202" i="5"/>
  <c r="AN202" i="5"/>
  <c r="AO202" i="5"/>
  <c r="AP202" i="5"/>
  <c r="AQ202" i="5"/>
  <c r="AR202" i="5"/>
  <c r="AS202" i="5"/>
  <c r="I203" i="5"/>
  <c r="K203" i="5" s="1"/>
  <c r="L203" i="5"/>
  <c r="N203" i="5"/>
  <c r="Z203" i="5"/>
  <c r="AA203" i="5"/>
  <c r="AB203" i="5"/>
  <c r="AC203" i="5"/>
  <c r="AD203" i="5"/>
  <c r="AE203" i="5"/>
  <c r="AF203" i="5"/>
  <c r="AG203" i="5"/>
  <c r="AH203" i="5"/>
  <c r="AI203" i="5"/>
  <c r="AJ203" i="5"/>
  <c r="AK203" i="5"/>
  <c r="AL203" i="5"/>
  <c r="AM203" i="5"/>
  <c r="AN203" i="5"/>
  <c r="AO203" i="5"/>
  <c r="AP203" i="5"/>
  <c r="AQ203" i="5"/>
  <c r="AR203" i="5"/>
  <c r="AS203" i="5"/>
  <c r="B148" i="5" l="1"/>
  <c r="B144" i="5"/>
  <c r="B140" i="5"/>
  <c r="B192" i="5"/>
  <c r="B188" i="5"/>
  <c r="B112" i="5"/>
  <c r="B164" i="5"/>
  <c r="B63" i="5"/>
  <c r="B59" i="5"/>
  <c r="B51" i="5"/>
  <c r="B47" i="5"/>
  <c r="B43" i="5"/>
  <c r="B26" i="5"/>
  <c r="B147" i="5"/>
  <c r="B131" i="5"/>
  <c r="B196" i="5"/>
  <c r="B179" i="5"/>
  <c r="B178" i="5"/>
  <c r="B177" i="5"/>
  <c r="B176" i="5"/>
  <c r="B172" i="5"/>
  <c r="B132" i="5"/>
  <c r="B110" i="5"/>
  <c r="B146" i="5"/>
  <c r="B145" i="5"/>
  <c r="B195" i="5"/>
  <c r="B194" i="5"/>
  <c r="B193" i="5"/>
  <c r="B180" i="5"/>
  <c r="B163" i="5"/>
  <c r="B162" i="5"/>
  <c r="B161" i="5"/>
  <c r="B160" i="5"/>
  <c r="B156" i="5"/>
  <c r="B80" i="5"/>
  <c r="B36" i="5"/>
  <c r="B128" i="5"/>
  <c r="B96" i="5"/>
  <c r="B64" i="5"/>
  <c r="B60" i="5"/>
  <c r="B27" i="5"/>
  <c r="B23" i="5"/>
  <c r="B200" i="5"/>
  <c r="B184" i="5"/>
  <c r="B168" i="5"/>
  <c r="B152" i="5"/>
  <c r="B136" i="5"/>
  <c r="B121" i="5"/>
  <c r="B77" i="5"/>
  <c r="B73" i="5"/>
  <c r="B61" i="5"/>
  <c r="B55" i="5"/>
  <c r="B181" i="5"/>
  <c r="B165" i="5"/>
  <c r="B149" i="5"/>
  <c r="B133" i="5"/>
  <c r="B197" i="5"/>
  <c r="B201" i="5"/>
  <c r="B185" i="5"/>
  <c r="B169" i="5"/>
  <c r="B153" i="5"/>
  <c r="B137" i="5"/>
  <c r="B93" i="5"/>
  <c r="B89" i="5"/>
  <c r="B78" i="5"/>
  <c r="B52" i="5"/>
  <c r="B48" i="5"/>
  <c r="B190" i="5"/>
  <c r="B189" i="5"/>
  <c r="B174" i="5"/>
  <c r="B173" i="5"/>
  <c r="B158" i="5"/>
  <c r="B157" i="5"/>
  <c r="B142" i="5"/>
  <c r="B141" i="5"/>
  <c r="B126" i="5"/>
  <c r="B125" i="5"/>
  <c r="B109" i="5"/>
  <c r="B105" i="5"/>
  <c r="B94" i="5"/>
  <c r="B41" i="5"/>
  <c r="B40" i="5"/>
  <c r="B29" i="5"/>
  <c r="B28" i="5"/>
  <c r="B130" i="5"/>
  <c r="B129" i="5"/>
  <c r="B120" i="5"/>
  <c r="B115" i="5"/>
  <c r="B114" i="5"/>
  <c r="B113" i="5"/>
  <c r="B104" i="5"/>
  <c r="B99" i="5"/>
  <c r="B98" i="5"/>
  <c r="B97" i="5"/>
  <c r="B88" i="5"/>
  <c r="B83" i="5"/>
  <c r="B82" i="5"/>
  <c r="B81" i="5"/>
  <c r="B72" i="5"/>
  <c r="B66" i="5"/>
  <c r="B57" i="5"/>
  <c r="B56" i="5"/>
  <c r="B45" i="5"/>
  <c r="B44" i="5"/>
  <c r="B30" i="5"/>
  <c r="B20" i="5"/>
  <c r="B19" i="5"/>
  <c r="B124" i="5"/>
  <c r="B117" i="5"/>
  <c r="B116" i="5"/>
  <c r="B108" i="5"/>
  <c r="B101" i="5"/>
  <c r="B100" i="5"/>
  <c r="B92" i="5"/>
  <c r="B85" i="5"/>
  <c r="B84" i="5"/>
  <c r="B76" i="5"/>
  <c r="B69" i="5"/>
  <c r="B68" i="5"/>
  <c r="B67" i="5"/>
  <c r="B58" i="5"/>
  <c r="B39" i="5"/>
  <c r="B32" i="5"/>
  <c r="B31" i="5"/>
  <c r="B25" i="5"/>
  <c r="B24" i="5"/>
  <c r="B175" i="5"/>
  <c r="B143" i="5"/>
  <c r="B111" i="5"/>
  <c r="B95" i="5"/>
  <c r="B79" i="5"/>
  <c r="B187" i="5"/>
  <c r="B186" i="5"/>
  <c r="B171" i="5"/>
  <c r="B170" i="5"/>
  <c r="B155" i="5"/>
  <c r="B154" i="5"/>
  <c r="B139" i="5"/>
  <c r="B138" i="5"/>
  <c r="B123" i="5"/>
  <c r="B122" i="5"/>
  <c r="B107" i="5"/>
  <c r="B106" i="5"/>
  <c r="B91" i="5"/>
  <c r="B90" i="5"/>
  <c r="B75" i="5"/>
  <c r="B74" i="5"/>
  <c r="B46" i="5"/>
  <c r="B42" i="5"/>
  <c r="B35" i="5"/>
  <c r="B191" i="5"/>
  <c r="B159" i="5"/>
  <c r="B127" i="5"/>
  <c r="B203" i="5"/>
  <c r="B202" i="5"/>
  <c r="B199" i="5"/>
  <c r="B198" i="5"/>
  <c r="B183" i="5"/>
  <c r="B182" i="5"/>
  <c r="B167" i="5"/>
  <c r="B166" i="5"/>
  <c r="B151" i="5"/>
  <c r="B150" i="5"/>
  <c r="B135" i="5"/>
  <c r="B134" i="5"/>
  <c r="B119" i="5"/>
  <c r="B118" i="5"/>
  <c r="B103" i="5"/>
  <c r="B102" i="5"/>
  <c r="B87" i="5"/>
  <c r="B86" i="5"/>
  <c r="B71" i="5"/>
  <c r="B70" i="5"/>
  <c r="B62" i="5"/>
  <c r="B65" i="5"/>
  <c r="B54" i="5"/>
  <c r="B53" i="5"/>
  <c r="B38" i="5"/>
  <c r="B37" i="5"/>
  <c r="B22" i="5"/>
  <c r="B21" i="5"/>
  <c r="B50" i="5"/>
  <c r="B49" i="5"/>
  <c r="B34" i="5"/>
  <c r="B33" i="5"/>
  <c r="A12" i="5" l="1"/>
  <c r="E12" i="5"/>
  <c r="G12" i="5"/>
  <c r="L12" i="5"/>
  <c r="M12" i="5"/>
  <c r="O12" i="5"/>
  <c r="P12" i="5"/>
  <c r="Q12" i="5"/>
  <c r="AS12" i="5" s="1"/>
  <c r="R12" i="5"/>
  <c r="S12" i="5"/>
  <c r="AE12" i="5" s="1"/>
  <c r="T12" i="5"/>
  <c r="U12" i="5"/>
  <c r="AP12" i="5" s="1"/>
  <c r="V12" i="5"/>
  <c r="W12" i="5"/>
  <c r="X12" i="5"/>
  <c r="Y12" i="5"/>
  <c r="AF12" i="5" l="1"/>
  <c r="AH12" i="5"/>
  <c r="AA12" i="5"/>
  <c r="AC12" i="5"/>
  <c r="AG12" i="5"/>
  <c r="AN12" i="5"/>
  <c r="AI12" i="5"/>
  <c r="AL12" i="5"/>
  <c r="AJ12" i="5"/>
  <c r="AK12" i="5"/>
  <c r="AR12" i="5"/>
  <c r="AB12" i="5"/>
  <c r="AD12" i="5"/>
  <c r="Z12" i="5"/>
  <c r="AQ12" i="5"/>
  <c r="AM12" i="5"/>
  <c r="AO12" i="5"/>
  <c r="AY40" i="10" l="1"/>
  <c r="BD40" i="10"/>
  <c r="BE40" i="10"/>
  <c r="AV41" i="10"/>
  <c r="AW41" i="10"/>
  <c r="BD41" i="10"/>
  <c r="BE41" i="10"/>
  <c r="AV42" i="10"/>
  <c r="AW42" i="10"/>
  <c r="BD42" i="10"/>
  <c r="BE42" i="10"/>
  <c r="AU41" i="10"/>
  <c r="AU42" i="10"/>
  <c r="AU40" i="10"/>
  <c r="BD38" i="10"/>
  <c r="BE38" i="10"/>
  <c r="AY37" i="10"/>
  <c r="BA37" i="10"/>
  <c r="AU37" i="10"/>
  <c r="AY34" i="10"/>
  <c r="AZ34" i="10"/>
  <c r="BA34" i="10"/>
  <c r="AX32" i="10"/>
  <c r="AY32" i="10"/>
  <c r="BA32" i="10"/>
  <c r="BB32" i="10"/>
  <c r="BD32" i="10"/>
  <c r="BE32" i="10"/>
  <c r="AY25" i="10"/>
  <c r="BD25" i="10"/>
  <c r="BE25" i="10"/>
  <c r="AV26" i="10"/>
  <c r="AW26" i="10"/>
  <c r="BD26" i="10"/>
  <c r="BE26" i="10"/>
  <c r="AV27" i="10"/>
  <c r="AW27" i="10"/>
  <c r="BD27" i="10"/>
  <c r="BE27" i="10"/>
  <c r="AU26" i="10"/>
  <c r="AU27" i="10"/>
  <c r="AU25" i="10"/>
  <c r="AV21" i="10"/>
  <c r="AZ21" i="10"/>
  <c r="BD21" i="10"/>
  <c r="BE21" i="10"/>
  <c r="BD22" i="10"/>
  <c r="BE22" i="10"/>
  <c r="BD23" i="10"/>
  <c r="BE23" i="10"/>
  <c r="AY20" i="10"/>
  <c r="BA20" i="10"/>
  <c r="AU20" i="10"/>
  <c r="AV19" i="10"/>
  <c r="AZ19" i="10"/>
  <c r="BA19" i="10"/>
  <c r="AX18" i="10"/>
  <c r="AY18" i="10"/>
  <c r="AZ18" i="10"/>
  <c r="BA18" i="10"/>
  <c r="BB18" i="10"/>
  <c r="BD18" i="10"/>
  <c r="BE18" i="10"/>
  <c r="Y14" i="10" l="1"/>
  <c r="U14" i="10"/>
  <c r="U12" i="10"/>
  <c r="M5" i="10"/>
  <c r="AD5" i="10" s="1"/>
  <c r="AK5" i="10" s="1"/>
  <c r="N5" i="10"/>
  <c r="AE5" i="10" s="1"/>
  <c r="P5" i="10"/>
  <c r="AG5" i="10" s="1"/>
  <c r="M6" i="10"/>
  <c r="AD6" i="10" s="1"/>
  <c r="N6" i="10"/>
  <c r="AE6" i="10" s="1"/>
  <c r="AL6" i="10" s="1"/>
  <c r="P6" i="10"/>
  <c r="AG6" i="10" s="1"/>
  <c r="AN6" i="10" s="1"/>
  <c r="AZ7" i="10" s="1"/>
  <c r="R6" i="10"/>
  <c r="AI6" i="10" s="1"/>
  <c r="M7" i="10"/>
  <c r="AD7" i="10" s="1"/>
  <c r="N7" i="10"/>
  <c r="AE7" i="10" s="1"/>
  <c r="AL7" i="10" s="1"/>
  <c r="O7" i="10"/>
  <c r="AF7" i="10" s="1"/>
  <c r="AM7" i="10" s="1"/>
  <c r="AX36" i="10" s="1"/>
  <c r="P7" i="10"/>
  <c r="AG7" i="10" s="1"/>
  <c r="AN7" i="10" s="1"/>
  <c r="AZ36" i="10" s="1"/>
  <c r="R7" i="10"/>
  <c r="AI7" i="10" s="1"/>
  <c r="AP7" i="10" s="1"/>
  <c r="S7" i="10"/>
  <c r="AJ7" i="10" s="1"/>
  <c r="AQ7" i="10" s="1"/>
  <c r="M8" i="10"/>
  <c r="AD8" i="10" s="1"/>
  <c r="N8" i="10"/>
  <c r="AE8" i="10" s="1"/>
  <c r="AL8" i="10" s="1"/>
  <c r="O8" i="10"/>
  <c r="AF8" i="10" s="1"/>
  <c r="AM8" i="10" s="1"/>
  <c r="P8" i="10"/>
  <c r="AG8" i="10" s="1"/>
  <c r="AN8" i="10" s="1"/>
  <c r="R8" i="10"/>
  <c r="AI8" i="10" s="1"/>
  <c r="AP8" i="10" s="1"/>
  <c r="M9" i="10"/>
  <c r="AD9" i="10" s="1"/>
  <c r="N9" i="10"/>
  <c r="AE9" i="10" s="1"/>
  <c r="AL9" i="10" s="1"/>
  <c r="O9" i="10"/>
  <c r="AF9" i="10" s="1"/>
  <c r="AM9" i="10" s="1"/>
  <c r="AX6" i="10" s="1"/>
  <c r="AX34" i="10" s="1"/>
  <c r="P9" i="10"/>
  <c r="AG9" i="10" s="1"/>
  <c r="AN9" i="10" s="1"/>
  <c r="S9" i="10"/>
  <c r="AJ9" i="10" s="1"/>
  <c r="AQ9" i="10" s="1"/>
  <c r="M10" i="10"/>
  <c r="AD10" i="10" s="1"/>
  <c r="N10" i="10"/>
  <c r="AE10" i="10" s="1"/>
  <c r="AL10" i="10" s="1"/>
  <c r="O10" i="10"/>
  <c r="AF10" i="10" s="1"/>
  <c r="AM10" i="10" s="1"/>
  <c r="P10" i="10"/>
  <c r="AG10" i="10" s="1"/>
  <c r="AN10" i="10" s="1"/>
  <c r="R10" i="10"/>
  <c r="AI10" i="10" s="1"/>
  <c r="AP10" i="10" s="1"/>
  <c r="S10" i="10"/>
  <c r="AJ10" i="10" s="1"/>
  <c r="AQ10" i="10" s="1"/>
  <c r="M11" i="10"/>
  <c r="AD11" i="10" s="1"/>
  <c r="N11" i="10"/>
  <c r="AE11" i="10" s="1"/>
  <c r="AL11" i="10" s="1"/>
  <c r="O11" i="10"/>
  <c r="AF11" i="10" s="1"/>
  <c r="AM11" i="10" s="1"/>
  <c r="AX24" i="10" s="1"/>
  <c r="P11" i="10"/>
  <c r="AG11" i="10" s="1"/>
  <c r="AN11" i="10" s="1"/>
  <c r="M12" i="10"/>
  <c r="AD12" i="10" s="1"/>
  <c r="N12" i="10"/>
  <c r="AE12" i="10" s="1"/>
  <c r="AL12" i="10" s="1"/>
  <c r="O12" i="10"/>
  <c r="AF12" i="10" s="1"/>
  <c r="AM12" i="10" s="1"/>
  <c r="AX12" i="10" s="1"/>
  <c r="AX25" i="10" s="1"/>
  <c r="AX40" i="10" s="1"/>
  <c r="P12" i="10"/>
  <c r="AG12" i="10" s="1"/>
  <c r="AN12" i="10" s="1"/>
  <c r="R12" i="10"/>
  <c r="AI12" i="10" s="1"/>
  <c r="AP12" i="10" s="1"/>
  <c r="S12" i="10"/>
  <c r="AJ12" i="10" s="1"/>
  <c r="AQ12" i="10" s="1"/>
  <c r="M13" i="10"/>
  <c r="AD13" i="10" s="1"/>
  <c r="N13" i="10"/>
  <c r="AE13" i="10" s="1"/>
  <c r="AL13" i="10" s="1"/>
  <c r="O13" i="10"/>
  <c r="AF13" i="10" s="1"/>
  <c r="AM13" i="10" s="1"/>
  <c r="AX8" i="10" s="1"/>
  <c r="AX21" i="10" s="1"/>
  <c r="P13" i="10"/>
  <c r="AG13" i="10" s="1"/>
  <c r="AN13" i="10" s="1"/>
  <c r="R13" i="10"/>
  <c r="AI13" i="10" s="1"/>
  <c r="AP13" i="10" s="1"/>
  <c r="S13" i="10"/>
  <c r="AJ13" i="10" s="1"/>
  <c r="AQ13" i="10" s="1"/>
  <c r="M14" i="10"/>
  <c r="AD14" i="10" s="1"/>
  <c r="N14" i="10"/>
  <c r="AE14" i="10" s="1"/>
  <c r="AL14" i="10" s="1"/>
  <c r="P14" i="10"/>
  <c r="AG14" i="10" s="1"/>
  <c r="AN14" i="10" s="1"/>
  <c r="S14" i="10"/>
  <c r="AJ14" i="10" s="1"/>
  <c r="AQ14" i="10" s="1"/>
  <c r="M15" i="10"/>
  <c r="AD15" i="10" s="1"/>
  <c r="AK15" i="10" s="1"/>
  <c r="N15" i="10"/>
  <c r="AE15" i="10" s="1"/>
  <c r="AL15" i="10" s="1"/>
  <c r="P15" i="10"/>
  <c r="AG15" i="10" s="1"/>
  <c r="AN15" i="10" s="1"/>
  <c r="S15" i="10"/>
  <c r="AJ15" i="10" s="1"/>
  <c r="M16" i="10"/>
  <c r="AD16" i="10" s="1"/>
  <c r="AK16" i="10" s="1"/>
  <c r="N16" i="10"/>
  <c r="AE16" i="10" s="1"/>
  <c r="AL16" i="10" s="1"/>
  <c r="P16" i="10"/>
  <c r="AG16" i="10" s="1"/>
  <c r="AN16" i="10" s="1"/>
  <c r="M17" i="10"/>
  <c r="AD17" i="10" s="1"/>
  <c r="AK17" i="10" s="1"/>
  <c r="N17" i="10"/>
  <c r="AE17" i="10" s="1"/>
  <c r="AL17" i="10" s="1"/>
  <c r="P17" i="10"/>
  <c r="AG17" i="10" s="1"/>
  <c r="AN17" i="10" s="1"/>
  <c r="M18" i="10"/>
  <c r="AD18" i="10" s="1"/>
  <c r="AK18" i="10" s="1"/>
  <c r="N18" i="10"/>
  <c r="AE18" i="10" s="1"/>
  <c r="AL18" i="10" s="1"/>
  <c r="P18" i="10"/>
  <c r="AG18" i="10" s="1"/>
  <c r="AN18" i="10" s="1"/>
  <c r="N4" i="10"/>
  <c r="AE4" i="10" s="1"/>
  <c r="P4" i="10"/>
  <c r="AG4" i="10" s="1"/>
  <c r="M4" i="10"/>
  <c r="J5" i="10"/>
  <c r="J6" i="10"/>
  <c r="J7" i="10"/>
  <c r="J8" i="10"/>
  <c r="J9" i="10"/>
  <c r="J10" i="10"/>
  <c r="J11" i="10"/>
  <c r="J12" i="10"/>
  <c r="J13" i="10"/>
  <c r="J14" i="10"/>
  <c r="J15" i="10"/>
  <c r="J16" i="10"/>
  <c r="J17" i="10"/>
  <c r="J18" i="10"/>
  <c r="J4" i="10"/>
  <c r="I5" i="10"/>
  <c r="I6" i="10"/>
  <c r="AC6" i="10" s="1"/>
  <c r="I7" i="10"/>
  <c r="AC7" i="10" s="1"/>
  <c r="I8" i="10"/>
  <c r="I9" i="10"/>
  <c r="I10" i="10"/>
  <c r="AC10" i="10" s="1"/>
  <c r="I11" i="10"/>
  <c r="AC11" i="10" s="1"/>
  <c r="I12" i="10"/>
  <c r="I13" i="10"/>
  <c r="I14" i="10"/>
  <c r="I15" i="10"/>
  <c r="AC15" i="10" s="1"/>
  <c r="I16" i="10"/>
  <c r="AC16" i="10" s="1"/>
  <c r="I17" i="10"/>
  <c r="AC17" i="10" s="1"/>
  <c r="I18" i="10"/>
  <c r="I4" i="10"/>
  <c r="H5" i="10"/>
  <c r="H6" i="10"/>
  <c r="H7" i="10"/>
  <c r="H8" i="10"/>
  <c r="H9" i="10"/>
  <c r="H10" i="10"/>
  <c r="H11" i="10"/>
  <c r="H12" i="10"/>
  <c r="H13" i="10"/>
  <c r="H14" i="10"/>
  <c r="H15" i="10"/>
  <c r="H16" i="10"/>
  <c r="H17" i="10"/>
  <c r="H18" i="10"/>
  <c r="H4" i="10"/>
  <c r="G5" i="10"/>
  <c r="G6" i="10"/>
  <c r="G7" i="10"/>
  <c r="G8" i="10"/>
  <c r="G9" i="10"/>
  <c r="G10" i="10"/>
  <c r="G11" i="10"/>
  <c r="G12" i="10"/>
  <c r="G13" i="10"/>
  <c r="G14" i="10"/>
  <c r="G15" i="10"/>
  <c r="G16" i="10"/>
  <c r="G17" i="10"/>
  <c r="G18" i="10"/>
  <c r="G4" i="10"/>
  <c r="D5" i="10"/>
  <c r="AT5" i="10" s="1"/>
  <c r="AT19" i="10" s="1"/>
  <c r="AT33" i="10" s="1"/>
  <c r="E5" i="10"/>
  <c r="AA5" i="10" s="1"/>
  <c r="D6" i="10"/>
  <c r="AT7" i="10" s="1"/>
  <c r="AT20" i="10" s="1"/>
  <c r="AT37" i="10" s="1"/>
  <c r="E6" i="10"/>
  <c r="AA6" i="10" s="1"/>
  <c r="D7" i="10"/>
  <c r="AT36" i="10" s="1"/>
  <c r="E7" i="10"/>
  <c r="AA7" i="10" s="1"/>
  <c r="D8" i="10"/>
  <c r="E8" i="10"/>
  <c r="AA8" i="10" s="1"/>
  <c r="D9" i="10"/>
  <c r="AT6" i="10" s="1"/>
  <c r="E9" i="10"/>
  <c r="AA9" i="10" s="1"/>
  <c r="D10" i="10"/>
  <c r="AT10" i="10" s="1"/>
  <c r="AT23" i="10" s="1"/>
  <c r="E10" i="10"/>
  <c r="AA10" i="10" s="1"/>
  <c r="D11" i="10"/>
  <c r="AT24" i="10" s="1"/>
  <c r="E11" i="10"/>
  <c r="AA11" i="10" s="1"/>
  <c r="D12" i="10"/>
  <c r="AT12" i="10" s="1"/>
  <c r="AT25" i="10" s="1"/>
  <c r="AT40" i="10" s="1"/>
  <c r="E12" i="10"/>
  <c r="AA12" i="10" s="1"/>
  <c r="D13" i="10"/>
  <c r="AT8" i="10" s="1"/>
  <c r="AT21" i="10" s="1"/>
  <c r="E13" i="10"/>
  <c r="AA13" i="10" s="1"/>
  <c r="D14" i="10"/>
  <c r="E14" i="10"/>
  <c r="AA14" i="10" s="1"/>
  <c r="D15" i="10"/>
  <c r="AT9" i="10" s="1"/>
  <c r="AT22" i="10" s="1"/>
  <c r="AT38" i="10" s="1"/>
  <c r="E15" i="10"/>
  <c r="D16" i="10"/>
  <c r="AT11" i="10" s="1"/>
  <c r="AT28" i="10" s="1"/>
  <c r="E16" i="10"/>
  <c r="AA16" i="10" s="1"/>
  <c r="D17" i="10"/>
  <c r="AT13" i="10" s="1"/>
  <c r="AT26" i="10" s="1"/>
  <c r="E17" i="10"/>
  <c r="AA17" i="10" s="1"/>
  <c r="D18" i="10"/>
  <c r="AT14" i="10" s="1"/>
  <c r="AT27" i="10" s="1"/>
  <c r="AT42" i="10" s="1"/>
  <c r="E18" i="10"/>
  <c r="AA18" i="10" s="1"/>
  <c r="E4" i="10"/>
  <c r="AA4" i="10" s="1"/>
  <c r="D4" i="10"/>
  <c r="A5" i="10"/>
  <c r="B5" i="10"/>
  <c r="A6" i="10"/>
  <c r="B6" i="10"/>
  <c r="A7" i="10"/>
  <c r="B7" i="10"/>
  <c r="A8" i="10"/>
  <c r="B8" i="10"/>
  <c r="A9" i="10"/>
  <c r="B9" i="10"/>
  <c r="A10" i="10"/>
  <c r="B10" i="10"/>
  <c r="A11" i="10"/>
  <c r="B11" i="10"/>
  <c r="A12" i="10"/>
  <c r="B12" i="10"/>
  <c r="A13" i="10"/>
  <c r="B13" i="10"/>
  <c r="A14" i="10"/>
  <c r="B14" i="10"/>
  <c r="A15" i="10"/>
  <c r="B15" i="10"/>
  <c r="A16" i="10"/>
  <c r="B16" i="10"/>
  <c r="A17" i="10"/>
  <c r="B17" i="10"/>
  <c r="A18" i="10"/>
  <c r="B18" i="10"/>
  <c r="B4" i="10"/>
  <c r="A4" i="10"/>
  <c r="U18" i="10"/>
  <c r="U13" i="10"/>
  <c r="Y11" i="10"/>
  <c r="U11" i="10"/>
  <c r="Y10" i="10"/>
  <c r="Y9" i="10"/>
  <c r="Y8" i="10"/>
  <c r="Y7" i="10"/>
  <c r="BL6" i="10"/>
  <c r="BK6" i="10"/>
  <c r="Y6" i="10"/>
  <c r="BL5" i="10"/>
  <c r="BK5" i="10"/>
  <c r="Y5" i="10"/>
  <c r="BL4" i="10"/>
  <c r="BK4" i="10"/>
  <c r="Y4" i="10"/>
  <c r="X4" i="10"/>
  <c r="BL3" i="10"/>
  <c r="BK3" i="10"/>
  <c r="BL2" i="10"/>
  <c r="BK2" i="10"/>
  <c r="D2" i="10"/>
  <c r="Z1" i="10"/>
  <c r="AT39" i="10" l="1"/>
  <c r="AT41" i="10"/>
  <c r="BB8" i="10"/>
  <c r="BB21" i="10" s="1"/>
  <c r="AT35" i="10"/>
  <c r="AV12" i="10"/>
  <c r="AV25" i="10" s="1"/>
  <c r="AV40" i="10" s="1"/>
  <c r="AW12" i="10"/>
  <c r="AW25" i="10" s="1"/>
  <c r="AW40" i="10" s="1"/>
  <c r="AV36" i="10"/>
  <c r="AW36" i="10"/>
  <c r="AU35" i="10"/>
  <c r="AV35" i="10" s="1"/>
  <c r="AW10" i="10"/>
  <c r="AW23" i="10" s="1"/>
  <c r="AW35" i="10"/>
  <c r="AV10" i="10"/>
  <c r="AV23" i="10" s="1"/>
  <c r="AU10" i="10"/>
  <c r="AU23" i="10" s="1"/>
  <c r="K8" i="10"/>
  <c r="AX35" i="10"/>
  <c r="AX10" i="10"/>
  <c r="AX23" i="10" s="1"/>
  <c r="AW24" i="10"/>
  <c r="AV24" i="10"/>
  <c r="AU24" i="10"/>
  <c r="AW6" i="10"/>
  <c r="AW34" i="10" s="1"/>
  <c r="AU6" i="10"/>
  <c r="AT34" i="10"/>
  <c r="K17" i="10"/>
  <c r="K16" i="10"/>
  <c r="K13" i="10"/>
  <c r="K12" i="10"/>
  <c r="K9" i="10"/>
  <c r="K5" i="10"/>
  <c r="BB12" i="10"/>
  <c r="BB25" i="10" s="1"/>
  <c r="BB40" i="10" s="1"/>
  <c r="BC12" i="10"/>
  <c r="BC25" i="10" s="1"/>
  <c r="BC40" i="10" s="1"/>
  <c r="BC6" i="10"/>
  <c r="BC34" i="10" s="1"/>
  <c r="BC36" i="10"/>
  <c r="BB36" i="10"/>
  <c r="BB10" i="10"/>
  <c r="BB23" i="10" s="1"/>
  <c r="BC10" i="10"/>
  <c r="BC23" i="10" s="1"/>
  <c r="BC35" i="10"/>
  <c r="BB35" i="10"/>
  <c r="AU39" i="10"/>
  <c r="AW39" i="10"/>
  <c r="AV39" i="10"/>
  <c r="BC8" i="10"/>
  <c r="BC21" i="10" s="1"/>
  <c r="AW8" i="10"/>
  <c r="AW21" i="10" s="1"/>
  <c r="AU8" i="10"/>
  <c r="AU21" i="10" s="1"/>
  <c r="AW7" i="10"/>
  <c r="AV7" i="10"/>
  <c r="AV11" i="10"/>
  <c r="AU11" i="10"/>
  <c r="AW11" i="10"/>
  <c r="AV9" i="10"/>
  <c r="AV22" i="10" s="1"/>
  <c r="AV38" i="10" s="1"/>
  <c r="AU9" i="10"/>
  <c r="AU22" i="10" s="1"/>
  <c r="AU38" i="10" s="1"/>
  <c r="AW9" i="10"/>
  <c r="AW22" i="10" s="1"/>
  <c r="AW38" i="10" s="1"/>
  <c r="AZ20" i="10"/>
  <c r="AZ37" i="10"/>
  <c r="AL5" i="10"/>
  <c r="AQ15" i="10"/>
  <c r="BC9" i="10" s="1"/>
  <c r="BC22" i="10" s="1"/>
  <c r="BC38" i="10" s="1"/>
  <c r="AP6" i="10"/>
  <c r="K18" i="10"/>
  <c r="L14" i="10"/>
  <c r="L10" i="10"/>
  <c r="L6" i="10"/>
  <c r="AN4" i="10"/>
  <c r="K4" i="10"/>
  <c r="AL4" i="10"/>
  <c r="AK6" i="10"/>
  <c r="AD4" i="10"/>
  <c r="AK4" i="10" s="1"/>
  <c r="AN5" i="10"/>
  <c r="K15" i="10"/>
  <c r="K11" i="10"/>
  <c r="K7" i="10"/>
  <c r="L16" i="10"/>
  <c r="L12" i="10"/>
  <c r="L8" i="10"/>
  <c r="K14" i="10"/>
  <c r="K10" i="10"/>
  <c r="K6" i="10"/>
  <c r="L18" i="10"/>
  <c r="L17" i="10"/>
  <c r="L15" i="10"/>
  <c r="L13" i="10"/>
  <c r="L11" i="10"/>
  <c r="L9" i="10"/>
  <c r="L7" i="10"/>
  <c r="L5" i="10"/>
  <c r="L4" i="10"/>
  <c r="AC4" i="10"/>
  <c r="AC5" i="10"/>
  <c r="AT18" i="10"/>
  <c r="AT32" i="10" s="1"/>
  <c r="AC8" i="10"/>
  <c r="AC9" i="10"/>
  <c r="AT4" i="10"/>
  <c r="AC12" i="10"/>
  <c r="AC13" i="10"/>
  <c r="AC14" i="10"/>
  <c r="AA15" i="10"/>
  <c r="AC18" i="10"/>
  <c r="AV6" i="10" l="1"/>
  <c r="AV34" i="10" s="1"/>
  <c r="AU34" i="10"/>
  <c r="AW20" i="10"/>
  <c r="AW37" i="10"/>
  <c r="AV37" i="10"/>
  <c r="AV20" i="10"/>
  <c r="AY33" i="10"/>
  <c r="AY5" i="10"/>
  <c r="AY19" i="10" s="1"/>
  <c r="AW33" i="10"/>
  <c r="AU33" i="10"/>
  <c r="AW5" i="10"/>
  <c r="AW19" i="10" s="1"/>
  <c r="AU5" i="10"/>
  <c r="AU19" i="10" s="1"/>
  <c r="AU4" i="10"/>
  <c r="AU18" i="10" s="1"/>
  <c r="AU32" i="10" s="1"/>
  <c r="AW4" i="10"/>
  <c r="AW18" i="10" s="1"/>
  <c r="AW32" i="10" s="1"/>
  <c r="AV4" i="10" l="1"/>
  <c r="AV18" i="10" s="1"/>
  <c r="AV32" i="10" s="1"/>
  <c r="AV30" i="10" s="1"/>
  <c r="AW30" i="10"/>
  <c r="AU30" i="10"/>
  <c r="AW2" i="10"/>
  <c r="AW16" i="10"/>
  <c r="AV16" i="10"/>
  <c r="AV2" i="10"/>
  <c r="AU2" i="10"/>
  <c r="AU16" i="10"/>
  <c r="S18" i="10" l="1"/>
  <c r="AJ18" i="10" s="1"/>
  <c r="AQ18" i="10" s="1"/>
  <c r="Q18" i="10"/>
  <c r="AH18" i="10" s="1"/>
  <c r="AO18" i="10" s="1"/>
  <c r="Q17" i="10"/>
  <c r="AH17" i="10" s="1"/>
  <c r="AO17" i="10" s="1"/>
  <c r="S17" i="10"/>
  <c r="Q16" i="10"/>
  <c r="S16" i="10"/>
  <c r="AJ16" i="10" s="1"/>
  <c r="Q15" i="10"/>
  <c r="AH15" i="10" s="1"/>
  <c r="AO15" i="10" s="1"/>
  <c r="Q11" i="10"/>
  <c r="AH11" i="10" s="1"/>
  <c r="AO11" i="10" s="1"/>
  <c r="S11" i="10"/>
  <c r="AJ11" i="10" s="1"/>
  <c r="AQ11" i="10" s="1"/>
  <c r="Q14" i="10"/>
  <c r="AH14" i="10" s="1"/>
  <c r="AO14" i="10" s="1"/>
  <c r="Q13" i="10"/>
  <c r="AH13" i="10" s="1"/>
  <c r="AO13" i="10" s="1"/>
  <c r="Q12" i="10"/>
  <c r="AH12" i="10" s="1"/>
  <c r="AO12" i="10" s="1"/>
  <c r="Q9" i="10"/>
  <c r="AH9" i="10" s="1"/>
  <c r="Q7" i="10"/>
  <c r="AH7" i="10" s="1"/>
  <c r="Q10" i="10"/>
  <c r="AH10" i="10" s="1"/>
  <c r="Q8" i="10"/>
  <c r="AH8" i="10" s="1"/>
  <c r="AO8" i="10" s="1"/>
  <c r="S8" i="10"/>
  <c r="AJ8" i="10" s="1"/>
  <c r="AQ8" i="10" s="1"/>
  <c r="Q6" i="10"/>
  <c r="S6" i="10"/>
  <c r="AJ6" i="10" s="1"/>
  <c r="Q5" i="10"/>
  <c r="S5" i="10"/>
  <c r="AJ5" i="10" s="1"/>
  <c r="Q4" i="10"/>
  <c r="S4" i="10"/>
  <c r="AJ4" i="10" s="1"/>
  <c r="BC24" i="10" l="1"/>
  <c r="AZ24" i="10"/>
  <c r="AY24" i="10"/>
  <c r="AY8" i="10"/>
  <c r="AY21" i="10" s="1"/>
  <c r="BA8" i="10"/>
  <c r="BA21" i="10" s="1"/>
  <c r="AZ12" i="10"/>
  <c r="AZ25" i="10" s="1"/>
  <c r="AZ40" i="10" s="1"/>
  <c r="BA12" i="10"/>
  <c r="BA25" i="10" s="1"/>
  <c r="BA40" i="10" s="1"/>
  <c r="AO9" i="10"/>
  <c r="BE6" i="10" s="1"/>
  <c r="BE34" i="10" s="1"/>
  <c r="BD6" i="10"/>
  <c r="BD34" i="10" s="1"/>
  <c r="AO7" i="10"/>
  <c r="BE36" i="10" s="1"/>
  <c r="BD36" i="10"/>
  <c r="AZ39" i="10"/>
  <c r="AY39" i="10"/>
  <c r="AO10" i="10"/>
  <c r="BD35" i="10"/>
  <c r="AZ9" i="10"/>
  <c r="AZ22" i="10" s="1"/>
  <c r="AZ38" i="10" s="1"/>
  <c r="AY9" i="10"/>
  <c r="AY22" i="10" s="1"/>
  <c r="AY38" i="10" s="1"/>
  <c r="BC14" i="10"/>
  <c r="BC27" i="10" s="1"/>
  <c r="BC42" i="10" s="1"/>
  <c r="AJ17" i="10"/>
  <c r="AQ17" i="10" s="1"/>
  <c r="AH16" i="10"/>
  <c r="AO16" i="10" s="1"/>
  <c r="AQ4" i="10"/>
  <c r="BC4" i="10" s="1"/>
  <c r="BC18" i="10" s="1"/>
  <c r="BC32" i="10" s="1"/>
  <c r="AQ6" i="10"/>
  <c r="AH5" i="10"/>
  <c r="AH4" i="10"/>
  <c r="AO4" i="10" s="1"/>
  <c r="AH6" i="10"/>
  <c r="AQ16" i="10"/>
  <c r="AQ5" i="10"/>
  <c r="AY10" i="10" l="1"/>
  <c r="AY23" i="10" s="1"/>
  <c r="BE35" i="10"/>
  <c r="AZ10" i="10"/>
  <c r="AZ23" i="10" s="1"/>
  <c r="BA10" i="10"/>
  <c r="BA23" i="10" s="1"/>
  <c r="AO5" i="10"/>
  <c r="BD33" i="10"/>
  <c r="BD5" i="10"/>
  <c r="BD19" i="10" s="1"/>
  <c r="AO6" i="10"/>
  <c r="BE7" i="10" s="1"/>
  <c r="BD7" i="10"/>
  <c r="AZ11" i="10"/>
  <c r="AY11" i="10"/>
  <c r="BC5" i="10"/>
  <c r="BC19" i="10" s="1"/>
  <c r="BC33" i="10"/>
  <c r="BC39" i="10"/>
  <c r="BC13" i="10"/>
  <c r="BC26" i="10" s="1"/>
  <c r="BC41" i="10" s="1"/>
  <c r="BC11" i="10"/>
  <c r="BC28" i="10"/>
  <c r="BC7" i="10"/>
  <c r="BB7" i="10"/>
  <c r="AR8" i="1"/>
  <c r="W8" i="1"/>
  <c r="R8" i="1"/>
  <c r="S8" i="1"/>
  <c r="P8" i="1"/>
  <c r="N8" i="1"/>
  <c r="AK8" i="1" s="1"/>
  <c r="K8" i="1"/>
  <c r="L8" i="1"/>
  <c r="J8" i="1"/>
  <c r="AN8" i="1" l="1"/>
  <c r="AM8" i="1"/>
  <c r="AL8" i="1"/>
  <c r="AJ8" i="1"/>
  <c r="AI8" i="1"/>
  <c r="AG8" i="1"/>
  <c r="AH8" i="1"/>
  <c r="BD2" i="10"/>
  <c r="BE37" i="10"/>
  <c r="BE20" i="10"/>
  <c r="BD37" i="10"/>
  <c r="BD30" i="10" s="1"/>
  <c r="BD20" i="10"/>
  <c r="BD16" i="10" s="1"/>
  <c r="BE33" i="10"/>
  <c r="BE30" i="10" s="1"/>
  <c r="BE5" i="10"/>
  <c r="BC2" i="10"/>
  <c r="BB37" i="10"/>
  <c r="BB20" i="10"/>
  <c r="BC20" i="10"/>
  <c r="BC16" i="10" s="1"/>
  <c r="BC37" i="10"/>
  <c r="BC30" i="10" s="1"/>
  <c r="BE19" i="10" l="1"/>
  <c r="BE16" i="10" s="1"/>
  <c r="BE2" i="10"/>
  <c r="N12" i="1"/>
  <c r="AK12" i="1" s="1"/>
  <c r="N13" i="1"/>
  <c r="AK13" i="1" s="1"/>
  <c r="N14" i="1"/>
  <c r="AK14" i="1" s="1"/>
  <c r="N15" i="1"/>
  <c r="AK15" i="1" s="1"/>
  <c r="N16" i="1"/>
  <c r="AK16" i="1" s="1"/>
  <c r="N17" i="1"/>
  <c r="AK17" i="1" s="1"/>
  <c r="N18" i="1"/>
  <c r="AK18" i="1" s="1"/>
  <c r="N9" i="1"/>
  <c r="AK9" i="1" s="1"/>
  <c r="N5" i="1"/>
  <c r="AK5" i="1" s="1"/>
  <c r="N6" i="1"/>
  <c r="AK6" i="1" s="1"/>
  <c r="N10" i="1"/>
  <c r="AK10" i="1" s="1"/>
  <c r="N7" i="1"/>
  <c r="AK7" i="1" s="1"/>
  <c r="N4" i="1"/>
  <c r="AK4" i="1" s="1"/>
  <c r="AN6" i="1" l="1"/>
  <c r="AM6" i="1"/>
  <c r="AL6" i="1"/>
  <c r="AN17" i="1"/>
  <c r="AM17" i="1"/>
  <c r="AL17" i="1"/>
  <c r="AN13" i="1"/>
  <c r="AM13" i="1"/>
  <c r="AL13" i="1"/>
  <c r="AN5" i="1"/>
  <c r="AM5" i="1"/>
  <c r="AL5" i="1"/>
  <c r="AN16" i="1"/>
  <c r="AM16" i="1"/>
  <c r="AL16" i="1"/>
  <c r="AN12" i="1"/>
  <c r="AM12" i="1"/>
  <c r="AL12" i="1"/>
  <c r="AN7" i="1"/>
  <c r="AM7" i="1"/>
  <c r="AL7" i="1"/>
  <c r="AN9" i="1"/>
  <c r="AM9" i="1"/>
  <c r="AL9" i="1"/>
  <c r="AN15" i="1"/>
  <c r="AM15" i="1"/>
  <c r="AL15" i="1"/>
  <c r="AN10" i="1"/>
  <c r="AM10" i="1"/>
  <c r="AL10" i="1"/>
  <c r="AN18" i="1"/>
  <c r="AM18" i="1"/>
  <c r="AL18" i="1"/>
  <c r="AN14" i="1"/>
  <c r="AM14" i="1"/>
  <c r="AL14" i="1"/>
  <c r="AM4" i="1"/>
  <c r="AN4" i="1"/>
  <c r="AL4" i="1"/>
  <c r="AJ17" i="1"/>
  <c r="AG17" i="1"/>
  <c r="AI17" i="1"/>
  <c r="AH17" i="1"/>
  <c r="AJ13" i="1"/>
  <c r="AI13" i="1"/>
  <c r="AG13" i="1"/>
  <c r="AH13" i="1"/>
  <c r="AJ5" i="1"/>
  <c r="AI5" i="1"/>
  <c r="AG5" i="1"/>
  <c r="AH5" i="1"/>
  <c r="AJ16" i="1"/>
  <c r="AI16" i="1"/>
  <c r="AG16" i="1"/>
  <c r="AH16" i="1"/>
  <c r="AJ12" i="1"/>
  <c r="AG12" i="1"/>
  <c r="AI12" i="1"/>
  <c r="AH12" i="1"/>
  <c r="AJ9" i="1"/>
  <c r="AG9" i="1"/>
  <c r="AI9" i="1"/>
  <c r="AH9" i="1"/>
  <c r="AJ15" i="1"/>
  <c r="AI15" i="1"/>
  <c r="AH15" i="1"/>
  <c r="AG15" i="1"/>
  <c r="AJ6" i="1"/>
  <c r="AG6" i="1"/>
  <c r="AI6" i="1"/>
  <c r="AH6" i="1"/>
  <c r="AJ7" i="1"/>
  <c r="AI7" i="1"/>
  <c r="AH7" i="1"/>
  <c r="AG7" i="1"/>
  <c r="AJ10" i="1"/>
  <c r="AI10" i="1"/>
  <c r="AH10" i="1"/>
  <c r="AG10" i="1"/>
  <c r="AJ18" i="1"/>
  <c r="AI18" i="1"/>
  <c r="AH18" i="1"/>
  <c r="AG18" i="1"/>
  <c r="AJ14" i="1"/>
  <c r="AG14" i="1"/>
  <c r="AI14" i="1"/>
  <c r="AH14" i="1"/>
  <c r="AI4" i="1"/>
  <c r="AJ4" i="1"/>
  <c r="AG4" i="1"/>
  <c r="AH4" i="1"/>
  <c r="G9" i="5"/>
  <c r="G10" i="5"/>
  <c r="G11" i="5"/>
  <c r="G13" i="5"/>
  <c r="G14" i="5"/>
  <c r="G15" i="5"/>
  <c r="G16" i="5"/>
  <c r="G7" i="5"/>
  <c r="G3" i="5"/>
  <c r="G4" i="5"/>
  <c r="G8" i="5"/>
  <c r="G5" i="5"/>
  <c r="G2" i="5"/>
  <c r="P5" i="5"/>
  <c r="Q5" i="5"/>
  <c r="R5" i="5"/>
  <c r="S5" i="5"/>
  <c r="T5" i="5"/>
  <c r="U5" i="5"/>
  <c r="V5" i="5"/>
  <c r="W5" i="5"/>
  <c r="X5" i="5"/>
  <c r="Y5" i="5"/>
  <c r="O5" i="5"/>
  <c r="M5" i="5"/>
  <c r="L5" i="5"/>
  <c r="I4" i="5"/>
  <c r="A5" i="5"/>
  <c r="A3" i="5"/>
  <c r="A4" i="5"/>
  <c r="A8" i="5"/>
  <c r="A7" i="5"/>
  <c r="A9" i="5"/>
  <c r="A10" i="5"/>
  <c r="A11" i="5"/>
  <c r="A13" i="5"/>
  <c r="A14" i="5"/>
  <c r="A15" i="5"/>
  <c r="A16" i="5"/>
  <c r="AN5" i="5" l="1"/>
  <c r="AM5" i="5"/>
  <c r="Z5" i="5"/>
  <c r="AF5" i="5"/>
  <c r="AQ5" i="5"/>
  <c r="AA5" i="5"/>
  <c r="AR5" i="5"/>
  <c r="AI5" i="5"/>
  <c r="AK5" i="5"/>
  <c r="AB5" i="5"/>
  <c r="AJ5" i="5"/>
  <c r="AE5" i="5"/>
  <c r="AP5" i="5"/>
  <c r="AL5" i="5"/>
  <c r="AH5" i="5"/>
  <c r="AD5" i="5"/>
  <c r="AS5" i="5"/>
  <c r="AO5" i="5"/>
  <c r="AG5" i="5"/>
  <c r="AC5" i="5"/>
  <c r="W7" i="1"/>
  <c r="S7" i="1"/>
  <c r="R7" i="1"/>
  <c r="P7" i="1"/>
  <c r="J7" i="1"/>
  <c r="K7" i="1"/>
  <c r="L7" i="1"/>
  <c r="AR13" i="1"/>
  <c r="W13" i="1"/>
  <c r="S13" i="1"/>
  <c r="R13" i="1"/>
  <c r="P13" i="1"/>
  <c r="L13" i="1"/>
  <c r="K13" i="1"/>
  <c r="J13" i="1"/>
  <c r="M3" i="5" l="1"/>
  <c r="M4" i="5"/>
  <c r="M8" i="5"/>
  <c r="M7" i="5"/>
  <c r="M9" i="5"/>
  <c r="M10" i="5"/>
  <c r="M11" i="5"/>
  <c r="M13" i="5"/>
  <c r="M14" i="5"/>
  <c r="M15" i="5"/>
  <c r="M16" i="5"/>
  <c r="M2" i="5"/>
  <c r="L3" i="5"/>
  <c r="L4" i="5"/>
  <c r="L8" i="5"/>
  <c r="L7" i="5"/>
  <c r="L9" i="5"/>
  <c r="L10" i="5"/>
  <c r="L11" i="5"/>
  <c r="L13" i="5"/>
  <c r="L14" i="5"/>
  <c r="L15" i="5"/>
  <c r="L16" i="5"/>
  <c r="E3" i="5"/>
  <c r="E4" i="5"/>
  <c r="E8" i="5"/>
  <c r="E7" i="5"/>
  <c r="E9" i="5"/>
  <c r="E11" i="5"/>
  <c r="E13" i="5"/>
  <c r="E14" i="5"/>
  <c r="E15" i="5"/>
  <c r="E16" i="5"/>
  <c r="O3" i="5"/>
  <c r="P3" i="5"/>
  <c r="Q3" i="5"/>
  <c r="O4" i="5"/>
  <c r="P4" i="5"/>
  <c r="O8" i="5"/>
  <c r="P8" i="5"/>
  <c r="Q8" i="5"/>
  <c r="O7" i="5"/>
  <c r="P7" i="5"/>
  <c r="Q7" i="5"/>
  <c r="O9" i="5"/>
  <c r="P9" i="5"/>
  <c r="Q9" i="5"/>
  <c r="O10" i="5"/>
  <c r="P10" i="5"/>
  <c r="Q10" i="5"/>
  <c r="O11" i="5"/>
  <c r="P11" i="5"/>
  <c r="Q11" i="5"/>
  <c r="O13" i="5"/>
  <c r="P13" i="5"/>
  <c r="Q13" i="5"/>
  <c r="O14" i="5"/>
  <c r="P14" i="5"/>
  <c r="Q14" i="5"/>
  <c r="O15" i="5"/>
  <c r="P15" i="5"/>
  <c r="Q15" i="5"/>
  <c r="O16" i="5"/>
  <c r="P16" i="5"/>
  <c r="Q16" i="5"/>
  <c r="P2" i="5"/>
  <c r="O2" i="5"/>
  <c r="Y3" i="5"/>
  <c r="Y4" i="5"/>
  <c r="Y8" i="5"/>
  <c r="Y7" i="5"/>
  <c r="Y9" i="5"/>
  <c r="Y10" i="5"/>
  <c r="Y11" i="5"/>
  <c r="Y13" i="5"/>
  <c r="Y14" i="5"/>
  <c r="Y15" i="5"/>
  <c r="Y16" i="5"/>
  <c r="Y2" i="5"/>
  <c r="R3" i="5"/>
  <c r="S3" i="5"/>
  <c r="U3" i="5"/>
  <c r="X3" i="5"/>
  <c r="R4" i="5"/>
  <c r="S4" i="5"/>
  <c r="U4" i="5"/>
  <c r="X4" i="5"/>
  <c r="R8" i="5"/>
  <c r="S8" i="5"/>
  <c r="T8" i="5"/>
  <c r="U8" i="5"/>
  <c r="V8" i="5"/>
  <c r="W8" i="5"/>
  <c r="X8" i="5"/>
  <c r="R7" i="5"/>
  <c r="S7" i="5"/>
  <c r="U7" i="5"/>
  <c r="X7" i="5"/>
  <c r="R9" i="5"/>
  <c r="S9" i="5"/>
  <c r="T9" i="5"/>
  <c r="U9" i="5"/>
  <c r="R10" i="5"/>
  <c r="S10" i="5"/>
  <c r="T10" i="5"/>
  <c r="U10" i="5"/>
  <c r="V10" i="5"/>
  <c r="W10" i="5"/>
  <c r="X10" i="5"/>
  <c r="R11" i="5"/>
  <c r="S11" i="5"/>
  <c r="T11" i="5"/>
  <c r="U11" i="5"/>
  <c r="V11" i="5"/>
  <c r="W11" i="5"/>
  <c r="X11" i="5"/>
  <c r="R13" i="5"/>
  <c r="S13" i="5"/>
  <c r="U13" i="5"/>
  <c r="X13" i="5"/>
  <c r="R14" i="5"/>
  <c r="S14" i="5"/>
  <c r="U14" i="5"/>
  <c r="R15" i="5"/>
  <c r="S15" i="5"/>
  <c r="U15" i="5"/>
  <c r="R16" i="5"/>
  <c r="S16" i="5"/>
  <c r="U16" i="5"/>
  <c r="S2" i="5"/>
  <c r="U2" i="5"/>
  <c r="R2" i="5"/>
  <c r="E2" i="5"/>
  <c r="L2" i="5"/>
  <c r="A2" i="5"/>
  <c r="Z16" i="5" l="1"/>
  <c r="Z3" i="5"/>
  <c r="Z13" i="5"/>
  <c r="AK11" i="5"/>
  <c r="AA11" i="5"/>
  <c r="AH7" i="5"/>
  <c r="Z15" i="5"/>
  <c r="Z11" i="5"/>
  <c r="Z8" i="5"/>
  <c r="AC10" i="5"/>
  <c r="AF15" i="5"/>
  <c r="AN8" i="5"/>
  <c r="AH8" i="5"/>
  <c r="Z7" i="5"/>
  <c r="AC11" i="5"/>
  <c r="AC8" i="5"/>
  <c r="Z14" i="5"/>
  <c r="Z10" i="5"/>
  <c r="AK8" i="5"/>
  <c r="AE3" i="5"/>
  <c r="AF3" i="5"/>
  <c r="AF7" i="5"/>
  <c r="AI3" i="5"/>
  <c r="AQ11" i="5"/>
  <c r="AG11" i="5"/>
  <c r="AA10" i="5"/>
  <c r="AH10" i="5"/>
  <c r="AL10" i="5"/>
  <c r="AR8" i="5"/>
  <c r="AS8" i="5"/>
  <c r="Z4" i="5"/>
  <c r="AK16" i="5"/>
  <c r="AK13" i="5"/>
  <c r="AI2" i="5"/>
  <c r="AI14" i="5"/>
  <c r="AF14" i="5"/>
  <c r="AE10" i="5"/>
  <c r="AE4" i="5"/>
  <c r="AK7" i="5"/>
  <c r="AM8" i="5"/>
  <c r="AO8" i="5"/>
  <c r="AQ8" i="5"/>
  <c r="AJ8" i="5"/>
  <c r="AG8" i="5"/>
  <c r="AD4" i="5"/>
  <c r="AL4" i="5"/>
  <c r="AH4" i="5"/>
  <c r="Z9" i="5"/>
  <c r="AI9" i="5"/>
  <c r="AE9" i="5"/>
  <c r="AM9" i="5"/>
  <c r="AO9" i="5"/>
  <c r="AE2" i="5"/>
  <c r="AF16" i="5"/>
  <c r="AJ9" i="5"/>
  <c r="AD10" i="5"/>
  <c r="AE14" i="5"/>
  <c r="AF13" i="5"/>
  <c r="AD11" i="5"/>
  <c r="AB11" i="5"/>
  <c r="AR10" i="5"/>
  <c r="AH13" i="5"/>
  <c r="AB10" i="5"/>
  <c r="AF9" i="5"/>
  <c r="AB8" i="5"/>
  <c r="AS10" i="5"/>
  <c r="AD7" i="5"/>
  <c r="AA8" i="5"/>
  <c r="AF2" i="5"/>
  <c r="AI16" i="5"/>
  <c r="AE16" i="5"/>
  <c r="AL14" i="5"/>
  <c r="AH14" i="5"/>
  <c r="AI13" i="5"/>
  <c r="AE13" i="5"/>
  <c r="AQ10" i="5"/>
  <c r="AK10" i="5"/>
  <c r="AG10" i="5"/>
  <c r="AL9" i="5"/>
  <c r="AH9" i="5"/>
  <c r="AI7" i="5"/>
  <c r="AE7" i="5"/>
  <c r="AP8" i="5"/>
  <c r="AF8" i="5"/>
  <c r="AK4" i="5"/>
  <c r="AL3" i="5"/>
  <c r="AH3" i="5"/>
  <c r="K4" i="5"/>
  <c r="AD13" i="5"/>
  <c r="AD8" i="5"/>
  <c r="AK2" i="5"/>
  <c r="AL16" i="5"/>
  <c r="AH16" i="5"/>
  <c r="AI15" i="5"/>
  <c r="AK14" i="5"/>
  <c r="AL13" i="5"/>
  <c r="AP10" i="5"/>
  <c r="AN10" i="5"/>
  <c r="AJ10" i="5"/>
  <c r="AF10" i="5"/>
  <c r="AQ9" i="5"/>
  <c r="AK9" i="5"/>
  <c r="AG9" i="5"/>
  <c r="AL7" i="5"/>
  <c r="AI8" i="5"/>
  <c r="AE8" i="5"/>
  <c r="AF4" i="5"/>
  <c r="AK3" i="5"/>
  <c r="AD3" i="5"/>
  <c r="AH2" i="5"/>
  <c r="AL2" i="5"/>
  <c r="AO10" i="5"/>
  <c r="AM10" i="5"/>
  <c r="AI10" i="5"/>
  <c r="AL8" i="5"/>
  <c r="AI4" i="5"/>
  <c r="AE11" i="5"/>
  <c r="AL15" i="5"/>
  <c r="AH15" i="5"/>
  <c r="AE15" i="5"/>
  <c r="AP11" i="5"/>
  <c r="AN11" i="5"/>
  <c r="AJ11" i="5"/>
  <c r="AK15" i="5"/>
  <c r="AS11" i="5"/>
  <c r="AO11" i="5"/>
  <c r="AM11" i="5"/>
  <c r="AI11" i="5"/>
  <c r="AF11" i="5"/>
  <c r="AR11" i="5"/>
  <c r="AL11" i="5"/>
  <c r="AH11" i="5"/>
  <c r="Z2" i="5"/>
  <c r="AR10" i="1" l="1"/>
  <c r="W10" i="1"/>
  <c r="S10" i="1"/>
  <c r="R10" i="1"/>
  <c r="P10" i="1"/>
  <c r="K10" i="1"/>
  <c r="L10" i="1"/>
  <c r="J10" i="1"/>
  <c r="V16" i="5" l="1"/>
  <c r="V15" i="5"/>
  <c r="V14" i="5"/>
  <c r="V13" i="5"/>
  <c r="V9" i="5"/>
  <c r="V4" i="5"/>
  <c r="V3" i="5"/>
  <c r="V2" i="5"/>
  <c r="AA16" i="5" l="1"/>
  <c r="AP16" i="5"/>
  <c r="AA4" i="5"/>
  <c r="AP4" i="5"/>
  <c r="V7" i="5"/>
  <c r="AP13" i="5"/>
  <c r="AA13" i="5"/>
  <c r="AA2" i="5"/>
  <c r="AP2" i="5"/>
  <c r="AA14" i="5"/>
  <c r="AP14" i="5"/>
  <c r="AP3" i="5"/>
  <c r="AA3" i="5"/>
  <c r="AP9" i="5"/>
  <c r="AA9" i="5"/>
  <c r="AP15" i="5"/>
  <c r="AA15" i="5"/>
  <c r="AA7" i="5" l="1"/>
  <c r="AP7" i="5"/>
  <c r="R15" i="10" l="1"/>
  <c r="AI15" i="10" s="1"/>
  <c r="R16" i="10"/>
  <c r="AI16" i="10" s="1"/>
  <c r="R17" i="10"/>
  <c r="R18" i="10"/>
  <c r="AI18" i="10" s="1"/>
  <c r="AP18" i="10" s="1"/>
  <c r="BA14" i="10" l="1"/>
  <c r="BA27" i="10" s="1"/>
  <c r="BA42" i="10" s="1"/>
  <c r="AY14" i="10"/>
  <c r="BB14" i="10"/>
  <c r="BB27" i="10" s="1"/>
  <c r="BB42" i="10" s="1"/>
  <c r="AI17" i="10"/>
  <c r="AP17" i="10" s="1"/>
  <c r="AP16" i="10"/>
  <c r="AP15" i="10"/>
  <c r="W15" i="5"/>
  <c r="AN15" i="5" s="1"/>
  <c r="W14" i="5"/>
  <c r="AR14" i="5" s="1"/>
  <c r="W16" i="5"/>
  <c r="AR16" i="5" s="1"/>
  <c r="W13" i="5"/>
  <c r="AB13" i="5" s="1"/>
  <c r="AN16" i="5"/>
  <c r="AS15" i="5"/>
  <c r="AR13" i="5" l="1"/>
  <c r="AR15" i="5"/>
  <c r="AS14" i="5"/>
  <c r="AN14" i="5"/>
  <c r="AS13" i="5"/>
  <c r="BA13" i="10"/>
  <c r="BA26" i="10" s="1"/>
  <c r="BA41" i="10" s="1"/>
  <c r="BA39" i="10"/>
  <c r="AY13" i="10"/>
  <c r="BB13" i="10"/>
  <c r="BB26" i="10" s="1"/>
  <c r="BB41" i="10" s="1"/>
  <c r="BB39" i="10"/>
  <c r="BB9" i="10"/>
  <c r="BB22" i="10" s="1"/>
  <c r="BB38" i="10" s="1"/>
  <c r="BA9" i="10"/>
  <c r="AZ14" i="10"/>
  <c r="AZ27" i="10" s="1"/>
  <c r="AZ42" i="10" s="1"/>
  <c r="AY27" i="10"/>
  <c r="AY42" i="10" s="1"/>
  <c r="AY28" i="10"/>
  <c r="AZ28" i="10" s="1"/>
  <c r="BA11" i="10"/>
  <c r="BA28" i="10"/>
  <c r="BB11" i="10"/>
  <c r="BB28" i="10"/>
  <c r="AS16" i="5"/>
  <c r="AC13" i="5"/>
  <c r="AN13" i="5"/>
  <c r="R11" i="10"/>
  <c r="AI11" i="10" s="1"/>
  <c r="AP11" i="10" s="1"/>
  <c r="R14" i="10"/>
  <c r="AI14" i="10" s="1"/>
  <c r="AP14" i="10" s="1"/>
  <c r="R9" i="10"/>
  <c r="AI9" i="10" s="1"/>
  <c r="AP9" i="10" s="1"/>
  <c r="BB6" i="10" s="1"/>
  <c r="BB34" i="10" s="1"/>
  <c r="W4" i="5"/>
  <c r="R5" i="10"/>
  <c r="AI5" i="10" s="1"/>
  <c r="R4" i="10"/>
  <c r="BB24" i="10" l="1"/>
  <c r="BA24" i="10"/>
  <c r="BA22" i="10"/>
  <c r="BA2" i="10"/>
  <c r="AY26" i="10"/>
  <c r="AZ13" i="10"/>
  <c r="AY2" i="10"/>
  <c r="AI4" i="10"/>
  <c r="AP4" i="10" s="1"/>
  <c r="AP5" i="10"/>
  <c r="W2" i="5"/>
  <c r="AS2" i="5" s="1"/>
  <c r="X15" i="5"/>
  <c r="AB15" i="5" s="1"/>
  <c r="X2" i="5"/>
  <c r="AD2" i="5" s="1"/>
  <c r="W3" i="5"/>
  <c r="AN3" i="5" s="1"/>
  <c r="X9" i="5"/>
  <c r="X16" i="5"/>
  <c r="AB16" i="5" s="1"/>
  <c r="W9" i="5"/>
  <c r="AN9" i="5" s="1"/>
  <c r="AN4" i="5"/>
  <c r="AC4" i="5"/>
  <c r="AB4" i="5"/>
  <c r="AS4" i="5"/>
  <c r="AR4" i="5"/>
  <c r="W7" i="5"/>
  <c r="X14" i="5"/>
  <c r="AR2" i="5" l="1"/>
  <c r="AN2" i="5"/>
  <c r="AR3" i="5"/>
  <c r="AC16" i="5"/>
  <c r="AR9" i="5"/>
  <c r="AS9" i="5"/>
  <c r="AY41" i="10"/>
  <c r="AY30" i="10" s="1"/>
  <c r="AY16" i="10"/>
  <c r="BB33" i="10"/>
  <c r="BB30" i="10" s="1"/>
  <c r="BB5" i="10"/>
  <c r="AZ26" i="10"/>
  <c r="AZ2" i="10"/>
  <c r="BA38" i="10"/>
  <c r="BA30" i="10" s="1"/>
  <c r="BA16" i="10"/>
  <c r="AB3" i="5"/>
  <c r="AC9" i="5"/>
  <c r="AC3" i="5"/>
  <c r="AS3" i="5"/>
  <c r="AD16" i="5"/>
  <c r="AD15" i="5"/>
  <c r="AB9" i="5"/>
  <c r="AC15" i="5"/>
  <c r="AC2" i="5"/>
  <c r="AB2" i="5"/>
  <c r="AD9" i="5"/>
  <c r="AB7" i="5"/>
  <c r="AC7" i="5"/>
  <c r="AN7" i="5"/>
  <c r="AS7" i="5"/>
  <c r="AR7" i="5"/>
  <c r="AB14" i="5"/>
  <c r="AD14" i="5"/>
  <c r="AC14" i="5"/>
  <c r="BB19" i="10" l="1"/>
  <c r="BB16" i="10" s="1"/>
  <c r="BB2" i="10"/>
  <c r="AZ41" i="10"/>
  <c r="AZ30" i="10" s="1"/>
  <c r="AZ16" i="10"/>
  <c r="O41" i="9"/>
  <c r="Q41" i="9" s="1"/>
  <c r="S41" i="9"/>
  <c r="O4" i="9"/>
  <c r="Q4" i="9" s="1"/>
  <c r="S4" i="9"/>
  <c r="O46" i="9"/>
  <c r="Q46" i="9" s="1"/>
  <c r="S46" i="9"/>
  <c r="O17" i="9"/>
  <c r="Q17" i="9" s="1"/>
  <c r="S17" i="9"/>
  <c r="O35" i="9"/>
  <c r="Q35" i="9" s="1"/>
  <c r="S35" i="9"/>
  <c r="O38" i="9"/>
  <c r="Q38" i="9" s="1"/>
  <c r="S38" i="9"/>
  <c r="O20" i="9"/>
  <c r="Q20" i="9" s="1"/>
  <c r="S20" i="9"/>
  <c r="O52" i="9"/>
  <c r="Q52" i="9" s="1"/>
  <c r="S52" i="9"/>
  <c r="O12" i="9"/>
  <c r="Q12" i="9" s="1"/>
  <c r="S12" i="9"/>
  <c r="T12" i="9"/>
  <c r="O47" i="9"/>
  <c r="Q47" i="9" s="1"/>
  <c r="S47" i="9"/>
  <c r="O45" i="9"/>
  <c r="Q45" i="9" s="1"/>
  <c r="S45" i="9"/>
  <c r="O21" i="9"/>
  <c r="Q21" i="9" s="1"/>
  <c r="S21" i="9"/>
  <c r="O49" i="9"/>
  <c r="Q49" i="9" s="1"/>
  <c r="S49" i="9"/>
  <c r="O29" i="9"/>
  <c r="Q29" i="9" s="1"/>
  <c r="S29" i="9"/>
  <c r="O23" i="9"/>
  <c r="Q23" i="9" s="1"/>
  <c r="S23" i="9"/>
  <c r="O26" i="9"/>
  <c r="Q26" i="9" s="1"/>
  <c r="S26" i="9"/>
  <c r="O24" i="9"/>
  <c r="Q24" i="9" s="1"/>
  <c r="S24" i="9"/>
  <c r="S44" i="9"/>
  <c r="O44" i="9"/>
  <c r="Q44" i="9" s="1"/>
  <c r="U38" i="9" l="1"/>
  <c r="U44" i="9"/>
  <c r="U29" i="9"/>
  <c r="U23" i="9"/>
  <c r="U45" i="9"/>
  <c r="U46" i="9"/>
  <c r="U47" i="9"/>
  <c r="U17" i="9"/>
  <c r="U20" i="9"/>
  <c r="U24" i="9"/>
  <c r="U26" i="9"/>
  <c r="U49" i="9"/>
  <c r="U21" i="9"/>
  <c r="U12" i="9"/>
  <c r="U52" i="9"/>
  <c r="U35" i="9"/>
  <c r="U4" i="9"/>
  <c r="U41" i="9"/>
  <c r="AD2" i="1" l="1"/>
  <c r="AO2" i="1" l="1"/>
  <c r="AQ2" i="1"/>
  <c r="AR7" i="1"/>
  <c r="AR32" i="1"/>
  <c r="J8" i="3" l="1"/>
  <c r="K8" i="3"/>
  <c r="L8" i="3"/>
  <c r="N8" i="3"/>
  <c r="P8" i="3"/>
  <c r="Q8" i="3"/>
  <c r="J9" i="3"/>
  <c r="K9" i="3"/>
  <c r="L9" i="3"/>
  <c r="M9" i="3"/>
  <c r="N9" i="3"/>
  <c r="P9" i="3"/>
  <c r="Q9" i="3"/>
  <c r="J10" i="3"/>
  <c r="K10" i="3"/>
  <c r="L10" i="3"/>
  <c r="M10" i="3"/>
  <c r="N10" i="3"/>
  <c r="P10" i="3"/>
  <c r="Q10" i="3"/>
  <c r="J11" i="3"/>
  <c r="K11" i="3"/>
  <c r="L11" i="3"/>
  <c r="N11" i="3"/>
  <c r="P11" i="3"/>
  <c r="Q11" i="3"/>
  <c r="J13" i="3"/>
  <c r="K13" i="3"/>
  <c r="L13" i="3"/>
  <c r="N13" i="3"/>
  <c r="P13" i="3"/>
  <c r="Q13" i="3"/>
  <c r="J14" i="3"/>
  <c r="K14" i="3"/>
  <c r="L14" i="3"/>
  <c r="N14" i="3"/>
  <c r="P14" i="3"/>
  <c r="Q14" i="3"/>
  <c r="J15" i="3"/>
  <c r="K15" i="3"/>
  <c r="L15" i="3"/>
  <c r="N15" i="3"/>
  <c r="P15" i="3"/>
  <c r="Q15" i="3"/>
  <c r="J16" i="3"/>
  <c r="K16" i="3"/>
  <c r="L16" i="3"/>
  <c r="N16" i="3"/>
  <c r="P16" i="3"/>
  <c r="Q16" i="3"/>
  <c r="J12" i="3"/>
  <c r="K12" i="3"/>
  <c r="L12" i="3"/>
  <c r="N12" i="3"/>
  <c r="P12" i="3"/>
  <c r="Q12" i="3"/>
  <c r="I8" i="3"/>
  <c r="I9" i="3"/>
  <c r="I10" i="3"/>
  <c r="I11" i="3"/>
  <c r="I13" i="3"/>
  <c r="I14" i="3"/>
  <c r="I15" i="3"/>
  <c r="I16" i="3"/>
  <c r="I12" i="3"/>
  <c r="B8" i="3"/>
  <c r="D8" i="3"/>
  <c r="F8" i="3"/>
  <c r="B9" i="3"/>
  <c r="D9" i="3"/>
  <c r="F9" i="3"/>
  <c r="B10" i="3"/>
  <c r="D10" i="3"/>
  <c r="F10" i="3"/>
  <c r="G10" i="3" s="1"/>
  <c r="B11" i="3"/>
  <c r="D11" i="3"/>
  <c r="F11" i="3"/>
  <c r="B13" i="3"/>
  <c r="D13" i="3"/>
  <c r="F13" i="3"/>
  <c r="G13" i="3" s="1"/>
  <c r="B14" i="3"/>
  <c r="D14" i="3"/>
  <c r="F14" i="3"/>
  <c r="G14" i="3" s="1"/>
  <c r="B15" i="3"/>
  <c r="D15" i="3"/>
  <c r="F15" i="3"/>
  <c r="G15" i="3" s="1"/>
  <c r="B16" i="3"/>
  <c r="D16" i="3"/>
  <c r="F16" i="3"/>
  <c r="G16" i="3" s="1"/>
  <c r="B12" i="3"/>
  <c r="D12" i="3"/>
  <c r="F12" i="3"/>
  <c r="G12" i="3" s="1"/>
  <c r="A8" i="3"/>
  <c r="A9" i="3"/>
  <c r="A10" i="3"/>
  <c r="A11" i="3"/>
  <c r="A13" i="3"/>
  <c r="A14" i="3"/>
  <c r="A15" i="3"/>
  <c r="A16" i="3"/>
  <c r="A12" i="3"/>
  <c r="AK12" i="3" l="1"/>
  <c r="AX12" i="3"/>
  <c r="AK16" i="3"/>
  <c r="U12" i="3"/>
  <c r="V12" i="3" s="1"/>
  <c r="AN16" i="3"/>
  <c r="AN13" i="3"/>
  <c r="U11" i="3"/>
  <c r="V11" i="3" s="1"/>
  <c r="AN10" i="3"/>
  <c r="BU10" i="3"/>
  <c r="AN12" i="3"/>
  <c r="CE10" i="3"/>
  <c r="U8" i="3"/>
  <c r="V8" i="3" s="1"/>
  <c r="U16" i="3"/>
  <c r="S14" i="3"/>
  <c r="S12" i="3"/>
  <c r="AA12" i="3"/>
  <c r="BE12" i="3"/>
  <c r="BI12" i="3"/>
  <c r="AH12" i="3"/>
  <c r="AL12" i="3"/>
  <c r="AP12" i="3"/>
  <c r="AR12" i="3" s="1"/>
  <c r="BJ12" i="3"/>
  <c r="BN12" i="3"/>
  <c r="T12" i="3"/>
  <c r="Z12" i="3"/>
  <c r="AB12" i="3" s="1"/>
  <c r="AD12" i="3"/>
  <c r="AF12" i="3" s="1"/>
  <c r="AI12" i="3"/>
  <c r="AM12" i="3"/>
  <c r="AQ12" i="3"/>
  <c r="AW12" i="3"/>
  <c r="AY12" i="3" s="1"/>
  <c r="BO12" i="3"/>
  <c r="BS12" i="3"/>
  <c r="AE12" i="3"/>
  <c r="S16" i="3"/>
  <c r="AA16" i="3"/>
  <c r="BE16" i="3"/>
  <c r="BI16" i="3"/>
  <c r="Z16" i="3"/>
  <c r="AB16" i="3" s="1"/>
  <c r="BD16" i="3"/>
  <c r="AH16" i="3"/>
  <c r="AL16" i="3"/>
  <c r="AP16" i="3"/>
  <c r="AR16" i="3" s="1"/>
  <c r="BJ16" i="3"/>
  <c r="BN16" i="3"/>
  <c r="AX16" i="3"/>
  <c r="T16" i="3"/>
  <c r="AD16" i="3"/>
  <c r="AF16" i="3" s="1"/>
  <c r="AI16" i="3"/>
  <c r="AM16" i="3"/>
  <c r="AQ16" i="3"/>
  <c r="AW16" i="3"/>
  <c r="AY16" i="3" s="1"/>
  <c r="BO16" i="3"/>
  <c r="BS16" i="3"/>
  <c r="AE16" i="3"/>
  <c r="BT16" i="3"/>
  <c r="S15" i="3"/>
  <c r="AH15" i="3"/>
  <c r="AL15" i="3"/>
  <c r="AP15" i="3"/>
  <c r="AR15" i="3" s="1"/>
  <c r="BJ15" i="3"/>
  <c r="BN15" i="3"/>
  <c r="T15" i="3"/>
  <c r="AD15" i="3"/>
  <c r="AF15" i="3" s="1"/>
  <c r="AI15" i="3"/>
  <c r="AM15" i="3"/>
  <c r="AQ15" i="3"/>
  <c r="AW15" i="3"/>
  <c r="AY15" i="3" s="1"/>
  <c r="BO15" i="3"/>
  <c r="BS15" i="3"/>
  <c r="Z15" i="3"/>
  <c r="AB15" i="3" s="1"/>
  <c r="AE15" i="3"/>
  <c r="AX15" i="3"/>
  <c r="BD15" i="3"/>
  <c r="BE15" i="3"/>
  <c r="AA15" i="3"/>
  <c r="BI15" i="3"/>
  <c r="BT15" i="3"/>
  <c r="AM14" i="3"/>
  <c r="T14" i="3"/>
  <c r="S13" i="3"/>
  <c r="AA13" i="3"/>
  <c r="BE13" i="3"/>
  <c r="BI13" i="3"/>
  <c r="AH13" i="3"/>
  <c r="AL13" i="3"/>
  <c r="AP13" i="3"/>
  <c r="AR13" i="3" s="1"/>
  <c r="BJ13" i="3"/>
  <c r="BN13" i="3"/>
  <c r="AD13" i="3"/>
  <c r="AF13" i="3" s="1"/>
  <c r="AI13" i="3"/>
  <c r="AM13" i="3"/>
  <c r="AQ13" i="3"/>
  <c r="AW13" i="3"/>
  <c r="AY13" i="3" s="1"/>
  <c r="BO13" i="3"/>
  <c r="BS13" i="3"/>
  <c r="AE13" i="3"/>
  <c r="AX13" i="3"/>
  <c r="BD13" i="3"/>
  <c r="BT13" i="3"/>
  <c r="T13" i="3"/>
  <c r="Z13" i="3"/>
  <c r="AB13" i="3" s="1"/>
  <c r="S11" i="3"/>
  <c r="AA11" i="3"/>
  <c r="BE11" i="3"/>
  <c r="BI11" i="3"/>
  <c r="AH11" i="3"/>
  <c r="AL11" i="3"/>
  <c r="AP11" i="3"/>
  <c r="AR11" i="3" s="1"/>
  <c r="BJ11" i="3"/>
  <c r="BN11" i="3"/>
  <c r="T11" i="3"/>
  <c r="AD11" i="3"/>
  <c r="AF11" i="3" s="1"/>
  <c r="AI11" i="3"/>
  <c r="AM11" i="3"/>
  <c r="AQ11" i="3"/>
  <c r="AW11" i="3"/>
  <c r="AY11" i="3" s="1"/>
  <c r="BO11" i="3"/>
  <c r="BS11" i="3"/>
  <c r="Z11" i="3"/>
  <c r="AB11" i="3" s="1"/>
  <c r="BT11" i="3"/>
  <c r="AE11" i="3"/>
  <c r="AX11" i="3"/>
  <c r="BD11" i="3"/>
  <c r="S10" i="3"/>
  <c r="AH10" i="3"/>
  <c r="AL10" i="3"/>
  <c r="AP10" i="3"/>
  <c r="AR10" i="3" s="1"/>
  <c r="BJ10" i="3"/>
  <c r="BN10" i="3"/>
  <c r="AD10" i="3"/>
  <c r="AF10" i="3" s="1"/>
  <c r="AI10" i="3"/>
  <c r="AM10" i="3"/>
  <c r="AQ10" i="3"/>
  <c r="AW10" i="3"/>
  <c r="AY10" i="3" s="1"/>
  <c r="BO10" i="3"/>
  <c r="BS10" i="3"/>
  <c r="T10" i="3"/>
  <c r="Z10" i="3"/>
  <c r="AB10" i="3" s="1"/>
  <c r="AE10" i="3"/>
  <c r="AX10" i="3"/>
  <c r="BD10" i="3"/>
  <c r="BT10" i="3"/>
  <c r="BE10" i="3"/>
  <c r="AA10" i="3"/>
  <c r="BI10" i="3"/>
  <c r="S9" i="3"/>
  <c r="Z9" i="3"/>
  <c r="AB9" i="3" s="1"/>
  <c r="AH9" i="3"/>
  <c r="AM9" i="3"/>
  <c r="AQ9" i="3"/>
  <c r="AX9" i="3"/>
  <c r="BE9" i="3"/>
  <c r="BJ9" i="3"/>
  <c r="BN9" i="3"/>
  <c r="BS9" i="3"/>
  <c r="AA9" i="3"/>
  <c r="AI9" i="3"/>
  <c r="BO9" i="3"/>
  <c r="BT9" i="3"/>
  <c r="AD9" i="3"/>
  <c r="AF9" i="3" s="1"/>
  <c r="AE9" i="3"/>
  <c r="BD9" i="3"/>
  <c r="AL9" i="3"/>
  <c r="BI9" i="3"/>
  <c r="X9" i="3"/>
  <c r="T9" i="3"/>
  <c r="AP9" i="3"/>
  <c r="AR9" i="3" s="1"/>
  <c r="AW9" i="3"/>
  <c r="AY9" i="3" s="1"/>
  <c r="S8" i="3"/>
  <c r="AA8" i="3"/>
  <c r="BE8" i="3"/>
  <c r="BI8" i="3"/>
  <c r="AH8" i="3"/>
  <c r="AL8" i="3"/>
  <c r="AP8" i="3"/>
  <c r="AR8" i="3" s="1"/>
  <c r="BJ8" i="3"/>
  <c r="BN8" i="3"/>
  <c r="T8" i="3"/>
  <c r="AD8" i="3"/>
  <c r="AF8" i="3" s="1"/>
  <c r="AI8" i="3"/>
  <c r="AM8" i="3"/>
  <c r="AQ8" i="3"/>
  <c r="AW8" i="3"/>
  <c r="AY8" i="3" s="1"/>
  <c r="BO8" i="3"/>
  <c r="BS8" i="3"/>
  <c r="Z8" i="3"/>
  <c r="AB8" i="3" s="1"/>
  <c r="BD8" i="3"/>
  <c r="BT8" i="3"/>
  <c r="AE8" i="3"/>
  <c r="AX8" i="3"/>
  <c r="W12" i="3"/>
  <c r="Y12" i="3" s="1"/>
  <c r="W16" i="3"/>
  <c r="Y16" i="3" s="1"/>
  <c r="BT12" i="3"/>
  <c r="BD12" i="3"/>
  <c r="H12" i="3"/>
  <c r="H14" i="3"/>
  <c r="H11" i="3"/>
  <c r="H9" i="3"/>
  <c r="W15" i="3"/>
  <c r="Y15" i="3" s="1"/>
  <c r="X15" i="3"/>
  <c r="W13" i="3"/>
  <c r="Y13" i="3" s="1"/>
  <c r="X13" i="3"/>
  <c r="W11" i="3"/>
  <c r="Y11" i="3" s="1"/>
  <c r="X11" i="3"/>
  <c r="W10" i="3"/>
  <c r="Y10" i="3" s="1"/>
  <c r="X10" i="3"/>
  <c r="W9" i="3"/>
  <c r="Y9" i="3" s="1"/>
  <c r="W8" i="3"/>
  <c r="Y8" i="3" s="1"/>
  <c r="X8" i="3"/>
  <c r="X12" i="3"/>
  <c r="X16" i="3"/>
  <c r="U10" i="3"/>
  <c r="V10" i="3" s="1"/>
  <c r="G11" i="3"/>
  <c r="G9" i="3"/>
  <c r="G8" i="3"/>
  <c r="U14" i="3"/>
  <c r="V14" i="3" s="1"/>
  <c r="AK13" i="3"/>
  <c r="AK11" i="3"/>
  <c r="AK9" i="3"/>
  <c r="AK8" i="3"/>
  <c r="AK15" i="3"/>
  <c r="AK10" i="3"/>
  <c r="U15" i="3"/>
  <c r="V15" i="3" s="1"/>
  <c r="AN15" i="3"/>
  <c r="U13" i="3"/>
  <c r="V13" i="3" s="1"/>
  <c r="AC10" i="3"/>
  <c r="BF10" i="3"/>
  <c r="BK10" i="3"/>
  <c r="AJ10" i="3"/>
  <c r="AS10" i="3"/>
  <c r="BP10" i="3"/>
  <c r="BX10" i="3"/>
  <c r="U9" i="3"/>
  <c r="V9" i="3" s="1"/>
  <c r="AN9" i="3"/>
  <c r="AJ9" i="3"/>
  <c r="BK9" i="3"/>
  <c r="V16" i="3"/>
  <c r="AN11" i="3"/>
  <c r="AZ10" i="3"/>
  <c r="AG10" i="3"/>
  <c r="AN8" i="3"/>
  <c r="BS14" i="3"/>
  <c r="AI14" i="3"/>
  <c r="BO14" i="3"/>
  <c r="AW14" i="3"/>
  <c r="AY14" i="3" s="1"/>
  <c r="AD14" i="3"/>
  <c r="AF14" i="3" s="1"/>
  <c r="AQ14" i="3"/>
  <c r="X14" i="3"/>
  <c r="BN14" i="3"/>
  <c r="BJ14" i="3"/>
  <c r="AP14" i="3"/>
  <c r="AR14" i="3" s="1"/>
  <c r="AL14" i="3"/>
  <c r="AH14" i="3"/>
  <c r="W14" i="3"/>
  <c r="Y14" i="3" s="1"/>
  <c r="BI14" i="3"/>
  <c r="BE14" i="3"/>
  <c r="AK14" i="3"/>
  <c r="AA14" i="3"/>
  <c r="BT14" i="3"/>
  <c r="BD14" i="3"/>
  <c r="AX14" i="3"/>
  <c r="AN14" i="3"/>
  <c r="AE14" i="3"/>
  <c r="Z14" i="3"/>
  <c r="AB14" i="3" s="1"/>
  <c r="BF9" i="3"/>
  <c r="AC9" i="3"/>
  <c r="CE9" i="3"/>
  <c r="BU9" i="3"/>
  <c r="AZ9" i="3"/>
  <c r="AG9" i="3"/>
  <c r="BX9" i="3"/>
  <c r="BP9" i="3"/>
  <c r="AS9" i="3"/>
  <c r="H16" i="3"/>
  <c r="H15" i="3"/>
  <c r="H13" i="3"/>
  <c r="H10" i="3"/>
  <c r="H8" i="3"/>
  <c r="O8" i="3" l="1"/>
  <c r="CB8" i="3" s="1"/>
  <c r="CD8" i="3" s="1"/>
  <c r="O16" i="3"/>
  <c r="CB16" i="3" s="1"/>
  <c r="CD16" i="3" s="1"/>
  <c r="O12" i="3"/>
  <c r="CB12" i="3" s="1"/>
  <c r="CD12" i="3" s="1"/>
  <c r="O13" i="3"/>
  <c r="CB13" i="3" s="1"/>
  <c r="CD13" i="3" s="1"/>
  <c r="O11" i="3"/>
  <c r="CB11" i="3" s="1"/>
  <c r="CD11" i="3" s="1"/>
  <c r="O14" i="3"/>
  <c r="CB14" i="3" s="1"/>
  <c r="CD14" i="3" s="1"/>
  <c r="O10" i="3"/>
  <c r="CB10" i="3" s="1"/>
  <c r="CD10" i="3" s="1"/>
  <c r="O9" i="3"/>
  <c r="CB9" i="3" s="1"/>
  <c r="CD9" i="3" s="1"/>
  <c r="O15" i="3"/>
  <c r="CB15" i="3" s="1"/>
  <c r="CD15" i="3" s="1"/>
  <c r="BM10" i="3" l="1"/>
  <c r="AT10" i="3"/>
  <c r="AV10" i="3" s="1"/>
  <c r="BW10" i="3"/>
  <c r="BV10" i="3"/>
  <c r="BY10" i="3"/>
  <c r="CA10" i="3" s="1"/>
  <c r="CC10" i="3"/>
  <c r="BB10" i="3"/>
  <c r="R10" i="3"/>
  <c r="AO10" i="3" s="1"/>
  <c r="BH10" i="3"/>
  <c r="BG10" i="3"/>
  <c r="BZ10" i="3"/>
  <c r="BL10" i="3"/>
  <c r="BQ10" i="3"/>
  <c r="BA10" i="3"/>
  <c r="BC10" i="3" s="1"/>
  <c r="AU10" i="3"/>
  <c r="BR10" i="3"/>
  <c r="BZ11" i="3"/>
  <c r="BA11" i="3"/>
  <c r="BC11" i="3" s="1"/>
  <c r="CC11" i="3"/>
  <c r="R11" i="3"/>
  <c r="AO11" i="3" s="1"/>
  <c r="BR11" i="3"/>
  <c r="BQ11" i="3"/>
  <c r="BH11" i="3"/>
  <c r="BY11" i="3"/>
  <c r="CA11" i="3" s="1"/>
  <c r="BG11" i="3"/>
  <c r="BL11" i="3"/>
  <c r="AU11" i="3"/>
  <c r="AT11" i="3"/>
  <c r="AV11" i="3" s="1"/>
  <c r="BW11" i="3"/>
  <c r="BV11" i="3"/>
  <c r="BB11" i="3"/>
  <c r="BM11" i="3"/>
  <c r="BR9" i="3"/>
  <c r="BZ9" i="3"/>
  <c r="R9" i="3"/>
  <c r="AO9" i="3" s="1"/>
  <c r="BW9" i="3"/>
  <c r="BH9" i="3"/>
  <c r="BG9" i="3"/>
  <c r="CC9" i="3"/>
  <c r="AT9" i="3"/>
  <c r="AV9" i="3" s="1"/>
  <c r="BM9" i="3"/>
  <c r="BL9" i="3"/>
  <c r="AU9" i="3"/>
  <c r="BA9" i="3"/>
  <c r="BC9" i="3" s="1"/>
  <c r="BQ9" i="3"/>
  <c r="BY9" i="3"/>
  <c r="CA9" i="3" s="1"/>
  <c r="BB9" i="3"/>
  <c r="BV9" i="3"/>
  <c r="BW14" i="3"/>
  <c r="BZ14" i="3"/>
  <c r="BQ14" i="3"/>
  <c r="BH14" i="3"/>
  <c r="BY14" i="3"/>
  <c r="CA14" i="3" s="1"/>
  <c r="R14" i="3"/>
  <c r="AO14" i="3" s="1"/>
  <c r="BB14" i="3"/>
  <c r="CC14" i="3"/>
  <c r="BV14" i="3"/>
  <c r="BM14" i="3"/>
  <c r="AT14" i="3"/>
  <c r="AV14" i="3" s="1"/>
  <c r="BG14" i="3"/>
  <c r="BR14" i="3"/>
  <c r="BA14" i="3"/>
  <c r="BC14" i="3" s="1"/>
  <c r="AU14" i="3"/>
  <c r="BL14" i="3"/>
  <c r="BL13" i="3"/>
  <c r="BA13" i="3"/>
  <c r="BC13" i="3" s="1"/>
  <c r="BZ13" i="3"/>
  <c r="AU13" i="3"/>
  <c r="BB13" i="3"/>
  <c r="AT13" i="3"/>
  <c r="AV13" i="3" s="1"/>
  <c r="BR13" i="3"/>
  <c r="BQ13" i="3"/>
  <c r="BV13" i="3"/>
  <c r="BM13" i="3"/>
  <c r="BW13" i="3"/>
  <c r="BH13" i="3"/>
  <c r="CC13" i="3"/>
  <c r="R13" i="3"/>
  <c r="AO13" i="3" s="1"/>
  <c r="BG13" i="3"/>
  <c r="BY13" i="3"/>
  <c r="CA13" i="3" s="1"/>
  <c r="BH16" i="3"/>
  <c r="AU16" i="3"/>
  <c r="BR16" i="3"/>
  <c r="BM16" i="3"/>
  <c r="AT16" i="3"/>
  <c r="AV16" i="3" s="1"/>
  <c r="BB16" i="3"/>
  <c r="R16" i="3"/>
  <c r="AO16" i="3" s="1"/>
  <c r="BW16" i="3"/>
  <c r="BZ16" i="3"/>
  <c r="BQ16" i="3"/>
  <c r="BL16" i="3"/>
  <c r="BA16" i="3"/>
  <c r="BC16" i="3" s="1"/>
  <c r="BY16" i="3"/>
  <c r="CA16" i="3" s="1"/>
  <c r="CC16" i="3"/>
  <c r="BG16" i="3"/>
  <c r="BV16" i="3"/>
  <c r="CC8" i="3"/>
  <c r="BA8" i="3"/>
  <c r="BC8" i="3" s="1"/>
  <c r="BH8" i="3"/>
  <c r="BG8" i="3"/>
  <c r="AU8" i="3"/>
  <c r="R8" i="3"/>
  <c r="AO8" i="3" s="1"/>
  <c r="BR8" i="3"/>
  <c r="BQ8" i="3"/>
  <c r="BL8" i="3"/>
  <c r="BV8" i="3"/>
  <c r="BY8" i="3"/>
  <c r="CA8" i="3" s="1"/>
  <c r="BM8" i="3"/>
  <c r="BZ8" i="3"/>
  <c r="BB8" i="3"/>
  <c r="AT8" i="3"/>
  <c r="AV8" i="3" s="1"/>
  <c r="BW8" i="3"/>
  <c r="AT15" i="3"/>
  <c r="AV15" i="3" s="1"/>
  <c r="BM15" i="3"/>
  <c r="AU15" i="3"/>
  <c r="BH15" i="3"/>
  <c r="BG15" i="3"/>
  <c r="BQ15" i="3"/>
  <c r="BZ15" i="3"/>
  <c r="BB15" i="3"/>
  <c r="BA15" i="3"/>
  <c r="BC15" i="3" s="1"/>
  <c r="BL15" i="3"/>
  <c r="R15" i="3"/>
  <c r="AO15" i="3" s="1"/>
  <c r="BW15" i="3"/>
  <c r="BV15" i="3"/>
  <c r="BY15" i="3"/>
  <c r="CA15" i="3" s="1"/>
  <c r="BR15" i="3"/>
  <c r="CC15" i="3"/>
  <c r="AT12" i="3"/>
  <c r="AV12" i="3" s="1"/>
  <c r="BH12" i="3"/>
  <c r="CC12" i="3"/>
  <c r="BL12" i="3"/>
  <c r="BV12" i="3"/>
  <c r="BB12" i="3"/>
  <c r="BY12" i="3"/>
  <c r="CA12" i="3" s="1"/>
  <c r="AU12" i="3"/>
  <c r="BW12" i="3"/>
  <c r="BR12" i="3"/>
  <c r="R12" i="3"/>
  <c r="AO12" i="3" s="1"/>
  <c r="BQ12" i="3"/>
  <c r="BG12" i="3"/>
  <c r="BA12" i="3"/>
  <c r="BC12" i="3" s="1"/>
  <c r="BZ12" i="3"/>
  <c r="BM12" i="3"/>
  <c r="N2" i="1"/>
  <c r="AR5" i="1" l="1"/>
  <c r="AR6" i="1"/>
  <c r="AR9" i="1"/>
  <c r="AR14" i="1"/>
  <c r="AR15" i="1"/>
  <c r="AR16" i="1"/>
  <c r="AR17" i="1"/>
  <c r="AR18" i="1"/>
  <c r="AR12" i="1"/>
  <c r="AR4" i="1"/>
  <c r="O14" i="10" l="1"/>
  <c r="AF14" i="10" s="1"/>
  <c r="AM14" i="10" s="1"/>
  <c r="O6" i="10"/>
  <c r="O5" i="10"/>
  <c r="AF5" i="10" s="1"/>
  <c r="AM5" i="10" s="1"/>
  <c r="O4" i="10"/>
  <c r="AX33" i="10" l="1"/>
  <c r="AX5" i="10"/>
  <c r="AX19" i="10" s="1"/>
  <c r="AF4" i="10"/>
  <c r="AM4" i="10" s="1"/>
  <c r="AF6" i="10"/>
  <c r="AM6" i="10" s="1"/>
  <c r="AX7" i="10" s="1"/>
  <c r="T14" i="5"/>
  <c r="AQ14" i="5" s="1"/>
  <c r="O16" i="10"/>
  <c r="AF16" i="10" s="1"/>
  <c r="T15" i="5"/>
  <c r="AJ15" i="5" s="1"/>
  <c r="O17" i="10"/>
  <c r="T13" i="5"/>
  <c r="AQ13" i="5" s="1"/>
  <c r="O15" i="10"/>
  <c r="T16" i="5"/>
  <c r="AQ16" i="5" s="1"/>
  <c r="O18" i="10"/>
  <c r="AF18" i="10" s="1"/>
  <c r="AM18" i="10" s="1"/>
  <c r="AX14" i="10" s="1"/>
  <c r="AX27" i="10" s="1"/>
  <c r="AX42" i="10" s="1"/>
  <c r="T3" i="5"/>
  <c r="T4" i="5"/>
  <c r="T7" i="5"/>
  <c r="T2" i="5"/>
  <c r="M14" i="3"/>
  <c r="M8" i="3"/>
  <c r="M15" i="3"/>
  <c r="M11" i="3"/>
  <c r="M16" i="3"/>
  <c r="M13" i="3"/>
  <c r="M12" i="3"/>
  <c r="AG13" i="5" l="1"/>
  <c r="AG16" i="5"/>
  <c r="AO14" i="5"/>
  <c r="AG15" i="5"/>
  <c r="AJ14" i="5"/>
  <c r="AM13" i="5"/>
  <c r="AO13" i="5"/>
  <c r="AM15" i="5"/>
  <c r="AM14" i="5"/>
  <c r="AJ13" i="5"/>
  <c r="AG14" i="5"/>
  <c r="AO16" i="5"/>
  <c r="AO15" i="5"/>
  <c r="AM16" i="5"/>
  <c r="AJ16" i="5"/>
  <c r="AQ15" i="5"/>
  <c r="AX37" i="10"/>
  <c r="AX20" i="10"/>
  <c r="AF17" i="10"/>
  <c r="AM17" i="10" s="1"/>
  <c r="AF15" i="10"/>
  <c r="AM15" i="10" s="1"/>
  <c r="AX9" i="10" s="1"/>
  <c r="AX22" i="10" s="1"/>
  <c r="AX38" i="10" s="1"/>
  <c r="AM16" i="10"/>
  <c r="AG7" i="5"/>
  <c r="AJ7" i="5"/>
  <c r="AO7" i="5"/>
  <c r="AM7" i="5"/>
  <c r="AQ7" i="5"/>
  <c r="AJ2" i="5"/>
  <c r="AQ2" i="5"/>
  <c r="AO2" i="5"/>
  <c r="AM2" i="5"/>
  <c r="AG2" i="5"/>
  <c r="AO3" i="5"/>
  <c r="AM3" i="5"/>
  <c r="AG3" i="5"/>
  <c r="AJ3" i="5"/>
  <c r="AQ3" i="5"/>
  <c r="AQ4" i="5"/>
  <c r="AJ4" i="5"/>
  <c r="AG4" i="5"/>
  <c r="AO4" i="5"/>
  <c r="AM4" i="5"/>
  <c r="AS11" i="3"/>
  <c r="AJ11" i="3"/>
  <c r="AZ11" i="3"/>
  <c r="BF11" i="3"/>
  <c r="BX11" i="3"/>
  <c r="BP11" i="3"/>
  <c r="AC11" i="3"/>
  <c r="BU11" i="3"/>
  <c r="BK11" i="3"/>
  <c r="CE11" i="3"/>
  <c r="AG11" i="3"/>
  <c r="AG12" i="3"/>
  <c r="AS12" i="3"/>
  <c r="BP12" i="3"/>
  <c r="AJ12" i="3"/>
  <c r="BX12" i="3"/>
  <c r="AC12" i="3"/>
  <c r="CE12" i="3"/>
  <c r="AZ12" i="3"/>
  <c r="BU12" i="3"/>
  <c r="BK12" i="3"/>
  <c r="BF12" i="3"/>
  <c r="AG16" i="3"/>
  <c r="BX16" i="3"/>
  <c r="BF16" i="3"/>
  <c r="CE16" i="3"/>
  <c r="AZ16" i="3"/>
  <c r="AC16" i="3"/>
  <c r="AJ16" i="3"/>
  <c r="AS16" i="3"/>
  <c r="BK16" i="3"/>
  <c r="BU16" i="3"/>
  <c r="BP16" i="3"/>
  <c r="BU15" i="3"/>
  <c r="CE15" i="3"/>
  <c r="BK15" i="3"/>
  <c r="BP15" i="3"/>
  <c r="BF15" i="3"/>
  <c r="AJ15" i="3"/>
  <c r="AZ15" i="3"/>
  <c r="AC15" i="3"/>
  <c r="AS15" i="3"/>
  <c r="AG15" i="3"/>
  <c r="BX15" i="3"/>
  <c r="AZ14" i="3"/>
  <c r="AG14" i="3"/>
  <c r="BX14" i="3"/>
  <c r="AC14" i="3"/>
  <c r="BU14" i="3"/>
  <c r="BK14" i="3"/>
  <c r="BF14" i="3"/>
  <c r="CE14" i="3"/>
  <c r="AJ14" i="3"/>
  <c r="BP14" i="3"/>
  <c r="AS14" i="3"/>
  <c r="AJ13" i="3"/>
  <c r="AS13" i="3"/>
  <c r="AG13" i="3"/>
  <c r="AC13" i="3"/>
  <c r="BU13" i="3"/>
  <c r="CE13" i="3"/>
  <c r="BX13" i="3"/>
  <c r="AZ13" i="3"/>
  <c r="BF13" i="3"/>
  <c r="BK13" i="3"/>
  <c r="BP13" i="3"/>
  <c r="AS8" i="3"/>
  <c r="AJ8" i="3"/>
  <c r="CE8" i="3"/>
  <c r="BF8" i="3"/>
  <c r="BK8" i="3"/>
  <c r="AG8" i="3"/>
  <c r="AC8" i="3"/>
  <c r="BU8" i="3"/>
  <c r="BP8" i="3"/>
  <c r="AZ8" i="3"/>
  <c r="BX8" i="3"/>
  <c r="AX28" i="10" l="1"/>
  <c r="AX11" i="10"/>
  <c r="AX39" i="10"/>
  <c r="AX13" i="10"/>
  <c r="AX26" i="10" s="1"/>
  <c r="AX41" i="10" s="1"/>
  <c r="AH38" i="3"/>
  <c r="AI38" i="3"/>
  <c r="AX16" i="10" l="1"/>
  <c r="AX30" i="10"/>
  <c r="AX2" i="10"/>
  <c r="W9" i="1" l="1"/>
  <c r="S9" i="1"/>
  <c r="R9" i="1"/>
  <c r="P9" i="1"/>
  <c r="L9" i="1"/>
  <c r="K9" i="1"/>
  <c r="J9" i="1"/>
  <c r="C14" i="2" l="1"/>
  <c r="C15" i="2"/>
  <c r="C16" i="2" s="1"/>
  <c r="I6" i="3" l="1"/>
  <c r="I7" i="3"/>
  <c r="I4" i="3"/>
  <c r="I5" i="3"/>
  <c r="I3" i="3"/>
  <c r="C1" i="2" l="1"/>
  <c r="J5" i="1" l="1"/>
  <c r="J6" i="1"/>
  <c r="J14" i="1"/>
  <c r="J15" i="1"/>
  <c r="J16" i="1"/>
  <c r="J17" i="1"/>
  <c r="J18" i="1"/>
  <c r="J12" i="1"/>
  <c r="R5" i="1"/>
  <c r="S5" i="1"/>
  <c r="R6" i="1"/>
  <c r="S6" i="1"/>
  <c r="R14" i="1"/>
  <c r="S14" i="1"/>
  <c r="R15" i="1"/>
  <c r="S15" i="1"/>
  <c r="R16" i="1"/>
  <c r="S16" i="1"/>
  <c r="R17" i="1"/>
  <c r="S17" i="1"/>
  <c r="R18" i="1"/>
  <c r="S18" i="1"/>
  <c r="R12" i="1"/>
  <c r="S12" i="1"/>
  <c r="S4" i="1"/>
  <c r="R4" i="1"/>
  <c r="J4" i="1"/>
  <c r="S2" i="1" l="1"/>
  <c r="R2" i="1"/>
  <c r="D3" i="3" l="1"/>
  <c r="D6" i="3"/>
  <c r="D7" i="3"/>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W12" i="1" l="1"/>
  <c r="P12" i="1"/>
  <c r="L12" i="1"/>
  <c r="K12" i="1"/>
  <c r="S17" i="4" l="1"/>
  <c r="R17" i="4"/>
  <c r="Q17" i="4"/>
  <c r="U18" i="4"/>
  <c r="S18" i="4"/>
  <c r="R18" i="4"/>
  <c r="Q18" i="4"/>
  <c r="U17" i="4"/>
  <c r="W14" i="1" l="1"/>
  <c r="P14" i="1"/>
  <c r="K14" i="1"/>
  <c r="L14" i="1"/>
  <c r="F4" i="3" l="1"/>
  <c r="H4" i="3" s="1"/>
  <c r="J4" i="3"/>
  <c r="K4" i="3"/>
  <c r="L4" i="3"/>
  <c r="M4" i="3"/>
  <c r="N4" i="3"/>
  <c r="O4" i="3"/>
  <c r="P4" i="3"/>
  <c r="Q4" i="3"/>
  <c r="F5" i="3"/>
  <c r="H5" i="3" s="1"/>
  <c r="J5" i="3"/>
  <c r="K5" i="3"/>
  <c r="L5" i="3"/>
  <c r="M5" i="3"/>
  <c r="N5" i="3"/>
  <c r="O5" i="3"/>
  <c r="P5" i="3"/>
  <c r="Q5" i="3"/>
  <c r="F6" i="3"/>
  <c r="H6" i="3" s="1"/>
  <c r="J6" i="3"/>
  <c r="K6" i="3"/>
  <c r="L6" i="3"/>
  <c r="M6" i="3"/>
  <c r="N6" i="3"/>
  <c r="O6" i="3"/>
  <c r="P6" i="3"/>
  <c r="Q6" i="3"/>
  <c r="F7" i="3"/>
  <c r="H7" i="3" s="1"/>
  <c r="J7" i="3"/>
  <c r="K7" i="3"/>
  <c r="L7" i="3"/>
  <c r="M7" i="3"/>
  <c r="N7" i="3"/>
  <c r="O7" i="3"/>
  <c r="P7" i="3"/>
  <c r="Q7" i="3"/>
  <c r="L3" i="3"/>
  <c r="M3" i="3"/>
  <c r="N3" i="3"/>
  <c r="O3" i="3"/>
  <c r="P3" i="3"/>
  <c r="Q3" i="3"/>
  <c r="K3" i="3"/>
  <c r="J3" i="3"/>
  <c r="F3" i="3"/>
  <c r="H3" i="3" s="1"/>
  <c r="D4" i="3"/>
  <c r="D5" i="3"/>
  <c r="B4" i="3"/>
  <c r="B5" i="3"/>
  <c r="B6" i="3"/>
  <c r="B7" i="3"/>
  <c r="B3" i="3"/>
  <c r="A4" i="3"/>
  <c r="A5" i="3"/>
  <c r="A6" i="3"/>
  <c r="A7" i="3"/>
  <c r="A3" i="3"/>
  <c r="AN7" i="3" l="1"/>
  <c r="CE3" i="3"/>
  <c r="T3" i="3"/>
  <c r="AN4" i="3"/>
  <c r="G3" i="3"/>
  <c r="R7" i="3"/>
  <c r="AO7" i="3" s="1"/>
  <c r="BA7" i="3"/>
  <c r="BC7" i="3" s="1"/>
  <c r="BR7" i="3"/>
  <c r="AT7" i="3"/>
  <c r="AV7" i="3" s="1"/>
  <c r="BH7" i="3"/>
  <c r="BM7" i="3"/>
  <c r="BW7" i="3"/>
  <c r="W7" i="3"/>
  <c r="Y7" i="3" s="1"/>
  <c r="X7" i="3"/>
  <c r="S6" i="3"/>
  <c r="AU6" i="3"/>
  <c r="BB6" i="3"/>
  <c r="CC6" i="3"/>
  <c r="CB6" i="3"/>
  <c r="CD6" i="3" s="1"/>
  <c r="T6" i="3"/>
  <c r="AH6" i="3"/>
  <c r="AL6" i="3"/>
  <c r="AP6" i="3"/>
  <c r="AR6" i="3" s="1"/>
  <c r="BJ6" i="3"/>
  <c r="BN6" i="3"/>
  <c r="AD6" i="3"/>
  <c r="AF6" i="3" s="1"/>
  <c r="AI6" i="3"/>
  <c r="AM6" i="3"/>
  <c r="AQ6" i="3"/>
  <c r="AW6" i="3"/>
  <c r="AY6" i="3" s="1"/>
  <c r="AE6" i="3"/>
  <c r="AX6" i="3"/>
  <c r="Z6" i="3"/>
  <c r="AB6" i="3" s="1"/>
  <c r="BD6" i="3"/>
  <c r="BI6" i="3"/>
  <c r="BO6" i="3"/>
  <c r="BT6" i="3"/>
  <c r="BE6" i="3"/>
  <c r="BS6" i="3"/>
  <c r="AA6" i="3"/>
  <c r="BV5" i="3"/>
  <c r="BG5" i="3"/>
  <c r="BL5" i="3"/>
  <c r="BQ5" i="3"/>
  <c r="AK5" i="3"/>
  <c r="R4" i="3"/>
  <c r="AO4" i="3" s="1"/>
  <c r="BA4" i="3"/>
  <c r="BC4" i="3" s="1"/>
  <c r="BR4" i="3"/>
  <c r="BW4" i="3"/>
  <c r="BH4" i="3"/>
  <c r="AT4" i="3"/>
  <c r="AV4" i="3" s="1"/>
  <c r="BM4" i="3"/>
  <c r="W4" i="3"/>
  <c r="Y4" i="3" s="1"/>
  <c r="X4" i="3"/>
  <c r="BZ5" i="3"/>
  <c r="BY5" i="3"/>
  <c r="CA5" i="3" s="1"/>
  <c r="AC7" i="3"/>
  <c r="BF7" i="3"/>
  <c r="BX7" i="3"/>
  <c r="CE7" i="3"/>
  <c r="BK7" i="3"/>
  <c r="BP7" i="3"/>
  <c r="BU7" i="3"/>
  <c r="AG7" i="3"/>
  <c r="AS7" i="3"/>
  <c r="AJ7" i="3"/>
  <c r="AZ7" i="3"/>
  <c r="G7" i="3"/>
  <c r="BV6" i="3"/>
  <c r="BG6" i="3"/>
  <c r="BL6" i="3"/>
  <c r="BQ6" i="3"/>
  <c r="AK6" i="3"/>
  <c r="S5" i="3"/>
  <c r="AU5" i="3"/>
  <c r="BB5" i="3"/>
  <c r="CB5" i="3"/>
  <c r="CD5" i="3" s="1"/>
  <c r="CC5" i="3"/>
  <c r="AH5" i="3"/>
  <c r="AL5" i="3"/>
  <c r="AP5" i="3"/>
  <c r="AR5" i="3" s="1"/>
  <c r="BJ5" i="3"/>
  <c r="BN5" i="3"/>
  <c r="AD5" i="3"/>
  <c r="AF5" i="3" s="1"/>
  <c r="AI5" i="3"/>
  <c r="AM5" i="3"/>
  <c r="AQ5" i="3"/>
  <c r="AW5" i="3"/>
  <c r="AY5" i="3" s="1"/>
  <c r="BO5" i="3"/>
  <c r="BS5" i="3"/>
  <c r="AE5" i="3"/>
  <c r="AX5" i="3"/>
  <c r="Z5" i="3"/>
  <c r="AB5" i="3" s="1"/>
  <c r="BD5" i="3"/>
  <c r="BT5" i="3"/>
  <c r="BI5" i="3"/>
  <c r="AA5" i="3"/>
  <c r="BE5" i="3"/>
  <c r="AC4" i="3"/>
  <c r="BF4" i="3"/>
  <c r="BK4" i="3"/>
  <c r="AJ4" i="3"/>
  <c r="AS4" i="3"/>
  <c r="BP4" i="3"/>
  <c r="BX4" i="3"/>
  <c r="CE4" i="3"/>
  <c r="AG4" i="3"/>
  <c r="AZ4" i="3"/>
  <c r="BU4" i="3"/>
  <c r="G4" i="3"/>
  <c r="BZ7" i="3"/>
  <c r="BY7" i="3"/>
  <c r="CA7" i="3" s="1"/>
  <c r="BZ4" i="3"/>
  <c r="BY4" i="3"/>
  <c r="CA4" i="3" s="1"/>
  <c r="AN3" i="3"/>
  <c r="S7" i="3"/>
  <c r="AU7" i="3"/>
  <c r="BB7" i="3"/>
  <c r="CB7" i="3"/>
  <c r="CD7" i="3" s="1"/>
  <c r="CC7" i="3"/>
  <c r="T7" i="3"/>
  <c r="AH7" i="3"/>
  <c r="AL7" i="3"/>
  <c r="AP7" i="3"/>
  <c r="AR7" i="3" s="1"/>
  <c r="BJ7" i="3"/>
  <c r="BN7" i="3"/>
  <c r="AA7" i="3"/>
  <c r="AI7" i="3"/>
  <c r="BS7" i="3"/>
  <c r="AE7" i="3"/>
  <c r="AQ7" i="3"/>
  <c r="AX7" i="3"/>
  <c r="BE7" i="3"/>
  <c r="AD7" i="3"/>
  <c r="AF7" i="3" s="1"/>
  <c r="BD7" i="3"/>
  <c r="BO7" i="3"/>
  <c r="BI7" i="3"/>
  <c r="AM7" i="3"/>
  <c r="AW7" i="3"/>
  <c r="AY7" i="3" s="1"/>
  <c r="BT7" i="3"/>
  <c r="Z7" i="3"/>
  <c r="AB7" i="3" s="1"/>
  <c r="U6" i="3"/>
  <c r="V6" i="3" s="1"/>
  <c r="AN6" i="3"/>
  <c r="AC6" i="3"/>
  <c r="BF6" i="3"/>
  <c r="AJ6" i="3"/>
  <c r="AS6" i="3"/>
  <c r="AG6" i="3"/>
  <c r="AZ6" i="3"/>
  <c r="BX6" i="3"/>
  <c r="BP6" i="3"/>
  <c r="BU6" i="3"/>
  <c r="CE6" i="3"/>
  <c r="BK6" i="3"/>
  <c r="G6" i="3"/>
  <c r="R5" i="3"/>
  <c r="AO5" i="3" s="1"/>
  <c r="BA5" i="3"/>
  <c r="BC5" i="3" s="1"/>
  <c r="BR5" i="3"/>
  <c r="BW5" i="3"/>
  <c r="BH5" i="3"/>
  <c r="AT5" i="3"/>
  <c r="AV5" i="3" s="1"/>
  <c r="BM5" i="3"/>
  <c r="W5" i="3"/>
  <c r="Y5" i="3" s="1"/>
  <c r="X5" i="3"/>
  <c r="S4" i="3"/>
  <c r="AU4" i="3"/>
  <c r="BB4" i="3"/>
  <c r="CB4" i="3"/>
  <c r="CD4" i="3" s="1"/>
  <c r="CC4" i="3"/>
  <c r="T4" i="3"/>
  <c r="AH4" i="3"/>
  <c r="AL4" i="3"/>
  <c r="AP4" i="3"/>
  <c r="AR4" i="3" s="1"/>
  <c r="BJ4" i="3"/>
  <c r="BN4" i="3"/>
  <c r="AD4" i="3"/>
  <c r="AF4" i="3" s="1"/>
  <c r="AI4" i="3"/>
  <c r="AM4" i="3"/>
  <c r="AQ4" i="3"/>
  <c r="AW4" i="3"/>
  <c r="AY4" i="3" s="1"/>
  <c r="BO4" i="3"/>
  <c r="BS4" i="3"/>
  <c r="Z4" i="3"/>
  <c r="AB4" i="3" s="1"/>
  <c r="BD4" i="3"/>
  <c r="BT4" i="3"/>
  <c r="AE4" i="3"/>
  <c r="AX4" i="3"/>
  <c r="AA4" i="3"/>
  <c r="BE4" i="3"/>
  <c r="BI4" i="3"/>
  <c r="BZ6" i="3"/>
  <c r="BY6" i="3"/>
  <c r="CA6" i="3" s="1"/>
  <c r="BZ3" i="3"/>
  <c r="R3" i="3"/>
  <c r="AO3" i="3" s="1"/>
  <c r="BV7" i="3"/>
  <c r="AK7" i="3"/>
  <c r="BG7" i="3"/>
  <c r="BQ7" i="3"/>
  <c r="BL7" i="3"/>
  <c r="U7" i="3"/>
  <c r="V7" i="3" s="1"/>
  <c r="R6" i="3"/>
  <c r="AO6" i="3" s="1"/>
  <c r="BA6" i="3"/>
  <c r="BC6" i="3" s="1"/>
  <c r="BR6" i="3"/>
  <c r="BW6" i="3"/>
  <c r="BM6" i="3"/>
  <c r="AT6" i="3"/>
  <c r="AV6" i="3" s="1"/>
  <c r="BH6" i="3"/>
  <c r="W6" i="3"/>
  <c r="Y6" i="3" s="1"/>
  <c r="X6" i="3"/>
  <c r="U5" i="3"/>
  <c r="V5" i="3" s="1"/>
  <c r="AN5" i="3"/>
  <c r="AC5" i="3"/>
  <c r="BF5" i="3"/>
  <c r="BK5" i="3"/>
  <c r="BP5" i="3"/>
  <c r="BX5" i="3"/>
  <c r="AJ5" i="3"/>
  <c r="AS5" i="3"/>
  <c r="CE5" i="3"/>
  <c r="AZ5" i="3"/>
  <c r="AG5" i="3"/>
  <c r="BU5" i="3"/>
  <c r="G5" i="3"/>
  <c r="BV4" i="3"/>
  <c r="BG4" i="3"/>
  <c r="BL4" i="3"/>
  <c r="BQ4" i="3"/>
  <c r="AK4" i="3"/>
  <c r="U4" i="3"/>
  <c r="V4" i="3" s="1"/>
  <c r="BY3" i="3"/>
  <c r="CA3" i="3" s="1"/>
  <c r="S3" i="3"/>
  <c r="T5" i="3"/>
  <c r="U3" i="3"/>
  <c r="V3" i="3" s="1"/>
  <c r="AC3" i="3"/>
  <c r="AG3" i="3"/>
  <c r="AK3" i="3"/>
  <c r="AS3" i="3"/>
  <c r="AW3" i="3"/>
  <c r="AY3" i="3" s="1"/>
  <c r="BA3" i="3"/>
  <c r="BC3" i="3" s="1"/>
  <c r="BE3" i="3"/>
  <c r="BI3" i="3"/>
  <c r="BM3" i="3"/>
  <c r="BQ3" i="3"/>
  <c r="BU3" i="3"/>
  <c r="CC3" i="3"/>
  <c r="Z3" i="3"/>
  <c r="AB3" i="3" s="1"/>
  <c r="AH3" i="3"/>
  <c r="AP3" i="3"/>
  <c r="AR3" i="3" s="1"/>
  <c r="AX3" i="3"/>
  <c r="BB3" i="3"/>
  <c r="BF3" i="3"/>
  <c r="BJ3" i="3"/>
  <c r="BN3" i="3"/>
  <c r="BR3" i="3"/>
  <c r="BV3" i="3"/>
  <c r="X3" i="3"/>
  <c r="AJ3" i="3"/>
  <c r="AZ3" i="3"/>
  <c r="BD3" i="3"/>
  <c r="BH3" i="3"/>
  <c r="BL3" i="3"/>
  <c r="BP3" i="3"/>
  <c r="BT3" i="3"/>
  <c r="BX3" i="3"/>
  <c r="CB3" i="3"/>
  <c r="CD3" i="3" s="1"/>
  <c r="AD3" i="3"/>
  <c r="AF3" i="3" s="1"/>
  <c r="AL3" i="3"/>
  <c r="AT3" i="3"/>
  <c r="AV3" i="3" s="1"/>
  <c r="W3" i="3"/>
  <c r="Y3" i="3" s="1"/>
  <c r="AA3" i="3"/>
  <c r="AE3" i="3"/>
  <c r="AI3" i="3"/>
  <c r="AM3" i="3"/>
  <c r="AQ3" i="3"/>
  <c r="AU3" i="3"/>
  <c r="BG3" i="3"/>
  <c r="BK3" i="3"/>
  <c r="BO3" i="3"/>
  <c r="BS3" i="3"/>
  <c r="BW3" i="3"/>
  <c r="AH36" i="3" l="1"/>
  <c r="AI40" i="3" s="1"/>
  <c r="AI36" i="3"/>
  <c r="AH40" i="3" s="1"/>
  <c r="W15" i="1"/>
  <c r="P15" i="1"/>
  <c r="L15" i="1"/>
  <c r="K15" i="1"/>
  <c r="W16" i="1" l="1"/>
  <c r="P16" i="1"/>
  <c r="L16" i="1"/>
  <c r="K16" i="1"/>
  <c r="W17" i="1" l="1"/>
  <c r="P17" i="1"/>
  <c r="L17" i="1"/>
  <c r="K17" i="1"/>
  <c r="V2" i="1" l="1"/>
  <c r="T2" i="1"/>
  <c r="W2" i="1" l="1"/>
  <c r="C9" i="2"/>
  <c r="C10" i="2" s="1"/>
  <c r="B9" i="2"/>
  <c r="B10" i="2" s="1"/>
  <c r="AE2" i="1" l="1"/>
  <c r="Q2" i="1"/>
  <c r="O2" i="1"/>
  <c r="I2" i="1"/>
  <c r="W18" i="1" l="1"/>
  <c r="L18" i="1"/>
  <c r="K18" i="1"/>
  <c r="P18" i="1"/>
  <c r="D2" i="1"/>
  <c r="W6" i="1"/>
  <c r="L6" i="1"/>
  <c r="K6" i="1"/>
  <c r="P6" i="1"/>
  <c r="W5" i="1"/>
  <c r="L5" i="1"/>
  <c r="K5" i="1"/>
  <c r="P5" i="1"/>
  <c r="W4" i="1"/>
  <c r="L4" i="1"/>
  <c r="K4" i="1"/>
  <c r="P4" i="1"/>
  <c r="F21" i="1" l="1"/>
  <c r="F17" i="1"/>
  <c r="F15" i="1"/>
  <c r="F20" i="1"/>
  <c r="F30" i="1"/>
  <c r="F8" i="1"/>
  <c r="H6" i="5" s="1"/>
  <c r="F26" i="1"/>
  <c r="C24" i="3" s="1"/>
  <c r="F29" i="1"/>
  <c r="F25" i="1"/>
  <c r="F31" i="1"/>
  <c r="F11" i="1"/>
  <c r="C11" i="1" s="1"/>
  <c r="F28" i="1"/>
  <c r="F27" i="1"/>
  <c r="F23" i="1"/>
  <c r="F24" i="1"/>
  <c r="F19" i="1"/>
  <c r="F22" i="1"/>
  <c r="F4" i="1"/>
  <c r="F7" i="1"/>
  <c r="F9" i="1"/>
  <c r="F18" i="1"/>
  <c r="F5" i="1"/>
  <c r="F13" i="1"/>
  <c r="F16" i="1"/>
  <c r="F10" i="1"/>
  <c r="F12" i="1"/>
  <c r="F14" i="1"/>
  <c r="F6" i="1"/>
  <c r="C31" i="1" l="1"/>
  <c r="C29" i="3"/>
  <c r="C30" i="1"/>
  <c r="C28" i="3"/>
  <c r="C29" i="1"/>
  <c r="C27" i="3"/>
  <c r="C24" i="1"/>
  <c r="C22" i="3"/>
  <c r="C28" i="1"/>
  <c r="C26" i="3"/>
  <c r="C23" i="1"/>
  <c r="C21" i="3"/>
  <c r="C19" i="1"/>
  <c r="C17" i="3"/>
  <c r="C20" i="1"/>
  <c r="C18" i="3"/>
  <c r="C22" i="1"/>
  <c r="C20" i="3"/>
  <c r="C27" i="1"/>
  <c r="C25" i="3"/>
  <c r="C25" i="1"/>
  <c r="C23" i="3"/>
  <c r="C21" i="1"/>
  <c r="C19" i="3"/>
  <c r="C26" i="1"/>
  <c r="H12" i="5"/>
  <c r="N12" i="5" s="1"/>
  <c r="I6" i="5"/>
  <c r="K6" i="5" s="1"/>
  <c r="N6" i="5"/>
  <c r="C9" i="1"/>
  <c r="F8" i="10"/>
  <c r="AB8" i="10" s="1"/>
  <c r="C8" i="1"/>
  <c r="C8" i="10" s="1"/>
  <c r="F4" i="10"/>
  <c r="AB4" i="10" s="1"/>
  <c r="F13" i="10"/>
  <c r="AB13" i="10" s="1"/>
  <c r="F12" i="10"/>
  <c r="AB12" i="10" s="1"/>
  <c r="F17" i="10"/>
  <c r="AB17" i="10" s="1"/>
  <c r="F6" i="10"/>
  <c r="AB6" i="10" s="1"/>
  <c r="F7" i="10"/>
  <c r="AB7" i="10" s="1"/>
  <c r="F14" i="10"/>
  <c r="AB14" i="10" s="1"/>
  <c r="F5" i="10"/>
  <c r="AB5" i="10" s="1"/>
  <c r="F18" i="10"/>
  <c r="AB18" i="10" s="1"/>
  <c r="F15" i="10"/>
  <c r="AB15" i="10" s="1"/>
  <c r="F9" i="10"/>
  <c r="AB9" i="10" s="1"/>
  <c r="F10" i="10"/>
  <c r="AB10" i="10" s="1"/>
  <c r="F11" i="10"/>
  <c r="AB11" i="10" s="1"/>
  <c r="F16" i="10"/>
  <c r="AB16" i="10" s="1"/>
  <c r="H8" i="5"/>
  <c r="I8" i="5" s="1"/>
  <c r="K8" i="5" s="1"/>
  <c r="H2" i="5"/>
  <c r="I2" i="5" s="1"/>
  <c r="K2" i="5" s="1"/>
  <c r="H13" i="5"/>
  <c r="I13" i="5" s="1"/>
  <c r="K13" i="5" s="1"/>
  <c r="H11" i="5"/>
  <c r="N11" i="5" s="1"/>
  <c r="H10" i="5"/>
  <c r="N10" i="5" s="1"/>
  <c r="H9" i="5"/>
  <c r="N9" i="5" s="1"/>
  <c r="H4" i="5"/>
  <c r="N4" i="5" s="1"/>
  <c r="B4" i="5" s="1"/>
  <c r="C17" i="1"/>
  <c r="C17" i="10" s="1"/>
  <c r="H15" i="5"/>
  <c r="C18" i="1"/>
  <c r="C18" i="10" s="1"/>
  <c r="H16" i="5"/>
  <c r="C16" i="1"/>
  <c r="C16" i="10" s="1"/>
  <c r="H14" i="5"/>
  <c r="H7" i="5"/>
  <c r="H3" i="5"/>
  <c r="H5" i="5"/>
  <c r="C7" i="1"/>
  <c r="C7" i="10" s="1"/>
  <c r="C13" i="1"/>
  <c r="C13" i="10" s="1"/>
  <c r="C10" i="1"/>
  <c r="C10" i="10" s="1"/>
  <c r="C11" i="10"/>
  <c r="C12" i="1"/>
  <c r="C15" i="1"/>
  <c r="C15" i="10" s="1"/>
  <c r="C14" i="1"/>
  <c r="C14" i="10" s="1"/>
  <c r="C5" i="1"/>
  <c r="C5" i="10" s="1"/>
  <c r="C6" i="1"/>
  <c r="C6" i="10" s="1"/>
  <c r="C4" i="1"/>
  <c r="C4" i="10" s="1"/>
  <c r="C12" i="3"/>
  <c r="C16" i="3"/>
  <c r="C15" i="3"/>
  <c r="C14" i="3"/>
  <c r="C13" i="3"/>
  <c r="C11" i="3"/>
  <c r="C10" i="3"/>
  <c r="C9" i="3"/>
  <c r="C8" i="3"/>
  <c r="C6" i="3"/>
  <c r="C7" i="3"/>
  <c r="C4" i="3"/>
  <c r="C5" i="3"/>
  <c r="C3" i="3"/>
  <c r="I12" i="5" l="1"/>
  <c r="K12" i="5" s="1"/>
  <c r="B12" i="5" s="1"/>
  <c r="B6" i="5"/>
  <c r="I10" i="5"/>
  <c r="K10" i="5" s="1"/>
  <c r="B10" i="5" s="1"/>
  <c r="N8" i="5"/>
  <c r="B8" i="5" s="1"/>
  <c r="N2" i="5"/>
  <c r="B2" i="5" s="1"/>
  <c r="I9" i="5"/>
  <c r="K9" i="5" s="1"/>
  <c r="B9" i="5" s="1"/>
  <c r="C9" i="10"/>
  <c r="C12" i="10"/>
  <c r="N13" i="5"/>
  <c r="B13" i="5" s="1"/>
  <c r="I11" i="5"/>
  <c r="K11" i="5" s="1"/>
  <c r="B11" i="5" s="1"/>
  <c r="N16" i="5"/>
  <c r="I16" i="5"/>
  <c r="K16" i="5" s="1"/>
  <c r="I15" i="5"/>
  <c r="K15" i="5" s="1"/>
  <c r="N15" i="5"/>
  <c r="N14" i="5"/>
  <c r="I14" i="5"/>
  <c r="K14" i="5" s="1"/>
  <c r="N7" i="5"/>
  <c r="I7" i="5"/>
  <c r="K7" i="5" s="1"/>
  <c r="I3" i="5"/>
  <c r="K3" i="5" s="1"/>
  <c r="N3" i="5"/>
  <c r="N5" i="5"/>
  <c r="I5" i="5"/>
  <c r="K5" i="5" s="1"/>
  <c r="B3" i="5" l="1"/>
  <c r="B16" i="5"/>
  <c r="B14" i="5"/>
  <c r="B15" i="5"/>
  <c r="B7" i="5"/>
  <c r="B5" i="5"/>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37" authorId="0" shapeId="0">
      <text>
        <r>
          <rPr>
            <b/>
            <sz val="8"/>
            <color indexed="81"/>
            <rFont val="Tahoma"/>
            <family val="2"/>
          </rPr>
          <t>Sacado del manual no escrito, no se sabe que son estos valores</t>
        </r>
      </text>
    </comment>
    <comment ref="D37"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BI1" authorId="0" shapeId="0">
      <text>
        <r>
          <rPr>
            <b/>
            <sz val="8"/>
            <color indexed="81"/>
            <rFont val="Tahoma"/>
            <family val="2"/>
          </rPr>
          <t>Sacado del manual no escrito, no se sabe que son estos valores</t>
        </r>
      </text>
    </comment>
    <comment ref="BJ1" authorId="0" shapeId="0">
      <text>
        <r>
          <rPr>
            <b/>
            <sz val="8"/>
            <color indexed="81"/>
            <rFont val="Tahoma"/>
            <family val="2"/>
          </rPr>
          <t>En partidos de Torneo con el predictor
-Campo neutral
-Espiritu: Ilusionats (6)
-Confiança: Alta (7)
Entrenador NEUTRO</t>
        </r>
      </text>
    </comment>
    <comment ref="K3" authorId="0" shapeId="0">
      <text>
        <r>
          <rPr>
            <sz val="8"/>
            <color indexed="81"/>
            <rFont val="Tahoma"/>
            <family val="2"/>
          </rPr>
          <t>Lid*Lid*Exp</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List>
</comments>
</file>

<file path=xl/sharedStrings.xml><?xml version="1.0" encoding="utf-8"?>
<sst xmlns="http://schemas.openxmlformats.org/spreadsheetml/2006/main" count="1011" uniqueCount="456">
  <si>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</si>
  <si>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</si>
  <si>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</si>
  <si>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</si>
  <si>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</si>
  <si>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</si>
  <si>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</si>
  <si>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</si>
  <si>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</si>
  <si>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</si>
  <si>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</si>
  <si>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</si>
  <si>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</si>
  <si>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</si>
  <si>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</si>
  <si>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</si>
  <si>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</si>
  <si>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</si>
  <si>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</si>
  <si>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</si>
  <si>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</si>
  <si>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</si>
  <si>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</si>
  <si>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</si>
  <si>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</si>
  <si>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</si>
  <si>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</si>
  <si>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</si>
  <si>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</si>
  <si>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</si>
  <si>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</si>
  <si>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</si>
  <si>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</si>
  <si>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</si>
  <si>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</si>
  <si>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</si>
  <si>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</si>
  <si>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</si>
  <si>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</si>
  <si>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</si>
  <si>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</si>
  <si>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</si>
  <si>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</si>
  <si>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</si>
  <si>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</si>
  <si>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</si>
  <si>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</si>
  <si>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Damián Sala</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</si>
  <si>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</si>
  <si>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</si>
  <si>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</si>
  <si>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</si>
  <si>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</si>
  <si>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</si>
  <si>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</si>
  <si>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</si>
  <si>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</si>
  <si>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</si>
  <si>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</si>
  <si>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</si>
  <si>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</si>
  <si>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</si>
  <si>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</si>
  <si>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</si>
  <si>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</si>
  <si>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</si>
  <si>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</si>
  <si>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</si>
  <si>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</si>
  <si>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</si>
  <si>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</si>
  <si>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</si>
  <si>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Adam Moss</t>
  </si>
  <si>
    <t>Saul Piña</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</si>
  <si>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</si>
  <si>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</si>
  <si>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</si>
  <si>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</si>
  <si>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</si>
  <si>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</si>
  <si>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</si>
  <si>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</si>
  <si>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</si>
  <si>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</si>
  <si>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</si>
  <si>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</si>
  <si>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</si>
  <si>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</si>
  <si>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</si>
  <si>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</si>
  <si>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</si>
  <si>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</si>
  <si>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</si>
  <si>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</si>
  <si>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</si>
  <si>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</si>
  <si>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</si>
  <si>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</si>
  <si>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</si>
  <si>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</si>
  <si>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</si>
  <si>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</si>
  <si>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</si>
  <si>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</si>
  <si>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</si>
  <si>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</si>
  <si>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</si>
  <si>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</si>
  <si>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</si>
  <si>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</si>
  <si>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</si>
  <si>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</si>
  <si>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</si>
  <si>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</si>
  <si>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</si>
  <si>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</si>
  <si>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</si>
  <si>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</si>
  <si>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</si>
  <si>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</si>
  <si>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</si>
  <si>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</si>
  <si>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</si>
  <si>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Tiempo</t>
  </si>
  <si>
    <t>PrecioCompra</t>
  </si>
  <si>
    <t>FechaVenta</t>
  </si>
  <si>
    <t>PrecioVenta</t>
  </si>
  <si>
    <t>SueldoSem</t>
  </si>
  <si>
    <t>SueldoTOTAL</t>
  </si>
  <si>
    <t>COSTE_TEMP</t>
  </si>
  <si>
    <t>BENEFICIO</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</si>
  <si>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</si>
  <si>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</si>
  <si>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</si>
  <si>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</si>
  <si>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</si>
  <si>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</si>
  <si>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</si>
  <si>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</si>
  <si>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</si>
  <si>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</si>
  <si>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</si>
  <si>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</si>
  <si>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</si>
  <si>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</si>
  <si>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</si>
  <si>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</si>
  <si>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</si>
  <si>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</si>
  <si>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</si>
  <si>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</si>
  <si>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</si>
  <si>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</si>
  <si>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</si>
  <si>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</si>
  <si>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</si>
  <si>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</si>
  <si>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</si>
  <si>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</si>
  <si>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</si>
  <si>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</si>
  <si>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</si>
  <si>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</si>
  <si>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</si>
  <si>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</si>
  <si>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</si>
  <si>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</si>
  <si>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</si>
  <si>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</si>
  <si>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</si>
  <si>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</si>
  <si>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</si>
  <si>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</si>
  <si>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</si>
  <si>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</si>
  <si>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</si>
  <si>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</si>
  <si>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</si>
  <si>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</si>
  <si>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</si>
  <si>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</si>
  <si>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</si>
  <si>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</si>
  <si>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</si>
  <si>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</si>
  <si>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</si>
  <si>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</si>
  <si>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</si>
  <si>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Gianfranco Rezza</t>
  </si>
  <si>
    <t>LID</t>
  </si>
  <si>
    <t>POT</t>
  </si>
  <si>
    <t>Ag</t>
  </si>
  <si>
    <t>Ho</t>
  </si>
  <si>
    <t>%_T</t>
  </si>
  <si>
    <t>Fcompra</t>
  </si>
  <si>
    <t>Ca</t>
  </si>
  <si>
    <t>A. Ilisie</t>
  </si>
  <si>
    <t>Logros:  0,25 y 3,75 (ambos no inclusive)</t>
  </si>
  <si>
    <t>h33</t>
  </si>
  <si>
    <t>DCNo</t>
  </si>
  <si>
    <t>DLNo</t>
  </si>
  <si>
    <t>COMPRA</t>
  </si>
  <si>
    <t>CosteTRA_BUENO</t>
  </si>
  <si>
    <t>COSTETOTAL_BUENO</t>
  </si>
  <si>
    <t>CosteTRA_EX</t>
  </si>
  <si>
    <t>COSTETOTAL_EX</t>
  </si>
  <si>
    <t>CAP</t>
  </si>
  <si>
    <t>Ojo, no es directo a calis, es un % para comparar entre varias POS</t>
  </si>
  <si>
    <t>Niveles¿?</t>
  </si>
  <si>
    <t>CALCULADO</t>
  </si>
  <si>
    <t>10niveles</t>
  </si>
  <si>
    <t>15niveles</t>
  </si>
  <si>
    <t>CMin</t>
  </si>
  <si>
    <t>CMax</t>
  </si>
  <si>
    <t>DEFLat1</t>
  </si>
  <si>
    <t>DEFLat2</t>
  </si>
  <si>
    <t>DEFCen</t>
  </si>
  <si>
    <t>MEDIO</t>
  </si>
  <si>
    <t>AtLat1</t>
  </si>
  <si>
    <t>AtLat2</t>
  </si>
  <si>
    <t>AtCen</t>
  </si>
  <si>
    <t>BPIAt</t>
  </si>
  <si>
    <t>BPIDf</t>
  </si>
  <si>
    <t>Dif</t>
  </si>
  <si>
    <t>LAT</t>
  </si>
  <si>
    <t>EN</t>
  </si>
  <si>
    <t>IOF</t>
  </si>
  <si>
    <t>532 MonoB-Central</t>
  </si>
  <si>
    <t>253 Bi+Central</t>
  </si>
  <si>
    <t>352 Mono+Central</t>
  </si>
  <si>
    <t>EhM</t>
  </si>
  <si>
    <t>IN</t>
  </si>
  <si>
    <t>DC</t>
  </si>
  <si>
    <t>DhL</t>
  </si>
  <si>
    <t>Ldef</t>
  </si>
  <si>
    <t>- 2 Central Defenders: -3.6%</t>
  </si>
  <si>
    <t>- 3 Central Defenders: -10%</t>
  </si>
  <si>
    <t>- 2 Inner Midfielders: -6.5%</t>
  </si>
  <si>
    <t>- 3 Inner Midfielders: -17.5%</t>
  </si>
  <si>
    <t>- 2 Forwads: -5.5%</t>
  </si>
  <si>
    <t>- 3 Forwards: -13.5%</t>
  </si>
  <si>
    <t>Morgan Thomas</t>
  </si>
  <si>
    <t>Emilio Mochelato</t>
  </si>
  <si>
    <t>Ibiur Altxakoa</t>
  </si>
  <si>
    <t>Csaba Mező</t>
  </si>
  <si>
    <t>Mario Omarini</t>
  </si>
  <si>
    <t>Andrea Califano</t>
  </si>
  <si>
    <t>Mateuz Brzostowski</t>
  </si>
  <si>
    <t>Cezary Pauch</t>
  </si>
  <si>
    <t>Iyad Chaabo</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</si>
  <si>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</si>
  <si>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</si>
  <si>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</si>
  <si>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</si>
  <si>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</si>
  <si>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</si>
  <si>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</si>
  <si>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</si>
  <si>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</si>
  <si>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</si>
  <si>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</si>
  <si>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</si>
  <si>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</si>
  <si>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</si>
  <si>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</si>
  <si>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</si>
  <si>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</si>
  <si>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</si>
  <si>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</si>
  <si>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</si>
  <si>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</si>
  <si>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</si>
  <si>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</si>
  <si>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</si>
  <si>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</si>
  <si>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</si>
  <si>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</si>
  <si>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</si>
  <si>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</si>
  <si>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</si>
  <si>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</si>
  <si>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</si>
  <si>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</si>
  <si>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</si>
  <si>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</si>
  <si>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</si>
  <si>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</si>
  <si>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</si>
  <si>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</si>
  <si>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</si>
  <si>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</si>
  <si>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</si>
  <si>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</si>
  <si>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</si>
  <si>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</si>
  <si>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</si>
  <si>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</si>
  <si>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</si>
  <si>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</si>
  <si>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</si>
  <si>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</si>
  <si>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</si>
  <si>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</si>
  <si>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</si>
  <si>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</si>
  <si>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</si>
  <si>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</si>
  <si>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</si>
  <si>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</si>
  <si>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</si>
  <si>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</si>
  <si>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</si>
  <si>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</si>
  <si>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</si>
  <si>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</si>
  <si>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</si>
  <si>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</si>
  <si>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</si>
  <si>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</si>
  <si>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</si>
  <si>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</si>
  <si>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</si>
  <si>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</si>
  <si>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Zlatko Lambreski (328408351)</t>
  </si>
  <si>
    <t>SEM</t>
  </si>
  <si>
    <t>Mohd Khairol Anuar bin Sarman (315156607)</t>
  </si>
  <si>
    <t>Mark Zvezdochkin (326892786)</t>
  </si>
  <si>
    <t>Jan Nordling (296711305)</t>
  </si>
  <si>
    <t>Mahmoudou Dieng (299582362)</t>
  </si>
  <si>
    <t>Adam Tough (308559100)</t>
  </si>
  <si>
    <t>Selim Setenčić (298158099)</t>
  </si>
  <si>
    <t>Joni Pänkäälä (255904977)</t>
  </si>
  <si>
    <t>Aker Barbosa (273363883)</t>
  </si>
  <si>
    <t>Mehmet Can Memnun (308641886)</t>
  </si>
  <si>
    <t>Hrishi Singh (223835657)</t>
  </si>
  <si>
    <t>Moussa Hanne (78847389)</t>
  </si>
  <si>
    <t>Nasser Abolhassan Rabadi (334581126)</t>
  </si>
  <si>
    <t>Manzoor Azwira Mohd Hassan (280737689)</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</si>
  <si>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</si>
  <si>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</si>
  <si>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</si>
  <si>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</si>
  <si>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</si>
  <si>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</si>
  <si>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</si>
  <si>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</si>
  <si>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</si>
  <si>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</si>
  <si>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</si>
  <si>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</si>
  <si>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</si>
  <si>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</si>
  <si>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</si>
  <si>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</si>
  <si>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</si>
  <si>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</si>
  <si>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</si>
  <si>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</si>
  <si>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</si>
  <si>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</si>
  <si>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</si>
  <si>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Ştefan Bugnar (337914184)</t>
  </si>
  <si>
    <t>Andriy Kapustynskiy (328024160)</t>
  </si>
  <si>
    <t>Antônio Luís Baratto (324040990)</t>
  </si>
  <si>
    <t>Duško Granić (342683737)</t>
  </si>
  <si>
    <t>马 (Ma) 偌山 (Ruoshan) (351012219)</t>
  </si>
  <si>
    <t>Abderrahim Nasri (184120048)</t>
  </si>
  <si>
    <t>Ricardo Mayne (346666094)</t>
  </si>
  <si>
    <t>TSI_A</t>
  </si>
  <si>
    <t>Qasem Najjar (336455183)</t>
  </si>
  <si>
    <t>Iso Herov (319212412)</t>
  </si>
  <si>
    <t>Godot Daimer (336100199)</t>
  </si>
  <si>
    <t>Chouaïb Bouzidi (328352761)</t>
  </si>
  <si>
    <t>Maximiliano Rivero (280920925)</t>
  </si>
  <si>
    <t>Iago Voyle (278537516)</t>
  </si>
  <si>
    <t>Tomas Flamerberg (309664193)</t>
  </si>
  <si>
    <t>Cai Busnelli (312634401)</t>
  </si>
  <si>
    <t>Hardo Krupinski (335853849)</t>
  </si>
  <si>
    <t>Jord Kooistra (308517541)</t>
  </si>
  <si>
    <t>Erik Labeeuw (308706405)</t>
  </si>
  <si>
    <t>Iosif Grigore (346716379)</t>
  </si>
  <si>
    <t>Marco Falegnami (306158791)</t>
  </si>
  <si>
    <t>Jesper Tausen (302356515)</t>
  </si>
  <si>
    <t>Jos Hoen (306984385)</t>
  </si>
  <si>
    <t>Eligiusz Brzeski (341900160)</t>
  </si>
  <si>
    <t>Andi Grottenkamp (299266359)</t>
  </si>
  <si>
    <t>Sílvio Nunes Pereira (308659414)</t>
  </si>
  <si>
    <t>Amílcar Prisco (295058801)</t>
  </si>
  <si>
    <t>Bernfried Neumühler (306266338)</t>
  </si>
  <si>
    <t>Kennet Aude Nielsen (314930851)</t>
  </si>
  <si>
    <t>Fawaz Al-Halali (332978655)</t>
  </si>
  <si>
    <t>Ambarisa Padmanabham (312214268)</t>
  </si>
  <si>
    <t>Juraj Papšík (267113007)</t>
  </si>
  <si>
    <t>Christian Allisoutin (340874605)</t>
  </si>
  <si>
    <t>Magsa Dampildorg (328619872)</t>
  </si>
  <si>
    <t>羅 (Luo) 義凌 (Yiling) (317853434)</t>
  </si>
  <si>
    <t>Hicham Ben-moussa (364862418)</t>
  </si>
  <si>
    <t>Antonio Ghiggia (322889270)</t>
  </si>
  <si>
    <t>Olivier Beaujouan (296151195)</t>
  </si>
  <si>
    <t>#21</t>
  </si>
  <si>
    <t>Enrique Cubas</t>
  </si>
  <si>
    <t>Fernando Gazón</t>
  </si>
  <si>
    <t>IMP</t>
  </si>
  <si>
    <t>HTMS</t>
  </si>
  <si>
    <t>#31</t>
  </si>
  <si>
    <t>#32</t>
  </si>
  <si>
    <t>Santiago Serra</t>
  </si>
  <si>
    <t>Eckardt Hägerling</t>
  </si>
  <si>
    <t>#33</t>
  </si>
  <si>
    <t>Roberto Abenoza</t>
  </si>
  <si>
    <t>#34</t>
  </si>
  <si>
    <t>Roberto Montero</t>
  </si>
  <si>
    <t>Julio Calle</t>
  </si>
  <si>
    <t>Paulo Beltrán</t>
  </si>
  <si>
    <t>Noel Fuster</t>
  </si>
  <si>
    <t>Nicolás Eans</t>
  </si>
  <si>
    <t>Jorge W. Whitaker</t>
  </si>
  <si>
    <t>Marc Dolz</t>
  </si>
  <si>
    <t>#22</t>
  </si>
  <si>
    <t>Valeri Gomis</t>
  </si>
  <si>
    <t>#41</t>
  </si>
  <si>
    <t>#42</t>
  </si>
  <si>
    <t>#43</t>
  </si>
  <si>
    <t>#44</t>
  </si>
  <si>
    <t>#45</t>
  </si>
  <si>
    <t>#46</t>
  </si>
  <si>
    <t>#23</t>
  </si>
  <si>
    <t>Juan Garcia Peñuela</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</si>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</sst>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_-* #,##0\ [$€-C0A]_-;\-* #,##0\ [$€-C0A]_-;_-* &quot;-&quot;??\ [$€-C0A]_-;_-@_-"/>
    <numFmt numFmtId="170" formatCode="0.0%"/>
    <numFmt numFmtId="171" formatCode="#,##0.0_ ;\-#,##0.0\ "/>
    <numFmt numFmtId="172" formatCode="_-* #,##0.0\ &quot;€&quot;_-;\-* #,##0.0\ &quot;€&quot;_-;_-* &quot;-&quot;??\ &quot;€&quot;_-;_-@_-"/>
  </numFmts>
  <fonts count="50"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b/>
      <sz val="11"/>
      <name val="Calibri"/>
      <family val="2"/>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sz val="8"/>
      <color rgb="FF00B050"/>
      <name val="Verdana"/>
      <family val="2"/>
    </font>
    <font>
      <i/>
      <sz val="11"/>
      <color theme="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b/>
      <sz val="11"/>
      <color indexed="8"/>
      <name val="Calibri"/>
      <family val="2"/>
      <charset val="1"/>
    </font>
    <font>
      <b/>
      <sz val="11"/>
      <name val="Calibri"/>
      <family val="2"/>
      <charset val="1"/>
    </font>
    <font>
      <sz val="11"/>
      <name val="Calibri"/>
      <family val="2"/>
      <charset val="1"/>
    </font>
    <font>
      <sz val="16"/>
      <name val="Verdana"/>
      <family val="2"/>
    </font>
    <font>
      <sz val="14"/>
      <name val="Verdana"/>
      <family val="2"/>
    </font>
    <font>
      <sz val="10"/>
      <name val="Verdana"/>
      <family val="2"/>
    </font>
    <font>
      <sz val="8.5"/>
      <name val="Verdana"/>
      <family val="2"/>
    </font>
    <font>
      <b/>
      <sz val="12"/>
      <name val="Arial"/>
      <family val="2"/>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theme="7" tint="-0.249977111117893"/>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60">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12" fillId="2" borderId="1" xfId="3" applyFont="1" applyFill="1" applyBorder="1" applyAlignment="1">
      <alignment horizontal="right"/>
    </xf>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3"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0" fontId="3" fillId="2" borderId="1" xfId="3" applyFont="1" applyFill="1" applyBorder="1" applyAlignment="1">
      <alignment horizontal="right"/>
    </xf>
    <xf numFmtId="164" fontId="7" fillId="4" borderId="1" xfId="0" applyNumberFormat="1" applyFont="1" applyFill="1" applyBorder="1" applyAlignment="1">
      <alignment horizontal="left" vertical="center"/>
    </xf>
    <xf numFmtId="0" fontId="14"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7" fillId="9" borderId="0" xfId="1" applyNumberFormat="1" applyFont="1" applyFill="1"/>
    <xf numFmtId="164" fontId="0" fillId="0" borderId="0" xfId="0" applyNumberFormat="1" applyAlignment="1">
      <alignment horizontal="center"/>
    </xf>
    <xf numFmtId="0" fontId="18" fillId="0" borderId="1" xfId="0" applyFont="1" applyFill="1" applyBorder="1" applyAlignment="1">
      <alignment horizontal="left" vertical="center"/>
    </xf>
    <xf numFmtId="0" fontId="19" fillId="10" borderId="0" xfId="0" applyFont="1" applyFill="1"/>
    <xf numFmtId="0" fontId="19" fillId="11" borderId="0" xfId="0" applyFont="1" applyFill="1" applyAlignment="1">
      <alignment horizontal="center"/>
    </xf>
    <xf numFmtId="0" fontId="19" fillId="12" borderId="0" xfId="0" applyFont="1" applyFill="1" applyAlignment="1">
      <alignment horizontal="center"/>
    </xf>
    <xf numFmtId="0" fontId="19" fillId="13" borderId="0" xfId="0" applyFont="1" applyFill="1"/>
    <xf numFmtId="0" fontId="19" fillId="12" borderId="0" xfId="0" applyFont="1" applyFill="1"/>
    <xf numFmtId="14" fontId="0" fillId="0" borderId="0" xfId="4" applyNumberFormat="1" applyFont="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9" fillId="14" borderId="0" xfId="0" applyFont="1" applyFill="1" applyAlignment="1">
      <alignment horizontal="center"/>
    </xf>
    <xf numFmtId="0" fontId="19" fillId="15" borderId="0" xfId="0" applyFont="1" applyFill="1" applyAlignment="1">
      <alignment horizontal="center"/>
    </xf>
    <xf numFmtId="43" fontId="0" fillId="0" borderId="0" xfId="1" applyFont="1" applyAlignment="1">
      <alignment horizontal="center"/>
    </xf>
    <xf numFmtId="0" fontId="17" fillId="0" borderId="0" xfId="0" applyFont="1"/>
    <xf numFmtId="0" fontId="17"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7" fillId="0" borderId="0" xfId="0" applyFont="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8" fontId="0" fillId="0" borderId="0" xfId="0" applyNumberFormat="1"/>
    <xf numFmtId="169" fontId="0" fillId="0" borderId="0" xfId="0" applyNumberFormat="1"/>
    <xf numFmtId="165" fontId="0" fillId="0" borderId="0" xfId="0" applyNumberFormat="1"/>
    <xf numFmtId="168" fontId="0" fillId="0" borderId="0" xfId="4" applyNumberFormat="1" applyFont="1"/>
    <xf numFmtId="0" fontId="19" fillId="16" borderId="0" xfId="0" applyFont="1" applyFill="1"/>
    <xf numFmtId="0" fontId="19" fillId="14" borderId="0" xfId="0" applyFont="1" applyFill="1"/>
    <xf numFmtId="0" fontId="19" fillId="17" borderId="0" xfId="0" applyFont="1" applyFill="1"/>
    <xf numFmtId="0" fontId="6" fillId="0" borderId="0" xfId="0" applyFont="1"/>
    <xf numFmtId="0" fontId="20" fillId="0" borderId="0" xfId="0" applyFont="1"/>
    <xf numFmtId="0" fontId="6" fillId="0" borderId="0" xfId="0" applyFont="1" applyFill="1"/>
    <xf numFmtId="0" fontId="15" fillId="0" borderId="0" xfId="0" applyFont="1"/>
    <xf numFmtId="0" fontId="17" fillId="19" borderId="0" xfId="0" applyFont="1" applyFill="1" applyAlignment="1">
      <alignment horizontal="center" wrapText="1"/>
    </xf>
    <xf numFmtId="0" fontId="17" fillId="19" borderId="0" xfId="0" applyFont="1" applyFill="1" applyAlignment="1">
      <alignment wrapText="1"/>
    </xf>
    <xf numFmtId="0" fontId="17" fillId="19" borderId="0" xfId="0" applyFont="1" applyFill="1" applyBorder="1" applyAlignment="1">
      <alignment wrapText="1"/>
    </xf>
    <xf numFmtId="0" fontId="6" fillId="3" borderId="3" xfId="0" applyFont="1" applyFill="1" applyBorder="1" applyAlignment="1">
      <alignment horizontal="left" vertical="top" wrapText="1"/>
    </xf>
    <xf numFmtId="0" fontId="17" fillId="0" borderId="0" xfId="0" applyFont="1" applyFill="1" applyAlignment="1">
      <alignment wrapText="1"/>
    </xf>
    <xf numFmtId="9" fontId="17" fillId="19"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2" fillId="0" borderId="0" xfId="0" applyFont="1" applyFill="1" applyBorder="1" applyAlignment="1">
      <alignment wrapText="1"/>
    </xf>
    <xf numFmtId="9" fontId="22" fillId="19" borderId="1" xfId="0" applyNumberFormat="1"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9" fontId="17" fillId="19" borderId="0" xfId="0" applyNumberFormat="1" applyFont="1" applyFill="1" applyAlignment="1">
      <alignment horizontal="right" wrapText="1"/>
    </xf>
    <xf numFmtId="0" fontId="0" fillId="0" borderId="0" xfId="0" applyFill="1"/>
    <xf numFmtId="0" fontId="24" fillId="0" borderId="0" xfId="0" applyFont="1" applyFill="1"/>
    <xf numFmtId="0" fontId="24" fillId="0" borderId="0" xfId="0" applyFont="1"/>
    <xf numFmtId="0" fontId="21" fillId="0" borderId="0" xfId="0" applyFont="1"/>
    <xf numFmtId="0" fontId="24" fillId="0" borderId="0" xfId="0" applyFont="1" applyAlignment="1">
      <alignment horizontal="left" indent="2"/>
    </xf>
    <xf numFmtId="0" fontId="26" fillId="20" borderId="0" xfId="0" applyFont="1" applyFill="1" applyAlignment="1">
      <alignment horizontal="center" wrapText="1"/>
    </xf>
    <xf numFmtId="0" fontId="25" fillId="21"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7" fillId="0" borderId="0" xfId="0" applyFont="1"/>
    <xf numFmtId="0" fontId="25" fillId="0" borderId="0" xfId="0" applyFont="1" applyAlignment="1">
      <alignment horizontal="center" wrapText="1"/>
    </xf>
    <xf numFmtId="0" fontId="24" fillId="23" borderId="0" xfId="0" applyFont="1" applyFill="1" applyAlignment="1">
      <alignment wrapText="1"/>
    </xf>
    <xf numFmtId="0" fontId="24" fillId="24" borderId="0" xfId="0" applyFont="1" applyFill="1" applyAlignment="1">
      <alignment wrapText="1"/>
    </xf>
    <xf numFmtId="0" fontId="25" fillId="22" borderId="0" xfId="0" applyFont="1" applyFill="1" applyAlignment="1">
      <alignment horizontal="center" wrapText="1"/>
    </xf>
    <xf numFmtId="0" fontId="22" fillId="27" borderId="4" xfId="0" applyFont="1" applyFill="1" applyBorder="1" applyAlignment="1">
      <alignment horizontal="center"/>
    </xf>
    <xf numFmtId="0" fontId="29" fillId="19"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9" fillId="10" borderId="0" xfId="0" applyFont="1" applyFill="1" applyAlignment="1">
      <alignment horizontal="center"/>
    </xf>
    <xf numFmtId="167" fontId="31" fillId="0" borderId="1" xfId="0" applyNumberFormat="1" applyFont="1" applyFill="1" applyBorder="1" applyAlignment="1">
      <alignment horizontal="center"/>
    </xf>
    <xf numFmtId="167" fontId="32" fillId="19" borderId="1" xfId="0" applyNumberFormat="1" applyFont="1" applyFill="1" applyBorder="1" applyAlignment="1">
      <alignment horizontal="center"/>
    </xf>
    <xf numFmtId="0" fontId="0" fillId="0" borderId="0" xfId="0" applyAlignment="1">
      <alignment horizontal="right"/>
    </xf>
    <xf numFmtId="0" fontId="17" fillId="0" borderId="1" xfId="0" applyFont="1" applyBorder="1" applyAlignment="1">
      <alignment horizontal="center"/>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17" fillId="0" borderId="1" xfId="0" applyFont="1" applyFill="1" applyBorder="1" applyAlignment="1">
      <alignment horizontal="center"/>
    </xf>
    <xf numFmtId="1" fontId="7" fillId="3" borderId="1" xfId="0" applyNumberFormat="1" applyFont="1" applyFill="1" applyBorder="1" applyAlignment="1">
      <alignment horizontal="center" vertical="center"/>
    </xf>
    <xf numFmtId="0" fontId="0" fillId="19"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70" fontId="0" fillId="0" borderId="0" xfId="2" applyNumberFormat="1" applyFont="1"/>
    <xf numFmtId="10" fontId="0" fillId="0" borderId="0" xfId="2" applyNumberFormat="1" applyFont="1"/>
    <xf numFmtId="167" fontId="0" fillId="0" borderId="0" xfId="0" applyNumberFormat="1"/>
    <xf numFmtId="43" fontId="13" fillId="0" borderId="1" xfId="1" applyNumberFormat="1" applyFont="1" applyBorder="1" applyAlignment="1">
      <alignment horizontal="center"/>
    </xf>
    <xf numFmtId="2" fontId="11" fillId="0" borderId="1" xfId="0" applyNumberFormat="1" applyFont="1" applyBorder="1"/>
    <xf numFmtId="9" fontId="17" fillId="19" borderId="0" xfId="0" applyNumberFormat="1" applyFont="1" applyFill="1" applyBorder="1" applyAlignment="1">
      <alignment wrapText="1"/>
    </xf>
    <xf numFmtId="0" fontId="17" fillId="0" borderId="0" xfId="0" applyFont="1" applyBorder="1" applyAlignment="1">
      <alignment wrapText="1"/>
    </xf>
    <xf numFmtId="0" fontId="21" fillId="19" borderId="0" xfId="0" applyFont="1" applyFill="1" applyBorder="1" applyAlignment="1">
      <alignment wrapText="1"/>
    </xf>
    <xf numFmtId="0" fontId="0" fillId="0" borderId="0" xfId="0" applyBorder="1" applyAlignment="1">
      <alignment wrapText="1"/>
    </xf>
    <xf numFmtId="0" fontId="21" fillId="0" borderId="0" xfId="0" applyFont="1" applyBorder="1" applyAlignment="1">
      <alignment wrapText="1"/>
    </xf>
    <xf numFmtId="0" fontId="34" fillId="0" borderId="1" xfId="0" applyFont="1" applyFill="1" applyBorder="1" applyAlignment="1">
      <alignment horizontal="left" vertical="center"/>
    </xf>
    <xf numFmtId="0" fontId="35" fillId="0" borderId="0" xfId="0" applyFont="1"/>
    <xf numFmtId="168" fontId="35" fillId="0" borderId="0" xfId="4" applyNumberFormat="1" applyFont="1"/>
    <xf numFmtId="0" fontId="19" fillId="16" borderId="0" xfId="0" applyFont="1" applyFill="1" applyAlignment="1">
      <alignment horizontal="center"/>
    </xf>
    <xf numFmtId="0" fontId="0" fillId="28" borderId="0" xfId="0" applyFill="1" applyAlignment="1">
      <alignment horizontal="center"/>
    </xf>
    <xf numFmtId="165" fontId="0" fillId="0" borderId="0" xfId="1" applyNumberFormat="1" applyFont="1"/>
    <xf numFmtId="171"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14" fontId="1" fillId="0" borderId="0" xfId="4" applyNumberFormat="1" applyFont="1"/>
    <xf numFmtId="0" fontId="8" fillId="14" borderId="2" xfId="0" applyFont="1" applyFill="1" applyBorder="1" applyAlignment="1">
      <alignment horizontal="center" vertical="center"/>
    </xf>
    <xf numFmtId="0" fontId="8" fillId="30"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2" fontId="0" fillId="0" borderId="0" xfId="4" applyNumberFormat="1" applyFont="1"/>
    <xf numFmtId="0" fontId="0" fillId="31" borderId="0" xfId="0" applyFill="1"/>
    <xf numFmtId="168" fontId="0" fillId="29" borderId="0" xfId="4" applyNumberFormat="1" applyFont="1" applyFill="1"/>
    <xf numFmtId="1" fontId="35" fillId="0" borderId="0" xfId="0" applyNumberFormat="1" applyFont="1"/>
    <xf numFmtId="0" fontId="36" fillId="0" borderId="0" xfId="0" applyFont="1"/>
    <xf numFmtId="0" fontId="37"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8" fillId="0" borderId="0" xfId="3" applyFont="1" applyFill="1" applyBorder="1" applyAlignment="1">
      <alignment horizontal="left"/>
    </xf>
    <xf numFmtId="0" fontId="38" fillId="0" borderId="0" xfId="3" applyFont="1" applyFill="1" applyBorder="1" applyAlignment="1">
      <alignment horizontal="center"/>
    </xf>
    <xf numFmtId="0" fontId="39"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40" fillId="0" borderId="0" xfId="3" applyNumberFormat="1" applyFont="1" applyFill="1" applyAlignment="1">
      <alignment horizontal="center"/>
    </xf>
    <xf numFmtId="1" fontId="41" fillId="0" borderId="0" xfId="3" applyNumberFormat="1" applyFont="1" applyFill="1" applyAlignment="1">
      <alignment horizontal="center"/>
    </xf>
    <xf numFmtId="1" fontId="3" fillId="0" borderId="0" xfId="3" applyNumberFormat="1" applyFont="1" applyFill="1" applyAlignment="1">
      <alignment horizontal="center"/>
    </xf>
    <xf numFmtId="167" fontId="3" fillId="0" borderId="1" xfId="3" applyNumberFormat="1" applyFont="1" applyBorder="1"/>
    <xf numFmtId="2" fontId="3" fillId="0" borderId="1" xfId="3" applyNumberFormat="1" applyFont="1" applyBorder="1"/>
    <xf numFmtId="167" fontId="17" fillId="0" borderId="1" xfId="0" applyNumberFormat="1" applyFont="1" applyFill="1" applyBorder="1" applyAlignment="1">
      <alignment horizontal="center"/>
    </xf>
    <xf numFmtId="167" fontId="29" fillId="19" borderId="1" xfId="0" applyNumberFormat="1" applyFont="1" applyFill="1" applyBorder="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17" fillId="5" borderId="1" xfId="0" applyFont="1" applyFill="1" applyBorder="1" applyAlignment="1">
      <alignment horizont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42" fillId="0" borderId="0" xfId="3" applyNumberFormat="1" applyFont="1"/>
    <xf numFmtId="0" fontId="42" fillId="0" borderId="0" xfId="3" applyFont="1"/>
    <xf numFmtId="0" fontId="3" fillId="0" borderId="1" xfId="3" applyFont="1" applyBorder="1" applyAlignment="1">
      <alignment horizontal="center"/>
    </xf>
    <xf numFmtId="0" fontId="5" fillId="0" borderId="1" xfId="3" applyFont="1" applyBorder="1"/>
    <xf numFmtId="167" fontId="5" fillId="0" borderId="1" xfId="3" applyNumberFormat="1" applyFont="1" applyBorder="1"/>
    <xf numFmtId="0" fontId="43" fillId="0" borderId="0" xfId="3" applyFont="1" applyFill="1"/>
    <xf numFmtId="0" fontId="12" fillId="0" borderId="1" xfId="3" applyFont="1" applyFill="1" applyBorder="1" applyAlignment="1">
      <alignment horizontal="center"/>
    </xf>
    <xf numFmtId="0" fontId="14" fillId="0" borderId="1" xfId="3" applyFont="1" applyFill="1" applyBorder="1"/>
    <xf numFmtId="167" fontId="14" fillId="0" borderId="1" xfId="3" applyNumberFormat="1" applyFont="1" applyFill="1" applyBorder="1"/>
    <xf numFmtId="2" fontId="14" fillId="0" borderId="1" xfId="3" applyNumberFormat="1" applyFont="1" applyFill="1" applyBorder="1"/>
    <xf numFmtId="167" fontId="0" fillId="0" borderId="1" xfId="0" applyNumberFormat="1" applyFont="1" applyBorder="1"/>
    <xf numFmtId="0" fontId="2" fillId="0" borderId="0" xfId="3" applyFont="1"/>
    <xf numFmtId="0" fontId="17" fillId="0" borderId="0" xfId="0" applyFont="1" applyBorder="1" applyAlignment="1">
      <alignment horizontal="center"/>
    </xf>
    <xf numFmtId="0" fontId="0" fillId="0" borderId="0" xfId="0" applyFont="1" applyBorder="1"/>
    <xf numFmtId="0" fontId="44" fillId="0" borderId="0" xfId="3" applyFont="1" applyFill="1"/>
    <xf numFmtId="0" fontId="10" fillId="0" borderId="0" xfId="0" applyFont="1"/>
    <xf numFmtId="0" fontId="44" fillId="0" borderId="0" xfId="3" applyFont="1"/>
    <xf numFmtId="2" fontId="14" fillId="0" borderId="1" xfId="3" applyNumberFormat="1" applyFont="1" applyBorder="1"/>
    <xf numFmtId="2" fontId="10" fillId="0" borderId="1" xfId="0" applyNumberFormat="1" applyFont="1" applyBorder="1"/>
    <xf numFmtId="0" fontId="3" fillId="0" borderId="1" xfId="3" applyFont="1" applyFill="1" applyBorder="1" applyAlignment="1">
      <alignment horizontal="center"/>
    </xf>
    <xf numFmtId="0" fontId="33" fillId="19" borderId="0" xfId="0" applyFont="1" applyFill="1"/>
    <xf numFmtId="2" fontId="17" fillId="0" borderId="0" xfId="0" applyNumberFormat="1" applyFont="1"/>
    <xf numFmtId="0" fontId="47" fillId="32" borderId="1" xfId="0" applyFont="1" applyFill="1" applyBorder="1" applyAlignment="1">
      <alignment horizontal="center" vertical="top" wrapText="1"/>
    </xf>
    <xf numFmtId="0" fontId="48" fillId="32"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48" fillId="33" borderId="1" xfId="0" applyFont="1" applyFill="1" applyBorder="1" applyAlignment="1">
      <alignment horizontal="center" vertical="top" wrapText="1"/>
    </xf>
    <xf numFmtId="168" fontId="0" fillId="27" borderId="0" xfId="4" applyNumberFormat="1" applyFont="1" applyFill="1"/>
    <xf numFmtId="0" fontId="48" fillId="32" borderId="7" xfId="0" applyFont="1" applyFill="1" applyBorder="1" applyAlignment="1">
      <alignment horizontal="center" vertical="top" wrapText="1"/>
    </xf>
    <xf numFmtId="0" fontId="0" fillId="0" borderId="0" xfId="0" applyAlignment="1">
      <alignment horizontal="center"/>
    </xf>
    <xf numFmtId="0" fontId="48" fillId="33" borderId="7" xfId="0" applyFont="1" applyFill="1" applyBorder="1" applyAlignment="1">
      <alignment horizontal="center" vertical="top" wrapText="1"/>
    </xf>
    <xf numFmtId="170"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70" fontId="0" fillId="16" borderId="0" xfId="0" applyNumberFormat="1" applyFill="1" applyAlignment="1">
      <alignment horizontal="center"/>
    </xf>
    <xf numFmtId="170" fontId="0" fillId="0" borderId="0" xfId="0" applyNumberFormat="1"/>
    <xf numFmtId="170" fontId="0" fillId="5" borderId="0" xfId="0" applyNumberFormat="1" applyFill="1" applyAlignment="1">
      <alignment horizontal="center"/>
    </xf>
    <xf numFmtId="170" fontId="0" fillId="5" borderId="0" xfId="0" applyNumberFormat="1" applyFill="1"/>
    <xf numFmtId="2" fontId="0" fillId="5" borderId="0" xfId="0" applyNumberFormat="1" applyFill="1"/>
    <xf numFmtId="164" fontId="0" fillId="5" borderId="0" xfId="0" applyNumberFormat="1" applyFill="1"/>
    <xf numFmtId="9" fontId="0" fillId="28" borderId="0" xfId="0" applyNumberFormat="1" applyFill="1" applyAlignment="1">
      <alignment horizontal="center"/>
    </xf>
    <xf numFmtId="170" fontId="0" fillId="28" borderId="0" xfId="0" applyNumberFormat="1" applyFill="1" applyAlignment="1">
      <alignment horizontal="center"/>
    </xf>
    <xf numFmtId="168" fontId="0" fillId="28" borderId="0" xfId="0" applyNumberFormat="1" applyFill="1"/>
    <xf numFmtId="170" fontId="0" fillId="28" borderId="0" xfId="0" applyNumberFormat="1" applyFill="1"/>
    <xf numFmtId="2" fontId="0" fillId="28" borderId="0" xfId="0" applyNumberFormat="1" applyFill="1"/>
    <xf numFmtId="164" fontId="0" fillId="28" borderId="0" xfId="0" applyNumberFormat="1" applyFill="1"/>
    <xf numFmtId="9" fontId="17" fillId="34" borderId="0" xfId="0" applyNumberFormat="1" applyFont="1" applyFill="1" applyAlignment="1">
      <alignment horizontal="center"/>
    </xf>
    <xf numFmtId="10" fontId="17" fillId="34" borderId="0" xfId="0" applyNumberFormat="1" applyFont="1" applyFill="1" applyAlignment="1">
      <alignment horizontal="center"/>
    </xf>
    <xf numFmtId="170" fontId="17" fillId="34" borderId="0" xfId="0" applyNumberFormat="1" applyFont="1" applyFill="1" applyAlignment="1">
      <alignment horizontal="center"/>
    </xf>
    <xf numFmtId="0" fontId="17" fillId="34" borderId="0" xfId="0" applyFont="1" applyFill="1" applyAlignment="1">
      <alignment horizontal="center"/>
    </xf>
    <xf numFmtId="168" fontId="17" fillId="34" borderId="0" xfId="0" applyNumberFormat="1" applyFont="1" applyFill="1"/>
    <xf numFmtId="170" fontId="17" fillId="34" borderId="0" xfId="0" applyNumberFormat="1" applyFont="1" applyFill="1"/>
    <xf numFmtId="2" fontId="17" fillId="34" borderId="0" xfId="0" applyNumberFormat="1" applyFont="1" applyFill="1"/>
    <xf numFmtId="164" fontId="17" fillId="34" borderId="0" xfId="0" applyNumberFormat="1" applyFont="1" applyFill="1"/>
    <xf numFmtId="0" fontId="0" fillId="0" borderId="0" xfId="0" applyAlignment="1">
      <alignment horizontal="center"/>
    </xf>
    <xf numFmtId="0" fontId="49"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7" fillId="0" borderId="0" xfId="0" applyNumberFormat="1" applyFont="1" applyAlignment="1">
      <alignment horizontal="center"/>
    </xf>
    <xf numFmtId="0" fontId="0" fillId="0" borderId="0" xfId="0" applyFill="1" applyBorder="1" applyAlignment="1">
      <alignment horizontal="center"/>
    </xf>
    <xf numFmtId="1" fontId="17" fillId="0" borderId="0" xfId="0" applyNumberFormat="1" applyFont="1"/>
    <xf numFmtId="0" fontId="0" fillId="19" borderId="0" xfId="0" applyFill="1"/>
    <xf numFmtId="164" fontId="0" fillId="19" borderId="0" xfId="0" applyNumberFormat="1" applyFill="1"/>
    <xf numFmtId="0" fontId="25" fillId="22" borderId="0" xfId="0" applyFont="1" applyFill="1" applyAlignment="1">
      <alignment horizontal="center" wrapText="1"/>
    </xf>
    <xf numFmtId="0" fontId="28" fillId="18" borderId="0" xfId="0" applyFont="1" applyFill="1" applyAlignment="1">
      <alignment horizontal="center" wrapText="1"/>
    </xf>
    <xf numFmtId="0" fontId="25" fillId="25" borderId="0" xfId="0" applyFont="1" applyFill="1" applyAlignment="1">
      <alignment horizontal="center" wrapText="1"/>
    </xf>
    <xf numFmtId="0" fontId="25" fillId="26"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45" fillId="32" borderId="1" xfId="0" applyFont="1" applyFill="1" applyBorder="1" applyAlignment="1">
      <alignment horizontal="center" vertical="top" wrapText="1"/>
    </xf>
    <xf numFmtId="0" fontId="46" fillId="33"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33" fillId="9" borderId="5" xfId="0" applyFont="1" applyFill="1" applyBorder="1" applyAlignment="1">
      <alignment horizontal="center"/>
    </xf>
    <xf numFmtId="0" fontId="33" fillId="9" borderId="6" xfId="0" applyFont="1" applyFill="1" applyBorder="1" applyAlignment="1">
      <alignment horizontal="center"/>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6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P17" sqref="AP17"/>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80" t="s">
        <v>131</v>
      </c>
      <c r="B1" s="80"/>
      <c r="C1" s="80"/>
      <c r="D1" s="80"/>
      <c r="E1" s="80"/>
      <c r="F1" s="80"/>
      <c r="G1" s="80"/>
      <c r="H1" s="81"/>
      <c r="I1" s="80"/>
      <c r="J1" s="80"/>
      <c r="K1" s="80"/>
      <c r="L1" s="80"/>
      <c r="M1" s="80"/>
      <c r="N1" s="80"/>
      <c r="O1" s="80"/>
      <c r="P1" s="80"/>
      <c r="Q1" s="80"/>
      <c r="R1" s="80"/>
      <c r="S1" s="80"/>
      <c r="T1" s="80"/>
      <c r="U1" s="80"/>
      <c r="V1" s="80"/>
      <c r="W1" s="80"/>
      <c r="X1" s="82"/>
      <c r="Y1" s="83" t="s">
        <v>132</v>
      </c>
      <c r="Z1" s="83"/>
    </row>
    <row r="2" spans="1:46" ht="15.75" x14ac:dyDescent="0.25">
      <c r="A2" s="84" t="s">
        <v>133</v>
      </c>
      <c r="B2" s="85">
        <v>17</v>
      </c>
      <c r="C2" s="85">
        <v>18</v>
      </c>
      <c r="D2" s="85">
        <v>19</v>
      </c>
      <c r="E2" s="85">
        <v>20</v>
      </c>
      <c r="F2" s="86">
        <v>21</v>
      </c>
      <c r="G2" s="135">
        <v>22</v>
      </c>
      <c r="H2" s="85">
        <v>23</v>
      </c>
      <c r="I2" s="85">
        <v>24</v>
      </c>
      <c r="J2" s="85">
        <v>25</v>
      </c>
      <c r="K2" s="85">
        <v>26</v>
      </c>
      <c r="L2" s="85">
        <v>27</v>
      </c>
      <c r="M2" s="86">
        <v>28</v>
      </c>
      <c r="N2" s="86">
        <v>29</v>
      </c>
      <c r="O2" s="86">
        <v>30</v>
      </c>
      <c r="P2" s="86">
        <v>31</v>
      </c>
      <c r="Q2" s="85">
        <v>32</v>
      </c>
      <c r="R2" s="85">
        <v>33</v>
      </c>
      <c r="S2" s="85">
        <v>34</v>
      </c>
      <c r="T2" s="85">
        <v>35</v>
      </c>
      <c r="U2" s="85">
        <v>36</v>
      </c>
      <c r="V2" s="85">
        <v>37</v>
      </c>
      <c r="W2" s="85">
        <v>38</v>
      </c>
      <c r="X2" s="88"/>
      <c r="Y2" s="80" t="s">
        <v>136</v>
      </c>
      <c r="Z2" s="80"/>
    </row>
    <row r="3" spans="1:46" ht="16.5" thickBot="1" x14ac:dyDescent="0.3">
      <c r="A3" s="89">
        <v>0.05</v>
      </c>
      <c r="B3" s="90">
        <v>3.2</v>
      </c>
      <c r="C3" s="90">
        <v>3.7</v>
      </c>
      <c r="D3" s="90">
        <v>4.0999999999999996</v>
      </c>
      <c r="E3" s="90">
        <v>4.4000000000000004</v>
      </c>
      <c r="F3" s="136">
        <v>4.5999999999999996</v>
      </c>
      <c r="G3" s="137">
        <v>4.7</v>
      </c>
      <c r="H3" s="90">
        <v>4.55</v>
      </c>
      <c r="I3" s="90">
        <v>4.4000000000000004</v>
      </c>
      <c r="J3" s="90">
        <v>4.25</v>
      </c>
      <c r="K3" s="90">
        <v>4.0999999999999996</v>
      </c>
      <c r="L3" s="90">
        <v>3.95</v>
      </c>
      <c r="M3" s="91">
        <v>3.8</v>
      </c>
      <c r="N3" s="91">
        <v>3.6500000000000004</v>
      </c>
      <c r="O3" s="91">
        <v>3.5</v>
      </c>
      <c r="P3" s="91">
        <v>3.3499999999999996</v>
      </c>
      <c r="Q3" s="90">
        <v>3.1500000000000004</v>
      </c>
      <c r="R3" s="90">
        <v>2.95</v>
      </c>
      <c r="S3" s="90">
        <v>2.65</v>
      </c>
      <c r="T3" s="90">
        <v>2.2999999999999998</v>
      </c>
      <c r="U3" s="90">
        <v>1.9</v>
      </c>
      <c r="V3" s="90">
        <v>1.4500000000000002</v>
      </c>
      <c r="W3" s="90">
        <v>0.95</v>
      </c>
      <c r="X3" s="92"/>
      <c r="Y3" s="80"/>
      <c r="Z3" s="80"/>
    </row>
    <row r="4" spans="1:46" ht="16.5" thickBot="1" x14ac:dyDescent="0.3">
      <c r="A4" s="89">
        <v>0.06</v>
      </c>
      <c r="B4" s="90">
        <v>3.5700000000000003</v>
      </c>
      <c r="C4" s="90">
        <v>4.07</v>
      </c>
      <c r="D4" s="90">
        <v>4.47</v>
      </c>
      <c r="E4" s="90">
        <v>4.7699999999999996</v>
      </c>
      <c r="F4" s="136">
        <v>4.97</v>
      </c>
      <c r="G4" s="137">
        <v>5.07</v>
      </c>
      <c r="H4" s="90">
        <v>4.92</v>
      </c>
      <c r="I4" s="90">
        <v>4.7699999999999996</v>
      </c>
      <c r="J4" s="90">
        <v>4.62</v>
      </c>
      <c r="K4" s="90">
        <v>4.47</v>
      </c>
      <c r="L4" s="90">
        <v>4.32</v>
      </c>
      <c r="M4" s="91">
        <v>4.17</v>
      </c>
      <c r="N4" s="91">
        <v>4.0199999999999996</v>
      </c>
      <c r="O4" s="91">
        <v>3.87</v>
      </c>
      <c r="P4" s="91">
        <v>3.7199999999999998</v>
      </c>
      <c r="Q4" s="90">
        <v>3.5199999999999996</v>
      </c>
      <c r="R4" s="90">
        <v>3.3200000000000003</v>
      </c>
      <c r="S4" s="90">
        <v>3.0199999999999996</v>
      </c>
      <c r="T4" s="90">
        <v>2.67</v>
      </c>
      <c r="U4" s="90">
        <v>2.27</v>
      </c>
      <c r="V4" s="90">
        <v>1.8199999999999998</v>
      </c>
      <c r="W4" s="90">
        <v>1.3199999999999998</v>
      </c>
      <c r="X4" s="92"/>
      <c r="Y4" s="87" t="s">
        <v>134</v>
      </c>
      <c r="Z4" s="87" t="s">
        <v>172</v>
      </c>
      <c r="AA4" s="87">
        <v>0</v>
      </c>
      <c r="AB4" s="87">
        <v>5</v>
      </c>
      <c r="AC4" s="87">
        <v>10</v>
      </c>
      <c r="AD4" s="87">
        <v>15</v>
      </c>
      <c r="AE4" s="87">
        <v>20</v>
      </c>
      <c r="AF4" s="87">
        <v>25</v>
      </c>
      <c r="AG4" s="87">
        <v>30</v>
      </c>
      <c r="AH4" s="87">
        <v>35</v>
      </c>
      <c r="AI4" s="87">
        <v>40</v>
      </c>
      <c r="AJ4" s="87">
        <v>45</v>
      </c>
      <c r="AK4" s="87">
        <v>50</v>
      </c>
      <c r="AL4" s="87">
        <v>55</v>
      </c>
      <c r="AM4" s="87">
        <v>60</v>
      </c>
      <c r="AN4" s="87">
        <v>65</v>
      </c>
      <c r="AO4" s="87">
        <v>70</v>
      </c>
      <c r="AP4" s="87">
        <v>75</v>
      </c>
      <c r="AQ4" s="87">
        <v>80</v>
      </c>
      <c r="AR4" s="87">
        <v>85</v>
      </c>
      <c r="AS4" s="87">
        <v>90</v>
      </c>
      <c r="AT4" s="87" t="s">
        <v>135</v>
      </c>
    </row>
    <row r="5" spans="1:46" ht="16.5" thickBot="1" x14ac:dyDescent="0.3">
      <c r="A5" s="89">
        <v>7.0000000000000007E-2</v>
      </c>
      <c r="B5" s="90">
        <v>3.92</v>
      </c>
      <c r="C5" s="90">
        <v>4.42</v>
      </c>
      <c r="D5" s="90">
        <v>4.82</v>
      </c>
      <c r="E5" s="90">
        <v>5.12</v>
      </c>
      <c r="F5" s="136">
        <v>5.32</v>
      </c>
      <c r="G5" s="137">
        <v>5.42</v>
      </c>
      <c r="H5" s="90">
        <v>5.27</v>
      </c>
      <c r="I5" s="90">
        <v>5.12</v>
      </c>
      <c r="J5" s="90">
        <v>4.97</v>
      </c>
      <c r="K5" s="90">
        <v>4.82</v>
      </c>
      <c r="L5" s="90">
        <v>4.67</v>
      </c>
      <c r="M5" s="91">
        <v>4.5199999999999996</v>
      </c>
      <c r="N5" s="91">
        <v>4.37</v>
      </c>
      <c r="O5" s="91">
        <v>4.22</v>
      </c>
      <c r="P5" s="91">
        <v>4.07</v>
      </c>
      <c r="Q5" s="90">
        <v>3.87</v>
      </c>
      <c r="R5" s="90">
        <v>3.67</v>
      </c>
      <c r="S5" s="90">
        <v>3.37</v>
      </c>
      <c r="T5" s="90">
        <v>3.0199999999999996</v>
      </c>
      <c r="U5" s="90">
        <v>2.62</v>
      </c>
      <c r="V5" s="90">
        <v>2.17</v>
      </c>
      <c r="W5" s="90">
        <v>1.67</v>
      </c>
      <c r="X5" s="92"/>
      <c r="Y5" s="87">
        <v>9</v>
      </c>
      <c r="Z5" s="87">
        <f>Y5-1</f>
        <v>8</v>
      </c>
      <c r="AA5" s="87">
        <v>100</v>
      </c>
      <c r="AB5" s="87">
        <v>100</v>
      </c>
      <c r="AC5" s="87">
        <v>100</v>
      </c>
      <c r="AD5" s="87">
        <v>100</v>
      </c>
      <c r="AE5" s="87">
        <v>100</v>
      </c>
      <c r="AF5" s="87">
        <v>100</v>
      </c>
      <c r="AG5" s="87">
        <v>100</v>
      </c>
      <c r="AH5" s="87">
        <v>100</v>
      </c>
      <c r="AI5" s="87">
        <v>100</v>
      </c>
      <c r="AJ5" s="87">
        <v>100</v>
      </c>
      <c r="AK5" s="87">
        <v>100</v>
      </c>
      <c r="AL5" s="87">
        <v>100</v>
      </c>
      <c r="AM5" s="87">
        <v>100</v>
      </c>
      <c r="AN5" s="87">
        <v>100</v>
      </c>
      <c r="AO5" s="87">
        <v>100</v>
      </c>
      <c r="AP5" s="87">
        <v>100</v>
      </c>
      <c r="AQ5" s="87">
        <v>100</v>
      </c>
      <c r="AR5" s="87">
        <v>100</v>
      </c>
      <c r="AS5" s="87">
        <v>99</v>
      </c>
      <c r="AT5" s="87">
        <v>99.95</v>
      </c>
    </row>
    <row r="6" spans="1:46" ht="19.5" thickBot="1" x14ac:dyDescent="0.35">
      <c r="A6" s="89">
        <v>0.08</v>
      </c>
      <c r="B6" s="90">
        <v>4.24</v>
      </c>
      <c r="C6" s="90">
        <v>4.74</v>
      </c>
      <c r="D6" s="90">
        <v>5.14</v>
      </c>
      <c r="E6" s="90">
        <v>5.44</v>
      </c>
      <c r="F6" s="136">
        <v>5.64</v>
      </c>
      <c r="G6" s="137">
        <v>5.74</v>
      </c>
      <c r="H6" s="90">
        <v>5.59</v>
      </c>
      <c r="I6" s="90">
        <v>5.44</v>
      </c>
      <c r="J6" s="90">
        <v>5.29</v>
      </c>
      <c r="K6" s="90">
        <v>5.14</v>
      </c>
      <c r="L6" s="90">
        <v>4.99</v>
      </c>
      <c r="M6" s="91">
        <v>4.84</v>
      </c>
      <c r="N6" s="91">
        <v>4.6900000000000004</v>
      </c>
      <c r="O6" s="91">
        <v>4.54</v>
      </c>
      <c r="P6" s="91">
        <v>4.3899999999999997</v>
      </c>
      <c r="Q6" s="90">
        <v>4.1900000000000004</v>
      </c>
      <c r="R6" s="90">
        <v>3.99</v>
      </c>
      <c r="S6" s="90">
        <v>3.6900000000000004</v>
      </c>
      <c r="T6" s="90">
        <v>3.34</v>
      </c>
      <c r="U6" s="90">
        <v>2.94</v>
      </c>
      <c r="V6" s="90">
        <v>2.4900000000000002</v>
      </c>
      <c r="W6" s="90">
        <v>1.9900000000000002</v>
      </c>
      <c r="X6" s="93"/>
      <c r="Y6" s="87">
        <v>8.9</v>
      </c>
      <c r="Z6" s="87">
        <f t="shared" ref="Z6:Z45" si="0">Y6-1</f>
        <v>7.9</v>
      </c>
      <c r="AA6" s="87">
        <v>100</v>
      </c>
      <c r="AB6" s="87">
        <v>100</v>
      </c>
      <c r="AC6" s="87">
        <v>100</v>
      </c>
      <c r="AD6" s="87">
        <v>100</v>
      </c>
      <c r="AE6" s="87">
        <v>100</v>
      </c>
      <c r="AF6" s="87">
        <v>100</v>
      </c>
      <c r="AG6" s="87">
        <v>100</v>
      </c>
      <c r="AH6" s="87">
        <v>100</v>
      </c>
      <c r="AI6" s="87">
        <v>100</v>
      </c>
      <c r="AJ6" s="87">
        <v>100</v>
      </c>
      <c r="AK6" s="87">
        <v>100</v>
      </c>
      <c r="AL6" s="87">
        <v>100</v>
      </c>
      <c r="AM6" s="87">
        <v>100</v>
      </c>
      <c r="AN6" s="87">
        <v>100</v>
      </c>
      <c r="AO6" s="87">
        <v>100</v>
      </c>
      <c r="AP6" s="87">
        <v>100</v>
      </c>
      <c r="AQ6" s="87">
        <v>100</v>
      </c>
      <c r="AR6" s="87">
        <v>100</v>
      </c>
      <c r="AS6" s="87">
        <v>98</v>
      </c>
      <c r="AT6" s="87">
        <v>99.89</v>
      </c>
    </row>
    <row r="7" spans="1:46" ht="16.5" thickBot="1" x14ac:dyDescent="0.3">
      <c r="A7" s="89">
        <v>0.09</v>
      </c>
      <c r="B7" s="90">
        <v>4.53</v>
      </c>
      <c r="C7" s="90">
        <v>5.03</v>
      </c>
      <c r="D7" s="90">
        <v>5.43</v>
      </c>
      <c r="E7" s="90">
        <v>5.73</v>
      </c>
      <c r="F7" s="136">
        <v>5.93</v>
      </c>
      <c r="G7" s="137">
        <v>6.03</v>
      </c>
      <c r="H7" s="90">
        <v>5.88</v>
      </c>
      <c r="I7" s="90">
        <v>5.73</v>
      </c>
      <c r="J7" s="90">
        <v>5.58</v>
      </c>
      <c r="K7" s="90">
        <v>5.43</v>
      </c>
      <c r="L7" s="90">
        <v>5.28</v>
      </c>
      <c r="M7" s="91">
        <v>5.13</v>
      </c>
      <c r="N7" s="91">
        <v>4.9800000000000004</v>
      </c>
      <c r="O7" s="91">
        <v>4.83</v>
      </c>
      <c r="P7" s="91">
        <v>4.68</v>
      </c>
      <c r="Q7" s="90">
        <v>4.4800000000000004</v>
      </c>
      <c r="R7" s="90">
        <v>4.28</v>
      </c>
      <c r="S7" s="90">
        <v>3.9800000000000004</v>
      </c>
      <c r="T7" s="90">
        <v>3.63</v>
      </c>
      <c r="U7" s="90">
        <v>3.2300000000000004</v>
      </c>
      <c r="V7" s="90">
        <v>2.78</v>
      </c>
      <c r="W7" s="90">
        <v>2.2799999999999998</v>
      </c>
      <c r="X7" s="92"/>
      <c r="Y7" s="87">
        <v>8.8000000000000007</v>
      </c>
      <c r="Z7" s="87">
        <f t="shared" si="0"/>
        <v>7.8000000000000007</v>
      </c>
      <c r="AA7" s="87">
        <v>100</v>
      </c>
      <c r="AB7" s="87">
        <v>100</v>
      </c>
      <c r="AC7" s="87">
        <v>100</v>
      </c>
      <c r="AD7" s="87">
        <v>100</v>
      </c>
      <c r="AE7" s="87">
        <v>100</v>
      </c>
      <c r="AF7" s="87">
        <v>100</v>
      </c>
      <c r="AG7" s="87">
        <v>100</v>
      </c>
      <c r="AH7" s="87">
        <v>100</v>
      </c>
      <c r="AI7" s="87">
        <v>100</v>
      </c>
      <c r="AJ7" s="87">
        <v>100</v>
      </c>
      <c r="AK7" s="87">
        <v>100</v>
      </c>
      <c r="AL7" s="87">
        <v>100</v>
      </c>
      <c r="AM7" s="87">
        <v>100</v>
      </c>
      <c r="AN7" s="87">
        <v>100</v>
      </c>
      <c r="AO7" s="87">
        <v>100</v>
      </c>
      <c r="AP7" s="87">
        <v>100</v>
      </c>
      <c r="AQ7" s="87">
        <v>100</v>
      </c>
      <c r="AR7" s="87">
        <v>100</v>
      </c>
      <c r="AS7" s="87">
        <v>97</v>
      </c>
      <c r="AT7" s="87">
        <v>99.84</v>
      </c>
    </row>
    <row r="8" spans="1:46" ht="15.75" thickBot="1" x14ac:dyDescent="0.3">
      <c r="A8" s="133">
        <v>0.1</v>
      </c>
      <c r="B8" s="134">
        <v>4.8099999999999996</v>
      </c>
      <c r="C8" s="134">
        <v>5.31</v>
      </c>
      <c r="D8" s="134">
        <v>5.71</v>
      </c>
      <c r="E8" s="134">
        <v>6.01</v>
      </c>
      <c r="F8" s="134">
        <v>6.21</v>
      </c>
      <c r="G8" s="134">
        <v>6.31</v>
      </c>
      <c r="H8" s="134">
        <v>6.16</v>
      </c>
      <c r="I8" s="134">
        <v>6.01</v>
      </c>
      <c r="J8" s="134">
        <v>5.86</v>
      </c>
      <c r="K8" s="134">
        <v>5.71</v>
      </c>
      <c r="L8" s="134">
        <v>5.56</v>
      </c>
      <c r="M8" s="134">
        <v>5.41</v>
      </c>
      <c r="N8" s="134">
        <v>5.26</v>
      </c>
      <c r="O8" s="134">
        <v>5.1100000000000003</v>
      </c>
      <c r="P8" s="134">
        <v>4.96</v>
      </c>
      <c r="Q8" s="134">
        <v>4.76</v>
      </c>
      <c r="R8" s="134">
        <v>4.5599999999999996</v>
      </c>
      <c r="S8" s="134">
        <v>4.26</v>
      </c>
      <c r="T8" s="134">
        <v>3.91</v>
      </c>
      <c r="U8" s="134">
        <v>3.51</v>
      </c>
      <c r="V8" s="134">
        <v>3.0599999999999996</v>
      </c>
      <c r="W8" s="134">
        <v>2.56</v>
      </c>
      <c r="X8" s="92"/>
      <c r="Y8" s="87">
        <v>8.6999999999999993</v>
      </c>
      <c r="Z8" s="87">
        <f t="shared" si="0"/>
        <v>7.6999999999999993</v>
      </c>
      <c r="AA8" s="87">
        <v>100</v>
      </c>
      <c r="AB8" s="87">
        <v>100</v>
      </c>
      <c r="AC8" s="87">
        <v>100</v>
      </c>
      <c r="AD8" s="87">
        <v>100</v>
      </c>
      <c r="AE8" s="87">
        <v>100</v>
      </c>
      <c r="AF8" s="87">
        <v>100</v>
      </c>
      <c r="AG8" s="87">
        <v>100</v>
      </c>
      <c r="AH8" s="87">
        <v>100</v>
      </c>
      <c r="AI8" s="87">
        <v>100</v>
      </c>
      <c r="AJ8" s="87">
        <v>100</v>
      </c>
      <c r="AK8" s="87">
        <v>100</v>
      </c>
      <c r="AL8" s="87">
        <v>100</v>
      </c>
      <c r="AM8" s="87">
        <v>100</v>
      </c>
      <c r="AN8" s="87">
        <v>100</v>
      </c>
      <c r="AO8" s="87">
        <v>100</v>
      </c>
      <c r="AP8" s="87">
        <v>100</v>
      </c>
      <c r="AQ8" s="87">
        <v>100</v>
      </c>
      <c r="AR8" s="87">
        <v>100</v>
      </c>
      <c r="AS8" s="87">
        <v>96</v>
      </c>
      <c r="AT8" s="87">
        <v>99.79</v>
      </c>
    </row>
    <row r="9" spans="1:46" ht="15.75" thickBot="1" x14ac:dyDescent="0.3">
      <c r="A9" s="133">
        <v>0.11</v>
      </c>
      <c r="B9" s="91">
        <v>5.0599999999999996</v>
      </c>
      <c r="C9" s="91">
        <v>5.56</v>
      </c>
      <c r="D9" s="91">
        <v>5.96</v>
      </c>
      <c r="E9" s="91">
        <v>6.26</v>
      </c>
      <c r="F9" s="91">
        <v>6.46</v>
      </c>
      <c r="G9" s="134">
        <v>6.56</v>
      </c>
      <c r="H9" s="91">
        <v>6.41</v>
      </c>
      <c r="I9" s="91">
        <v>6.26</v>
      </c>
      <c r="J9" s="91">
        <v>6.11</v>
      </c>
      <c r="K9" s="91">
        <v>5.96</v>
      </c>
      <c r="L9" s="91">
        <v>5.81</v>
      </c>
      <c r="M9" s="91">
        <v>5.66</v>
      </c>
      <c r="N9" s="91">
        <v>5.51</v>
      </c>
      <c r="O9" s="91">
        <v>5.36</v>
      </c>
      <c r="P9" s="91">
        <v>5.21</v>
      </c>
      <c r="Q9" s="91">
        <v>5.01</v>
      </c>
      <c r="R9" s="91">
        <v>4.8099999999999996</v>
      </c>
      <c r="S9" s="91">
        <v>4.51</v>
      </c>
      <c r="T9" s="91">
        <v>4.16</v>
      </c>
      <c r="U9" s="91">
        <v>3.76</v>
      </c>
      <c r="V9" s="91">
        <v>3.3099999999999996</v>
      </c>
      <c r="W9" s="91">
        <v>2.81</v>
      </c>
      <c r="X9" s="92"/>
      <c r="Y9" s="87">
        <v>8.6</v>
      </c>
      <c r="Z9" s="87">
        <f t="shared" si="0"/>
        <v>7.6</v>
      </c>
      <c r="AA9" s="87">
        <v>100</v>
      </c>
      <c r="AB9" s="87">
        <v>100</v>
      </c>
      <c r="AC9" s="87">
        <v>100</v>
      </c>
      <c r="AD9" s="87">
        <v>100</v>
      </c>
      <c r="AE9" s="87">
        <v>100</v>
      </c>
      <c r="AF9" s="87">
        <v>100</v>
      </c>
      <c r="AG9" s="87">
        <v>100</v>
      </c>
      <c r="AH9" s="87">
        <v>100</v>
      </c>
      <c r="AI9" s="87">
        <v>100</v>
      </c>
      <c r="AJ9" s="87">
        <v>100</v>
      </c>
      <c r="AK9" s="87">
        <v>100</v>
      </c>
      <c r="AL9" s="87">
        <v>100</v>
      </c>
      <c r="AM9" s="87">
        <v>100</v>
      </c>
      <c r="AN9" s="87">
        <v>100</v>
      </c>
      <c r="AO9" s="87">
        <v>100</v>
      </c>
      <c r="AP9" s="87">
        <v>100</v>
      </c>
      <c r="AQ9" s="87">
        <v>100</v>
      </c>
      <c r="AR9" s="87">
        <v>98</v>
      </c>
      <c r="AS9" s="87">
        <v>95</v>
      </c>
      <c r="AT9" s="87">
        <v>99.63</v>
      </c>
    </row>
    <row r="10" spans="1:46" ht="15.75" thickBot="1" x14ac:dyDescent="0.3">
      <c r="A10" s="133">
        <v>0.12</v>
      </c>
      <c r="B10" s="134">
        <v>5.3</v>
      </c>
      <c r="C10" s="134">
        <v>5.8</v>
      </c>
      <c r="D10" s="134">
        <v>6.2</v>
      </c>
      <c r="E10" s="134">
        <v>6.5</v>
      </c>
      <c r="F10" s="134">
        <v>6.7</v>
      </c>
      <c r="G10" s="134">
        <v>6.8</v>
      </c>
      <c r="H10" s="134">
        <v>6.65</v>
      </c>
      <c r="I10" s="134">
        <v>6.5</v>
      </c>
      <c r="J10" s="134">
        <v>6.35</v>
      </c>
      <c r="K10" s="134">
        <v>6.2</v>
      </c>
      <c r="L10" s="134">
        <v>6.05</v>
      </c>
      <c r="M10" s="134">
        <v>5.9</v>
      </c>
      <c r="N10" s="134">
        <v>5.75</v>
      </c>
      <c r="O10" s="134">
        <v>5.6</v>
      </c>
      <c r="P10" s="134">
        <v>5.45</v>
      </c>
      <c r="Q10" s="134">
        <v>5.25</v>
      </c>
      <c r="R10" s="134">
        <v>5.05</v>
      </c>
      <c r="S10" s="134">
        <v>4.75</v>
      </c>
      <c r="T10" s="134">
        <v>4.4000000000000004</v>
      </c>
      <c r="U10" s="134">
        <v>4</v>
      </c>
      <c r="V10" s="134">
        <v>3.55</v>
      </c>
      <c r="W10" s="134">
        <v>3.05</v>
      </c>
      <c r="X10" s="88"/>
      <c r="Y10" s="87">
        <v>8.5</v>
      </c>
      <c r="Z10" s="87">
        <f t="shared" si="0"/>
        <v>7.5</v>
      </c>
      <c r="AA10" s="87">
        <v>100</v>
      </c>
      <c r="AB10" s="87">
        <v>100</v>
      </c>
      <c r="AC10" s="87">
        <v>100</v>
      </c>
      <c r="AD10" s="87">
        <v>100</v>
      </c>
      <c r="AE10" s="87">
        <v>100</v>
      </c>
      <c r="AF10" s="87">
        <v>100</v>
      </c>
      <c r="AG10" s="87">
        <v>100</v>
      </c>
      <c r="AH10" s="87">
        <v>100</v>
      </c>
      <c r="AI10" s="87">
        <v>100</v>
      </c>
      <c r="AJ10" s="87">
        <v>100</v>
      </c>
      <c r="AK10" s="87">
        <v>100</v>
      </c>
      <c r="AL10" s="87">
        <v>100</v>
      </c>
      <c r="AM10" s="87">
        <v>100</v>
      </c>
      <c r="AN10" s="87">
        <v>100</v>
      </c>
      <c r="AO10" s="87">
        <v>100</v>
      </c>
      <c r="AP10" s="87">
        <v>100</v>
      </c>
      <c r="AQ10" s="87">
        <v>100</v>
      </c>
      <c r="AR10" s="87">
        <v>98</v>
      </c>
      <c r="AS10" s="87">
        <v>94</v>
      </c>
      <c r="AT10" s="87">
        <v>99.58</v>
      </c>
    </row>
    <row r="11" spans="1:46" ht="15.75" thickBot="1" x14ac:dyDescent="0.3">
      <c r="A11" s="133">
        <v>0.13</v>
      </c>
      <c r="B11" s="91">
        <v>5.52</v>
      </c>
      <c r="C11" s="91">
        <v>6.02</v>
      </c>
      <c r="D11" s="91">
        <v>6.42</v>
      </c>
      <c r="E11" s="91">
        <v>6.72</v>
      </c>
      <c r="F11" s="91">
        <v>6.92</v>
      </c>
      <c r="G11" s="134">
        <v>7.02</v>
      </c>
      <c r="H11" s="91">
        <v>6.87</v>
      </c>
      <c r="I11" s="91">
        <v>6.72</v>
      </c>
      <c r="J11" s="91">
        <v>6.57</v>
      </c>
      <c r="K11" s="91">
        <v>6.42</v>
      </c>
      <c r="L11" s="91">
        <v>6.27</v>
      </c>
      <c r="M11" s="91">
        <v>6.12</v>
      </c>
      <c r="N11" s="91">
        <v>5.97</v>
      </c>
      <c r="O11" s="91">
        <v>5.82</v>
      </c>
      <c r="P11" s="91">
        <v>5.67</v>
      </c>
      <c r="Q11" s="91">
        <v>5.47</v>
      </c>
      <c r="R11" s="91">
        <v>5.27</v>
      </c>
      <c r="S11" s="91">
        <v>4.97</v>
      </c>
      <c r="T11" s="91">
        <v>4.62</v>
      </c>
      <c r="U11" s="91">
        <v>4.22</v>
      </c>
      <c r="V11" s="91">
        <v>3.7699999999999996</v>
      </c>
      <c r="W11" s="91">
        <v>3.2699999999999996</v>
      </c>
      <c r="X11" s="92"/>
      <c r="Y11" s="87">
        <v>8.4</v>
      </c>
      <c r="Z11" s="87">
        <f t="shared" si="0"/>
        <v>7.4</v>
      </c>
      <c r="AA11" s="87">
        <v>100</v>
      </c>
      <c r="AB11" s="87">
        <v>100</v>
      </c>
      <c r="AC11" s="87">
        <v>100</v>
      </c>
      <c r="AD11" s="87">
        <v>100</v>
      </c>
      <c r="AE11" s="87">
        <v>100</v>
      </c>
      <c r="AF11" s="87">
        <v>100</v>
      </c>
      <c r="AG11" s="87">
        <v>100</v>
      </c>
      <c r="AH11" s="87">
        <v>100</v>
      </c>
      <c r="AI11" s="87">
        <v>100</v>
      </c>
      <c r="AJ11" s="87">
        <v>100</v>
      </c>
      <c r="AK11" s="87">
        <v>100</v>
      </c>
      <c r="AL11" s="87">
        <v>100</v>
      </c>
      <c r="AM11" s="87">
        <v>100</v>
      </c>
      <c r="AN11" s="87">
        <v>100</v>
      </c>
      <c r="AO11" s="87">
        <v>100</v>
      </c>
      <c r="AP11" s="87">
        <v>100</v>
      </c>
      <c r="AQ11" s="87">
        <v>99</v>
      </c>
      <c r="AR11" s="87">
        <v>96</v>
      </c>
      <c r="AS11" s="87">
        <v>93</v>
      </c>
      <c r="AT11" s="87">
        <v>99.37</v>
      </c>
    </row>
    <row r="12" spans="1:46" ht="15.75" thickBot="1" x14ac:dyDescent="0.3">
      <c r="A12" s="133">
        <v>0.14000000000000001</v>
      </c>
      <c r="B12" s="91">
        <v>5.72</v>
      </c>
      <c r="C12" s="91">
        <v>6.22</v>
      </c>
      <c r="D12" s="91">
        <v>6.62</v>
      </c>
      <c r="E12" s="91">
        <v>6.92</v>
      </c>
      <c r="F12" s="91">
        <v>7.1199999999999992</v>
      </c>
      <c r="G12" s="134">
        <v>7.2200000000000006</v>
      </c>
      <c r="H12" s="91">
        <v>7.07</v>
      </c>
      <c r="I12" s="91">
        <v>6.92</v>
      </c>
      <c r="J12" s="91">
        <v>6.77</v>
      </c>
      <c r="K12" s="91">
        <v>6.62</v>
      </c>
      <c r="L12" s="91">
        <v>6.47</v>
      </c>
      <c r="M12" s="91">
        <v>6.32</v>
      </c>
      <c r="N12" s="91">
        <v>6.17</v>
      </c>
      <c r="O12" s="91">
        <v>6.02</v>
      </c>
      <c r="P12" s="91">
        <v>5.87</v>
      </c>
      <c r="Q12" s="91">
        <v>5.67</v>
      </c>
      <c r="R12" s="91">
        <v>5.47</v>
      </c>
      <c r="S12" s="91">
        <v>5.17</v>
      </c>
      <c r="T12" s="91">
        <v>4.82</v>
      </c>
      <c r="U12" s="91">
        <v>4.42</v>
      </c>
      <c r="V12" s="91">
        <v>3.9699999999999998</v>
      </c>
      <c r="W12" s="91">
        <v>3.4699999999999998</v>
      </c>
      <c r="X12" s="92"/>
      <c r="Y12" s="87">
        <v>8.3000000000000007</v>
      </c>
      <c r="Z12" s="87">
        <f t="shared" si="0"/>
        <v>7.3000000000000007</v>
      </c>
      <c r="AA12" s="87">
        <v>100</v>
      </c>
      <c r="AB12" s="87">
        <v>100</v>
      </c>
      <c r="AC12" s="87">
        <v>100</v>
      </c>
      <c r="AD12" s="87">
        <v>100</v>
      </c>
      <c r="AE12" s="87">
        <v>100</v>
      </c>
      <c r="AF12" s="87">
        <v>100</v>
      </c>
      <c r="AG12" s="87">
        <v>100</v>
      </c>
      <c r="AH12" s="87">
        <v>100</v>
      </c>
      <c r="AI12" s="87">
        <v>100</v>
      </c>
      <c r="AJ12" s="87">
        <v>100</v>
      </c>
      <c r="AK12" s="87">
        <v>100</v>
      </c>
      <c r="AL12" s="87">
        <v>100</v>
      </c>
      <c r="AM12" s="87">
        <v>100</v>
      </c>
      <c r="AN12" s="87">
        <v>100</v>
      </c>
      <c r="AO12" s="87">
        <v>100</v>
      </c>
      <c r="AP12" s="87">
        <v>100</v>
      </c>
      <c r="AQ12" s="87">
        <v>99</v>
      </c>
      <c r="AR12" s="87">
        <v>95</v>
      </c>
      <c r="AS12" s="87">
        <v>92</v>
      </c>
      <c r="AT12" s="87">
        <v>99.26</v>
      </c>
    </row>
    <row r="13" spans="1:46" ht="15.75" thickBot="1" x14ac:dyDescent="0.3">
      <c r="A13" s="133">
        <v>0.15</v>
      </c>
      <c r="B13" s="91">
        <v>5.91</v>
      </c>
      <c r="C13" s="91">
        <v>6.41</v>
      </c>
      <c r="D13" s="91">
        <v>6.81</v>
      </c>
      <c r="E13" s="91">
        <v>7.1099999999999994</v>
      </c>
      <c r="F13" s="91">
        <v>7.3100000000000005</v>
      </c>
      <c r="G13" s="134">
        <v>7.41</v>
      </c>
      <c r="H13" s="91">
        <v>7.26</v>
      </c>
      <c r="I13" s="91">
        <v>7.1099999999999994</v>
      </c>
      <c r="J13" s="91">
        <v>6.96</v>
      </c>
      <c r="K13" s="91">
        <v>6.81</v>
      </c>
      <c r="L13" s="91">
        <v>6.66</v>
      </c>
      <c r="M13" s="91">
        <v>6.51</v>
      </c>
      <c r="N13" s="91">
        <v>6.36</v>
      </c>
      <c r="O13" s="91">
        <v>6.21</v>
      </c>
      <c r="P13" s="91">
        <v>6.06</v>
      </c>
      <c r="Q13" s="91">
        <v>5.86</v>
      </c>
      <c r="R13" s="91">
        <v>5.66</v>
      </c>
      <c r="S13" s="91">
        <v>5.36</v>
      </c>
      <c r="T13" s="91">
        <v>5.01</v>
      </c>
      <c r="U13" s="91">
        <v>4.6100000000000003</v>
      </c>
      <c r="V13" s="91">
        <v>4.16</v>
      </c>
      <c r="W13" s="91">
        <v>3.66</v>
      </c>
      <c r="X13" s="92"/>
      <c r="Y13" s="87">
        <v>8.1999999999999993</v>
      </c>
      <c r="Z13" s="87">
        <f t="shared" si="0"/>
        <v>7.1999999999999993</v>
      </c>
      <c r="AA13" s="87">
        <v>100</v>
      </c>
      <c r="AB13" s="87">
        <v>100</v>
      </c>
      <c r="AC13" s="87">
        <v>100</v>
      </c>
      <c r="AD13" s="87">
        <v>100</v>
      </c>
      <c r="AE13" s="87">
        <v>100</v>
      </c>
      <c r="AF13" s="87">
        <v>100</v>
      </c>
      <c r="AG13" s="87">
        <v>100</v>
      </c>
      <c r="AH13" s="87">
        <v>100</v>
      </c>
      <c r="AI13" s="87">
        <v>100</v>
      </c>
      <c r="AJ13" s="87">
        <v>100</v>
      </c>
      <c r="AK13" s="87">
        <v>100</v>
      </c>
      <c r="AL13" s="87">
        <v>100</v>
      </c>
      <c r="AM13" s="87">
        <v>100</v>
      </c>
      <c r="AN13" s="87">
        <v>100</v>
      </c>
      <c r="AO13" s="87">
        <v>100</v>
      </c>
      <c r="AP13" s="87">
        <v>100</v>
      </c>
      <c r="AQ13" s="87">
        <v>97</v>
      </c>
      <c r="AR13" s="87">
        <v>94</v>
      </c>
      <c r="AS13" s="87">
        <v>91</v>
      </c>
      <c r="AT13" s="87">
        <v>99.05</v>
      </c>
    </row>
    <row r="14" spans="1:46" ht="15.75" thickBot="1" x14ac:dyDescent="0.3">
      <c r="A14" s="133">
        <v>0.16</v>
      </c>
      <c r="B14" s="91">
        <v>6.09</v>
      </c>
      <c r="C14" s="91">
        <v>6.59</v>
      </c>
      <c r="D14" s="91">
        <v>6.99</v>
      </c>
      <c r="E14" s="91">
        <v>7.2899999999999991</v>
      </c>
      <c r="F14" s="91">
        <v>7.49</v>
      </c>
      <c r="G14" s="134">
        <v>7.59</v>
      </c>
      <c r="H14" s="91">
        <v>7.4399999999999995</v>
      </c>
      <c r="I14" s="91">
        <v>7.2899999999999991</v>
      </c>
      <c r="J14" s="91">
        <v>7.1400000000000006</v>
      </c>
      <c r="K14" s="91">
        <v>6.99</v>
      </c>
      <c r="L14" s="91">
        <v>6.84</v>
      </c>
      <c r="M14" s="91">
        <v>6.69</v>
      </c>
      <c r="N14" s="91">
        <v>6.54</v>
      </c>
      <c r="O14" s="91">
        <v>6.39</v>
      </c>
      <c r="P14" s="91">
        <v>6.24</v>
      </c>
      <c r="Q14" s="91">
        <v>6.04</v>
      </c>
      <c r="R14" s="91">
        <v>5.84</v>
      </c>
      <c r="S14" s="91">
        <v>5.54</v>
      </c>
      <c r="T14" s="91">
        <v>5.19</v>
      </c>
      <c r="U14" s="91">
        <v>4.79</v>
      </c>
      <c r="V14" s="91">
        <v>4.34</v>
      </c>
      <c r="W14" s="91">
        <v>3.84</v>
      </c>
      <c r="X14" s="92"/>
      <c r="Y14" s="87">
        <v>8.1</v>
      </c>
      <c r="Z14" s="87">
        <f t="shared" si="0"/>
        <v>7.1</v>
      </c>
      <c r="AA14" s="87">
        <v>100</v>
      </c>
      <c r="AB14" s="87">
        <v>100</v>
      </c>
      <c r="AC14" s="87">
        <v>100</v>
      </c>
      <c r="AD14" s="87">
        <v>100</v>
      </c>
      <c r="AE14" s="87">
        <v>100</v>
      </c>
      <c r="AF14" s="87">
        <v>100</v>
      </c>
      <c r="AG14" s="87">
        <v>100</v>
      </c>
      <c r="AH14" s="87">
        <v>100</v>
      </c>
      <c r="AI14" s="87">
        <v>100</v>
      </c>
      <c r="AJ14" s="87">
        <v>100</v>
      </c>
      <c r="AK14" s="87">
        <v>100</v>
      </c>
      <c r="AL14" s="87">
        <v>100</v>
      </c>
      <c r="AM14" s="87">
        <v>100</v>
      </c>
      <c r="AN14" s="87">
        <v>100</v>
      </c>
      <c r="AO14" s="87">
        <v>100</v>
      </c>
      <c r="AP14" s="87">
        <v>100</v>
      </c>
      <c r="AQ14" s="87">
        <v>97</v>
      </c>
      <c r="AR14" s="87">
        <v>93</v>
      </c>
      <c r="AS14" s="87">
        <v>90</v>
      </c>
      <c r="AT14" s="87">
        <v>98.95</v>
      </c>
    </row>
    <row r="15" spans="1:46" ht="19.5" thickBot="1" x14ac:dyDescent="0.35">
      <c r="A15" s="133">
        <v>0.17</v>
      </c>
      <c r="B15" s="134">
        <v>6.25</v>
      </c>
      <c r="C15" s="134">
        <v>6.75</v>
      </c>
      <c r="D15" s="134">
        <v>7.15</v>
      </c>
      <c r="E15" s="134">
        <v>7.4499999999999993</v>
      </c>
      <c r="F15" s="134">
        <v>7.65</v>
      </c>
      <c r="G15" s="134">
        <v>7.75</v>
      </c>
      <c r="H15" s="134">
        <v>7.6</v>
      </c>
      <c r="I15" s="134">
        <v>7.4499999999999993</v>
      </c>
      <c r="J15" s="134">
        <v>7.3000000000000007</v>
      </c>
      <c r="K15" s="134">
        <v>7.15</v>
      </c>
      <c r="L15" s="134">
        <v>7</v>
      </c>
      <c r="M15" s="134">
        <v>6.85</v>
      </c>
      <c r="N15" s="134">
        <v>6.7</v>
      </c>
      <c r="O15" s="134">
        <v>6.55</v>
      </c>
      <c r="P15" s="134">
        <v>6.4</v>
      </c>
      <c r="Q15" s="134">
        <v>6.2</v>
      </c>
      <c r="R15" s="134">
        <v>6</v>
      </c>
      <c r="S15" s="134">
        <v>5.7</v>
      </c>
      <c r="T15" s="134">
        <v>5.35</v>
      </c>
      <c r="U15" s="134">
        <v>4.95</v>
      </c>
      <c r="V15" s="134">
        <v>4.5</v>
      </c>
      <c r="W15" s="134">
        <v>4</v>
      </c>
      <c r="X15" s="93"/>
      <c r="Y15" s="87">
        <v>8</v>
      </c>
      <c r="Z15" s="87">
        <f t="shared" si="0"/>
        <v>7</v>
      </c>
      <c r="AA15" s="87">
        <v>100</v>
      </c>
      <c r="AB15" s="87">
        <v>100</v>
      </c>
      <c r="AC15" s="87">
        <v>100</v>
      </c>
      <c r="AD15" s="87">
        <v>100</v>
      </c>
      <c r="AE15" s="87">
        <v>100</v>
      </c>
      <c r="AF15" s="87">
        <v>100</v>
      </c>
      <c r="AG15" s="87">
        <v>100</v>
      </c>
      <c r="AH15" s="87">
        <v>100</v>
      </c>
      <c r="AI15" s="87">
        <v>100</v>
      </c>
      <c r="AJ15" s="87">
        <v>99</v>
      </c>
      <c r="AK15" s="87">
        <v>100</v>
      </c>
      <c r="AL15" s="87">
        <v>100</v>
      </c>
      <c r="AM15" s="87">
        <v>100</v>
      </c>
      <c r="AN15" s="87">
        <v>100</v>
      </c>
      <c r="AO15" s="87">
        <v>100</v>
      </c>
      <c r="AP15" s="87">
        <v>99</v>
      </c>
      <c r="AQ15" s="87">
        <v>95</v>
      </c>
      <c r="AR15" s="87">
        <v>92</v>
      </c>
      <c r="AS15" s="87">
        <v>89</v>
      </c>
      <c r="AT15" s="87">
        <v>98.63</v>
      </c>
    </row>
    <row r="16" spans="1:46" ht="15.75" thickBot="1" x14ac:dyDescent="0.3">
      <c r="A16" s="133">
        <v>0.18</v>
      </c>
      <c r="B16" s="91">
        <v>6.4</v>
      </c>
      <c r="C16" s="91">
        <v>6.9</v>
      </c>
      <c r="D16" s="91">
        <v>7.3000000000000007</v>
      </c>
      <c r="E16" s="91">
        <v>7.6</v>
      </c>
      <c r="F16" s="91">
        <v>7.8000000000000007</v>
      </c>
      <c r="G16" s="134">
        <v>7.9</v>
      </c>
      <c r="H16" s="91">
        <v>7.75</v>
      </c>
      <c r="I16" s="91">
        <v>7.6</v>
      </c>
      <c r="J16" s="91">
        <v>7.4499999999999993</v>
      </c>
      <c r="K16" s="91">
        <v>7.3000000000000007</v>
      </c>
      <c r="L16" s="91">
        <v>7.15</v>
      </c>
      <c r="M16" s="91">
        <v>7</v>
      </c>
      <c r="N16" s="91">
        <v>6.85</v>
      </c>
      <c r="O16" s="91">
        <v>6.7</v>
      </c>
      <c r="P16" s="91">
        <v>6.55</v>
      </c>
      <c r="Q16" s="91">
        <v>6.35</v>
      </c>
      <c r="R16" s="91">
        <v>6.15</v>
      </c>
      <c r="S16" s="91">
        <v>5.85</v>
      </c>
      <c r="T16" s="91">
        <v>5.5</v>
      </c>
      <c r="U16" s="91">
        <v>5.0999999999999996</v>
      </c>
      <c r="V16" s="91">
        <v>4.6500000000000004</v>
      </c>
      <c r="W16" s="91">
        <v>4.1500000000000004</v>
      </c>
      <c r="X16" s="92"/>
      <c r="Y16" s="87">
        <v>7.9</v>
      </c>
      <c r="Z16" s="87">
        <f t="shared" si="0"/>
        <v>6.9</v>
      </c>
      <c r="AA16" s="87">
        <v>100</v>
      </c>
      <c r="AB16" s="87">
        <v>100</v>
      </c>
      <c r="AC16" s="87">
        <v>100</v>
      </c>
      <c r="AD16" s="87">
        <v>100</v>
      </c>
      <c r="AE16" s="87">
        <v>100</v>
      </c>
      <c r="AF16" s="87">
        <v>100</v>
      </c>
      <c r="AG16" s="87">
        <v>100</v>
      </c>
      <c r="AH16" s="87">
        <v>100</v>
      </c>
      <c r="AI16" s="87">
        <v>100</v>
      </c>
      <c r="AJ16" s="87">
        <v>99</v>
      </c>
      <c r="AK16" s="87">
        <v>100</v>
      </c>
      <c r="AL16" s="87">
        <v>100</v>
      </c>
      <c r="AM16" s="87">
        <v>100</v>
      </c>
      <c r="AN16" s="87">
        <v>100</v>
      </c>
      <c r="AO16" s="87">
        <v>100</v>
      </c>
      <c r="AP16" s="87">
        <v>98</v>
      </c>
      <c r="AQ16" s="87">
        <v>95</v>
      </c>
      <c r="AR16" s="87">
        <v>92</v>
      </c>
      <c r="AS16" s="87">
        <v>88</v>
      </c>
      <c r="AT16" s="87">
        <v>98.53</v>
      </c>
    </row>
    <row r="17" spans="1:46" ht="15.75" thickBot="1" x14ac:dyDescent="0.3">
      <c r="A17" s="133">
        <v>0.19</v>
      </c>
      <c r="B17" s="91">
        <v>6.54</v>
      </c>
      <c r="C17" s="91">
        <v>7.0399999999999991</v>
      </c>
      <c r="D17" s="91">
        <v>7.4399999999999995</v>
      </c>
      <c r="E17" s="91">
        <v>7.74</v>
      </c>
      <c r="F17" s="91">
        <v>7.9399999999999995</v>
      </c>
      <c r="G17" s="134">
        <v>8.0399999999999991</v>
      </c>
      <c r="H17" s="91">
        <v>7.8900000000000006</v>
      </c>
      <c r="I17" s="91">
        <v>7.74</v>
      </c>
      <c r="J17" s="91">
        <v>7.59</v>
      </c>
      <c r="K17" s="91">
        <v>7.4399999999999995</v>
      </c>
      <c r="L17" s="91">
        <v>7.2899999999999991</v>
      </c>
      <c r="M17" s="91">
        <v>7.1400000000000006</v>
      </c>
      <c r="N17" s="91">
        <v>6.99</v>
      </c>
      <c r="O17" s="91">
        <v>6.84</v>
      </c>
      <c r="P17" s="91">
        <v>6.69</v>
      </c>
      <c r="Q17" s="91">
        <v>6.49</v>
      </c>
      <c r="R17" s="91">
        <v>6.29</v>
      </c>
      <c r="S17" s="91">
        <v>5.99</v>
      </c>
      <c r="T17" s="91">
        <v>5.64</v>
      </c>
      <c r="U17" s="91">
        <v>5.24</v>
      </c>
      <c r="V17" s="91">
        <v>4.79</v>
      </c>
      <c r="W17" s="91">
        <v>4.29</v>
      </c>
      <c r="X17" s="92"/>
      <c r="Y17" s="87">
        <v>7.8</v>
      </c>
      <c r="Z17" s="87">
        <f t="shared" si="0"/>
        <v>6.8</v>
      </c>
      <c r="AA17" s="87">
        <v>100</v>
      </c>
      <c r="AB17" s="87">
        <v>100</v>
      </c>
      <c r="AC17" s="87">
        <v>100</v>
      </c>
      <c r="AD17" s="87">
        <v>100</v>
      </c>
      <c r="AE17" s="87">
        <v>100</v>
      </c>
      <c r="AF17" s="87">
        <v>100</v>
      </c>
      <c r="AG17" s="87">
        <v>100</v>
      </c>
      <c r="AH17" s="87">
        <v>100</v>
      </c>
      <c r="AI17" s="87">
        <v>100</v>
      </c>
      <c r="AJ17" s="87">
        <v>98</v>
      </c>
      <c r="AK17" s="87">
        <v>100</v>
      </c>
      <c r="AL17" s="87">
        <v>100</v>
      </c>
      <c r="AM17" s="87">
        <v>100</v>
      </c>
      <c r="AN17" s="87">
        <v>100</v>
      </c>
      <c r="AO17" s="87">
        <v>100</v>
      </c>
      <c r="AP17" s="87">
        <v>97</v>
      </c>
      <c r="AQ17" s="87">
        <v>94</v>
      </c>
      <c r="AR17" s="87">
        <v>91</v>
      </c>
      <c r="AS17" s="87">
        <v>87</v>
      </c>
      <c r="AT17" s="87">
        <v>98.26</v>
      </c>
    </row>
    <row r="18" spans="1:46" ht="19.5" thickBot="1" x14ac:dyDescent="0.35">
      <c r="A18" s="94">
        <v>0.2</v>
      </c>
      <c r="B18" s="96">
        <v>6.67</v>
      </c>
      <c r="C18" s="96">
        <v>7.17</v>
      </c>
      <c r="D18" s="96">
        <v>7.57</v>
      </c>
      <c r="E18" s="96">
        <v>7.8699999999999992</v>
      </c>
      <c r="F18" s="96">
        <v>8.07</v>
      </c>
      <c r="G18" s="95">
        <v>8.17</v>
      </c>
      <c r="H18" s="96">
        <v>8.02</v>
      </c>
      <c r="I18" s="96">
        <v>7.8699999999999992</v>
      </c>
      <c r="J18" s="96">
        <v>7.7200000000000006</v>
      </c>
      <c r="K18" s="96">
        <v>7.57</v>
      </c>
      <c r="L18" s="96">
        <v>7.42</v>
      </c>
      <c r="M18" s="96">
        <v>7.27</v>
      </c>
      <c r="N18" s="96">
        <v>7.1199999999999992</v>
      </c>
      <c r="O18" s="96">
        <v>6.97</v>
      </c>
      <c r="P18" s="96">
        <v>6.82</v>
      </c>
      <c r="Q18" s="96">
        <v>6.62</v>
      </c>
      <c r="R18" s="96">
        <v>6.42</v>
      </c>
      <c r="S18" s="96">
        <v>6.12</v>
      </c>
      <c r="T18" s="96">
        <v>5.77</v>
      </c>
      <c r="U18" s="96">
        <v>5.37</v>
      </c>
      <c r="V18" s="96">
        <v>4.92</v>
      </c>
      <c r="W18" s="96">
        <v>4.42</v>
      </c>
      <c r="X18" s="92"/>
      <c r="Y18" s="87">
        <v>7.7</v>
      </c>
      <c r="Z18" s="87">
        <f t="shared" si="0"/>
        <v>6.7</v>
      </c>
      <c r="AA18" s="87">
        <v>100</v>
      </c>
      <c r="AB18" s="87">
        <v>100</v>
      </c>
      <c r="AC18" s="87">
        <v>100</v>
      </c>
      <c r="AD18" s="87">
        <v>100</v>
      </c>
      <c r="AE18" s="87">
        <v>100</v>
      </c>
      <c r="AF18" s="87">
        <v>100</v>
      </c>
      <c r="AG18" s="87">
        <v>100</v>
      </c>
      <c r="AH18" s="87">
        <v>100</v>
      </c>
      <c r="AI18" s="87">
        <v>100</v>
      </c>
      <c r="AJ18" s="87">
        <v>97</v>
      </c>
      <c r="AK18" s="87">
        <v>100</v>
      </c>
      <c r="AL18" s="87">
        <v>100</v>
      </c>
      <c r="AM18" s="87">
        <v>100</v>
      </c>
      <c r="AN18" s="87">
        <v>100</v>
      </c>
      <c r="AO18" s="87">
        <v>99</v>
      </c>
      <c r="AP18" s="87">
        <v>96</v>
      </c>
      <c r="AQ18" s="87">
        <v>93</v>
      </c>
      <c r="AR18" s="87">
        <v>89</v>
      </c>
      <c r="AS18" s="87">
        <v>86</v>
      </c>
      <c r="AT18" s="87">
        <v>97.89</v>
      </c>
    </row>
    <row r="19" spans="1:46" ht="16.5" customHeight="1" thickBot="1" x14ac:dyDescent="0.3">
      <c r="A19" s="89">
        <v>0.21</v>
      </c>
      <c r="B19" s="90">
        <v>6.8</v>
      </c>
      <c r="C19" s="90">
        <v>7.3000000000000007</v>
      </c>
      <c r="D19" s="90">
        <v>7.6999999999999993</v>
      </c>
      <c r="E19" s="90">
        <v>8</v>
      </c>
      <c r="F19" s="136">
        <v>8.1999999999999993</v>
      </c>
      <c r="G19" s="137">
        <v>8.3000000000000007</v>
      </c>
      <c r="H19" s="90">
        <v>8.15</v>
      </c>
      <c r="I19" s="90">
        <v>8</v>
      </c>
      <c r="J19" s="90">
        <v>7.85</v>
      </c>
      <c r="K19" s="90">
        <v>7.6999999999999993</v>
      </c>
      <c r="L19" s="90">
        <v>7.5500000000000007</v>
      </c>
      <c r="M19" s="91">
        <v>7.4</v>
      </c>
      <c r="N19" s="91">
        <v>7.25</v>
      </c>
      <c r="O19" s="91">
        <v>7.1</v>
      </c>
      <c r="P19" s="91">
        <v>6.95</v>
      </c>
      <c r="Q19" s="90">
        <v>6.75</v>
      </c>
      <c r="R19" s="90">
        <v>6.55</v>
      </c>
      <c r="S19" s="90">
        <v>6.25</v>
      </c>
      <c r="T19" s="90">
        <v>5.9</v>
      </c>
      <c r="U19" s="90">
        <v>5.5</v>
      </c>
      <c r="V19" s="90">
        <v>5.05</v>
      </c>
      <c r="W19" s="90">
        <v>4.55</v>
      </c>
      <c r="X19" s="92"/>
      <c r="Y19" s="87">
        <v>7.6</v>
      </c>
      <c r="Z19" s="87">
        <f t="shared" si="0"/>
        <v>6.6</v>
      </c>
      <c r="AA19" s="87">
        <v>100</v>
      </c>
      <c r="AB19" s="87">
        <v>100</v>
      </c>
      <c r="AC19" s="87">
        <v>100</v>
      </c>
      <c r="AD19" s="87">
        <v>100</v>
      </c>
      <c r="AE19" s="87">
        <v>100</v>
      </c>
      <c r="AF19" s="87">
        <v>100</v>
      </c>
      <c r="AG19" s="87">
        <v>100</v>
      </c>
      <c r="AH19" s="87">
        <v>100</v>
      </c>
      <c r="AI19" s="87">
        <v>100</v>
      </c>
      <c r="AJ19" s="87">
        <v>96</v>
      </c>
      <c r="AK19" s="87">
        <v>100</v>
      </c>
      <c r="AL19" s="87">
        <v>100</v>
      </c>
      <c r="AM19" s="87">
        <v>100</v>
      </c>
      <c r="AN19" s="87">
        <v>100</v>
      </c>
      <c r="AO19" s="87">
        <v>98</v>
      </c>
      <c r="AP19" s="87">
        <v>95</v>
      </c>
      <c r="AQ19" s="87">
        <v>91</v>
      </c>
      <c r="AR19" s="87">
        <v>88</v>
      </c>
      <c r="AS19" s="87">
        <v>85</v>
      </c>
      <c r="AT19" s="87">
        <v>97.53</v>
      </c>
    </row>
    <row r="20" spans="1:46" ht="16.5" customHeight="1" thickBot="1" x14ac:dyDescent="0.3">
      <c r="A20" s="89">
        <v>0.22</v>
      </c>
      <c r="B20" s="90">
        <v>6.91</v>
      </c>
      <c r="C20" s="90">
        <v>7.41</v>
      </c>
      <c r="D20" s="90">
        <v>7.8100000000000005</v>
      </c>
      <c r="E20" s="90">
        <v>8.11</v>
      </c>
      <c r="F20" s="136">
        <v>8.31</v>
      </c>
      <c r="G20" s="137">
        <v>8.33</v>
      </c>
      <c r="H20" s="90">
        <v>8.26</v>
      </c>
      <c r="I20" s="90">
        <v>8.11</v>
      </c>
      <c r="J20" s="90">
        <v>7.9600000000000009</v>
      </c>
      <c r="K20" s="90">
        <v>7.8100000000000005</v>
      </c>
      <c r="L20" s="90">
        <v>7.66</v>
      </c>
      <c r="M20" s="91">
        <v>7.51</v>
      </c>
      <c r="N20" s="91">
        <v>7.3599999999999994</v>
      </c>
      <c r="O20" s="91">
        <v>7.2100000000000009</v>
      </c>
      <c r="P20" s="91">
        <v>7.0600000000000005</v>
      </c>
      <c r="Q20" s="90">
        <v>6.86</v>
      </c>
      <c r="R20" s="90">
        <v>6.66</v>
      </c>
      <c r="S20" s="90">
        <v>6.36</v>
      </c>
      <c r="T20" s="90">
        <v>6.01</v>
      </c>
      <c r="U20" s="90">
        <v>5.61</v>
      </c>
      <c r="V20" s="90">
        <v>5.16</v>
      </c>
      <c r="W20" s="90">
        <v>4.66</v>
      </c>
      <c r="X20" s="92"/>
      <c r="Y20" s="87">
        <v>7.5</v>
      </c>
      <c r="Z20" s="87">
        <f t="shared" si="0"/>
        <v>6.5</v>
      </c>
      <c r="AA20" s="87">
        <v>100</v>
      </c>
      <c r="AB20" s="87">
        <v>100</v>
      </c>
      <c r="AC20" s="87">
        <v>100</v>
      </c>
      <c r="AD20" s="87">
        <v>100</v>
      </c>
      <c r="AE20" s="87">
        <v>100</v>
      </c>
      <c r="AF20" s="87">
        <v>100</v>
      </c>
      <c r="AG20" s="87">
        <v>100</v>
      </c>
      <c r="AH20" s="87">
        <v>100</v>
      </c>
      <c r="AI20" s="87">
        <v>100</v>
      </c>
      <c r="AJ20" s="87">
        <v>96</v>
      </c>
      <c r="AK20" s="87">
        <v>100</v>
      </c>
      <c r="AL20" s="87">
        <v>100</v>
      </c>
      <c r="AM20" s="87">
        <v>100</v>
      </c>
      <c r="AN20" s="87">
        <v>100</v>
      </c>
      <c r="AO20" s="87">
        <v>98</v>
      </c>
      <c r="AP20" s="87">
        <v>95</v>
      </c>
      <c r="AQ20" s="87">
        <v>91</v>
      </c>
      <c r="AR20" s="87">
        <v>88</v>
      </c>
      <c r="AS20" s="87">
        <v>84</v>
      </c>
      <c r="AT20" s="87">
        <v>97.47</v>
      </c>
    </row>
    <row r="21" spans="1:46" ht="16.5" customHeight="1" thickBot="1" x14ac:dyDescent="0.3">
      <c r="A21" s="89">
        <v>0.23</v>
      </c>
      <c r="B21" s="90">
        <v>7.01</v>
      </c>
      <c r="C21" s="90">
        <v>7.51</v>
      </c>
      <c r="D21" s="90">
        <v>7.91</v>
      </c>
      <c r="E21" s="90">
        <v>8.2100000000000009</v>
      </c>
      <c r="F21" s="136">
        <v>8.33</v>
      </c>
      <c r="G21" s="137">
        <v>8.33</v>
      </c>
      <c r="H21" s="90">
        <v>8.33</v>
      </c>
      <c r="I21" s="90">
        <v>8.2100000000000009</v>
      </c>
      <c r="J21" s="90">
        <v>8.06</v>
      </c>
      <c r="K21" s="90">
        <v>7.91</v>
      </c>
      <c r="L21" s="90">
        <v>7.76</v>
      </c>
      <c r="M21" s="91">
        <v>7.6099999999999994</v>
      </c>
      <c r="N21" s="91">
        <v>7.4600000000000009</v>
      </c>
      <c r="O21" s="91">
        <v>7.3100000000000005</v>
      </c>
      <c r="P21" s="91">
        <v>7.16</v>
      </c>
      <c r="Q21" s="90">
        <v>6.96</v>
      </c>
      <c r="R21" s="90">
        <v>6.76</v>
      </c>
      <c r="S21" s="90">
        <v>6.46</v>
      </c>
      <c r="T21" s="90">
        <v>6.11</v>
      </c>
      <c r="U21" s="90">
        <v>5.71</v>
      </c>
      <c r="V21" s="90">
        <v>5.26</v>
      </c>
      <c r="W21" s="90">
        <v>4.76</v>
      </c>
      <c r="X21" s="92"/>
      <c r="Y21" s="87">
        <v>7.4</v>
      </c>
      <c r="Z21" s="87">
        <f t="shared" si="0"/>
        <v>6.4</v>
      </c>
      <c r="AA21" s="87">
        <v>100</v>
      </c>
      <c r="AB21" s="87">
        <v>100</v>
      </c>
      <c r="AC21" s="87">
        <v>100</v>
      </c>
      <c r="AD21" s="87">
        <v>100</v>
      </c>
      <c r="AE21" s="87">
        <v>100</v>
      </c>
      <c r="AF21" s="87">
        <v>100</v>
      </c>
      <c r="AG21" s="87">
        <v>100</v>
      </c>
      <c r="AH21" s="87">
        <v>100</v>
      </c>
      <c r="AI21" s="87">
        <v>99</v>
      </c>
      <c r="AJ21" s="87">
        <v>96</v>
      </c>
      <c r="AK21" s="87">
        <v>100</v>
      </c>
      <c r="AL21" s="87">
        <v>100</v>
      </c>
      <c r="AM21" s="87">
        <v>100</v>
      </c>
      <c r="AN21" s="87">
        <v>100</v>
      </c>
      <c r="AO21" s="87">
        <v>97</v>
      </c>
      <c r="AP21" s="87">
        <v>94</v>
      </c>
      <c r="AQ21" s="87">
        <v>90</v>
      </c>
      <c r="AR21" s="87">
        <v>87</v>
      </c>
      <c r="AS21" s="87">
        <v>83</v>
      </c>
      <c r="AT21" s="87">
        <v>97.16</v>
      </c>
    </row>
    <row r="22" spans="1:46" ht="16.5" customHeight="1" thickBot="1" x14ac:dyDescent="0.3">
      <c r="A22" s="89">
        <v>0.24</v>
      </c>
      <c r="B22" s="90">
        <v>7.1099999999999994</v>
      </c>
      <c r="C22" s="90">
        <v>7.6099999999999994</v>
      </c>
      <c r="D22" s="90">
        <v>8.01</v>
      </c>
      <c r="E22" s="90">
        <v>8.31</v>
      </c>
      <c r="F22" s="136">
        <v>8.33</v>
      </c>
      <c r="G22" s="137">
        <v>8.33</v>
      </c>
      <c r="H22" s="90">
        <v>8.33</v>
      </c>
      <c r="I22" s="90">
        <v>8.31</v>
      </c>
      <c r="J22" s="90">
        <v>8.16</v>
      </c>
      <c r="K22" s="90">
        <v>8.01</v>
      </c>
      <c r="L22" s="90">
        <v>7.8599999999999994</v>
      </c>
      <c r="M22" s="91">
        <v>7.7100000000000009</v>
      </c>
      <c r="N22" s="91">
        <v>7.5600000000000005</v>
      </c>
      <c r="O22" s="91">
        <v>7.41</v>
      </c>
      <c r="P22" s="91">
        <v>7.26</v>
      </c>
      <c r="Q22" s="90">
        <v>7.0600000000000005</v>
      </c>
      <c r="R22" s="90">
        <v>6.86</v>
      </c>
      <c r="S22" s="90">
        <v>6.56</v>
      </c>
      <c r="T22" s="90">
        <v>6.21</v>
      </c>
      <c r="U22" s="90">
        <v>5.81</v>
      </c>
      <c r="V22" s="90">
        <v>5.36</v>
      </c>
      <c r="W22" s="90">
        <v>4.8600000000000003</v>
      </c>
      <c r="X22" s="92"/>
      <c r="Y22" s="87">
        <v>7.3</v>
      </c>
      <c r="Z22" s="87">
        <f t="shared" si="0"/>
        <v>6.3</v>
      </c>
      <c r="AA22" s="87">
        <v>100</v>
      </c>
      <c r="AB22" s="87">
        <v>100</v>
      </c>
      <c r="AC22" s="87">
        <v>100</v>
      </c>
      <c r="AD22" s="87">
        <v>100</v>
      </c>
      <c r="AE22" s="87">
        <v>100</v>
      </c>
      <c r="AF22" s="87">
        <v>100</v>
      </c>
      <c r="AG22" s="87">
        <v>100</v>
      </c>
      <c r="AH22" s="87">
        <v>100</v>
      </c>
      <c r="AI22" s="87">
        <v>98</v>
      </c>
      <c r="AJ22" s="87">
        <v>95</v>
      </c>
      <c r="AK22" s="87">
        <v>100</v>
      </c>
      <c r="AL22" s="87">
        <v>100</v>
      </c>
      <c r="AM22" s="87">
        <v>100</v>
      </c>
      <c r="AN22" s="87">
        <v>100</v>
      </c>
      <c r="AO22" s="87">
        <v>96</v>
      </c>
      <c r="AP22" s="87">
        <v>93</v>
      </c>
      <c r="AQ22" s="87">
        <v>89</v>
      </c>
      <c r="AR22" s="87">
        <v>86</v>
      </c>
      <c r="AS22" s="87">
        <v>82</v>
      </c>
      <c r="AT22" s="87">
        <v>96.79</v>
      </c>
    </row>
    <row r="23" spans="1:46" ht="19.5" thickBot="1" x14ac:dyDescent="0.35">
      <c r="A23" s="94">
        <v>0.25</v>
      </c>
      <c r="B23" s="96">
        <v>7.1999999999999993</v>
      </c>
      <c r="C23" s="96">
        <v>7.6999999999999993</v>
      </c>
      <c r="D23" s="96">
        <v>8.1</v>
      </c>
      <c r="E23" s="96">
        <v>8.33</v>
      </c>
      <c r="F23" s="96">
        <v>8.33</v>
      </c>
      <c r="G23" s="95">
        <v>8.33</v>
      </c>
      <c r="H23" s="96">
        <v>8.33</v>
      </c>
      <c r="I23" s="96">
        <v>8.33</v>
      </c>
      <c r="J23" s="96">
        <v>8.25</v>
      </c>
      <c r="K23" s="96">
        <v>8.1</v>
      </c>
      <c r="L23" s="96">
        <v>7.9499999999999993</v>
      </c>
      <c r="M23" s="96">
        <v>7.8000000000000007</v>
      </c>
      <c r="N23" s="96">
        <v>7.65</v>
      </c>
      <c r="O23" s="96">
        <v>7.5</v>
      </c>
      <c r="P23" s="96">
        <v>7.35</v>
      </c>
      <c r="Q23" s="96">
        <v>7.15</v>
      </c>
      <c r="R23" s="96">
        <v>6.95</v>
      </c>
      <c r="S23" s="96">
        <v>6.65</v>
      </c>
      <c r="T23" s="96">
        <v>6.3</v>
      </c>
      <c r="U23" s="96">
        <v>5.9</v>
      </c>
      <c r="V23" s="96">
        <v>5.45</v>
      </c>
      <c r="W23" s="96">
        <v>4.95</v>
      </c>
      <c r="X23" s="92"/>
      <c r="Y23" s="87">
        <v>7.2</v>
      </c>
      <c r="Z23" s="87">
        <f t="shared" si="0"/>
        <v>6.2</v>
      </c>
      <c r="AA23" s="87">
        <v>100</v>
      </c>
      <c r="AB23" s="87">
        <v>100</v>
      </c>
      <c r="AC23" s="87">
        <v>100</v>
      </c>
      <c r="AD23" s="87">
        <v>100</v>
      </c>
      <c r="AE23" s="87">
        <v>100</v>
      </c>
      <c r="AF23" s="87">
        <v>100</v>
      </c>
      <c r="AG23" s="87">
        <v>100</v>
      </c>
      <c r="AH23" s="87">
        <v>100</v>
      </c>
      <c r="AI23" s="87">
        <v>98</v>
      </c>
      <c r="AJ23" s="87">
        <v>94</v>
      </c>
      <c r="AK23" s="87">
        <v>100</v>
      </c>
      <c r="AL23" s="87">
        <v>100</v>
      </c>
      <c r="AM23" s="87">
        <v>100</v>
      </c>
      <c r="AN23" s="87">
        <v>99</v>
      </c>
      <c r="AO23" s="87">
        <v>95</v>
      </c>
      <c r="AP23" s="87">
        <v>92</v>
      </c>
      <c r="AQ23" s="87">
        <v>88</v>
      </c>
      <c r="AR23" s="87">
        <v>85</v>
      </c>
      <c r="AS23" s="87">
        <v>81</v>
      </c>
      <c r="AT23" s="87">
        <v>96.42</v>
      </c>
    </row>
    <row r="24" spans="1:46" ht="16.5" thickBot="1" x14ac:dyDescent="0.3">
      <c r="A24" s="89">
        <v>0.26</v>
      </c>
      <c r="B24" s="90">
        <v>7.2799999999999994</v>
      </c>
      <c r="C24" s="90">
        <v>7.7799999999999994</v>
      </c>
      <c r="D24" s="90">
        <v>8.18</v>
      </c>
      <c r="E24" s="90">
        <v>8.33</v>
      </c>
      <c r="F24" s="136">
        <v>8.33</v>
      </c>
      <c r="G24" s="137">
        <v>8.33</v>
      </c>
      <c r="H24" s="90">
        <v>8.33</v>
      </c>
      <c r="I24" s="90">
        <v>8.33</v>
      </c>
      <c r="J24" s="90">
        <v>8.33</v>
      </c>
      <c r="K24" s="90">
        <v>8.18</v>
      </c>
      <c r="L24" s="90">
        <v>8.0299999999999994</v>
      </c>
      <c r="M24" s="91">
        <v>7.8800000000000008</v>
      </c>
      <c r="N24" s="91">
        <v>7.73</v>
      </c>
      <c r="O24" s="91">
        <v>7.58</v>
      </c>
      <c r="P24" s="91">
        <v>7.43</v>
      </c>
      <c r="Q24" s="90">
        <v>7.23</v>
      </c>
      <c r="R24" s="90">
        <v>7.0299999999999994</v>
      </c>
      <c r="S24" s="90">
        <v>6.73</v>
      </c>
      <c r="T24" s="90">
        <v>6.38</v>
      </c>
      <c r="U24" s="90">
        <v>5.98</v>
      </c>
      <c r="V24" s="90">
        <v>5.53</v>
      </c>
      <c r="W24" s="90">
        <v>5.03</v>
      </c>
      <c r="X24" s="92"/>
      <c r="Y24" s="87">
        <v>7.1</v>
      </c>
      <c r="Z24" s="87">
        <f t="shared" si="0"/>
        <v>6.1</v>
      </c>
      <c r="AA24" s="87">
        <v>100</v>
      </c>
      <c r="AB24" s="87">
        <v>100</v>
      </c>
      <c r="AC24" s="87">
        <v>100</v>
      </c>
      <c r="AD24" s="87">
        <v>100</v>
      </c>
      <c r="AE24" s="87">
        <v>100</v>
      </c>
      <c r="AF24" s="87">
        <v>100</v>
      </c>
      <c r="AG24" s="87">
        <v>100</v>
      </c>
      <c r="AH24" s="87">
        <v>100</v>
      </c>
      <c r="AI24" s="87">
        <v>97</v>
      </c>
      <c r="AJ24" s="87">
        <v>94</v>
      </c>
      <c r="AK24" s="87">
        <v>100</v>
      </c>
      <c r="AL24" s="87">
        <v>100</v>
      </c>
      <c r="AM24" s="87">
        <v>100</v>
      </c>
      <c r="AN24" s="87">
        <v>98</v>
      </c>
      <c r="AO24" s="87">
        <v>95</v>
      </c>
      <c r="AP24" s="87">
        <v>91</v>
      </c>
      <c r="AQ24" s="87">
        <v>87</v>
      </c>
      <c r="AR24" s="87">
        <v>84</v>
      </c>
      <c r="AS24" s="87">
        <v>80</v>
      </c>
      <c r="AT24" s="87">
        <v>96.11</v>
      </c>
    </row>
    <row r="25" spans="1:46" ht="16.5" customHeight="1" thickBot="1" x14ac:dyDescent="0.3">
      <c r="A25" s="89">
        <v>0.27</v>
      </c>
      <c r="B25" s="90">
        <v>7.3599999999999994</v>
      </c>
      <c r="C25" s="90">
        <v>7.8599999999999994</v>
      </c>
      <c r="D25" s="90">
        <v>8.26</v>
      </c>
      <c r="E25" s="90">
        <v>8.33</v>
      </c>
      <c r="F25" s="136">
        <v>8.33</v>
      </c>
      <c r="G25" s="137">
        <v>8.33</v>
      </c>
      <c r="H25" s="90">
        <v>8.33</v>
      </c>
      <c r="I25" s="90">
        <v>8.33</v>
      </c>
      <c r="J25" s="90">
        <v>8.33</v>
      </c>
      <c r="K25" s="90">
        <v>8.26</v>
      </c>
      <c r="L25" s="90">
        <v>8.11</v>
      </c>
      <c r="M25" s="91">
        <v>7.9600000000000009</v>
      </c>
      <c r="N25" s="91">
        <v>7.8100000000000005</v>
      </c>
      <c r="O25" s="91">
        <v>7.66</v>
      </c>
      <c r="P25" s="91">
        <v>7.51</v>
      </c>
      <c r="Q25" s="90">
        <v>7.3100000000000005</v>
      </c>
      <c r="R25" s="90">
        <v>7.1099999999999994</v>
      </c>
      <c r="S25" s="90">
        <v>6.81</v>
      </c>
      <c r="T25" s="90">
        <v>6.46</v>
      </c>
      <c r="U25" s="90">
        <v>6.06</v>
      </c>
      <c r="V25" s="90">
        <v>5.61</v>
      </c>
      <c r="W25" s="90">
        <v>5.1100000000000003</v>
      </c>
      <c r="X25" s="92"/>
      <c r="Y25" s="87">
        <v>7</v>
      </c>
      <c r="Z25" s="87">
        <f t="shared" si="0"/>
        <v>6</v>
      </c>
      <c r="AA25" s="87">
        <v>100</v>
      </c>
      <c r="AB25" s="87">
        <v>100</v>
      </c>
      <c r="AC25" s="87">
        <v>100</v>
      </c>
      <c r="AD25" s="87">
        <v>100</v>
      </c>
      <c r="AE25" s="87">
        <v>100</v>
      </c>
      <c r="AF25" s="87">
        <v>100</v>
      </c>
      <c r="AG25" s="87">
        <v>100</v>
      </c>
      <c r="AH25" s="87">
        <v>100</v>
      </c>
      <c r="AI25" s="87">
        <v>96</v>
      </c>
      <c r="AJ25" s="87">
        <v>93</v>
      </c>
      <c r="AK25" s="87">
        <v>100</v>
      </c>
      <c r="AL25" s="87">
        <v>100</v>
      </c>
      <c r="AM25" s="87">
        <v>100</v>
      </c>
      <c r="AN25" s="87">
        <v>97</v>
      </c>
      <c r="AO25" s="87">
        <v>94</v>
      </c>
      <c r="AP25" s="87">
        <v>90</v>
      </c>
      <c r="AQ25" s="87">
        <v>86</v>
      </c>
      <c r="AR25" s="87">
        <v>82</v>
      </c>
      <c r="AS25" s="87">
        <v>79</v>
      </c>
      <c r="AT25" s="87">
        <v>95.79</v>
      </c>
    </row>
    <row r="26" spans="1:46" ht="16.5" customHeight="1" thickBot="1" x14ac:dyDescent="0.3">
      <c r="A26" s="89">
        <v>0.28000000000000003</v>
      </c>
      <c r="B26" s="90">
        <v>7.43</v>
      </c>
      <c r="C26" s="90">
        <v>7.93</v>
      </c>
      <c r="D26" s="90">
        <v>8.33</v>
      </c>
      <c r="E26" s="90">
        <v>8.33</v>
      </c>
      <c r="F26" s="136">
        <v>8.33</v>
      </c>
      <c r="G26" s="137">
        <v>8.33</v>
      </c>
      <c r="H26" s="90">
        <v>8.33</v>
      </c>
      <c r="I26" s="90">
        <v>8.33</v>
      </c>
      <c r="J26" s="90">
        <v>8.33</v>
      </c>
      <c r="K26" s="90">
        <v>8.33</v>
      </c>
      <c r="L26" s="90">
        <v>8.18</v>
      </c>
      <c r="M26" s="91">
        <v>8.0299999999999994</v>
      </c>
      <c r="N26" s="91">
        <v>7.8800000000000008</v>
      </c>
      <c r="O26" s="91">
        <v>7.73</v>
      </c>
      <c r="P26" s="91">
        <v>7.58</v>
      </c>
      <c r="Q26" s="90">
        <v>7.3800000000000008</v>
      </c>
      <c r="R26" s="90">
        <v>7.18</v>
      </c>
      <c r="S26" s="90">
        <v>6.88</v>
      </c>
      <c r="T26" s="90">
        <v>6.53</v>
      </c>
      <c r="U26" s="90">
        <v>6.13</v>
      </c>
      <c r="V26" s="90">
        <v>5.68</v>
      </c>
      <c r="W26" s="90">
        <v>5.18</v>
      </c>
      <c r="X26" s="92"/>
      <c r="Y26" s="87">
        <v>6.9</v>
      </c>
      <c r="Z26" s="87">
        <f t="shared" si="0"/>
        <v>5.9</v>
      </c>
      <c r="AA26" s="87">
        <v>100</v>
      </c>
      <c r="AB26" s="87">
        <v>100</v>
      </c>
      <c r="AC26" s="87">
        <v>100</v>
      </c>
      <c r="AD26" s="87">
        <v>100</v>
      </c>
      <c r="AE26" s="87">
        <v>100</v>
      </c>
      <c r="AF26" s="87">
        <v>100</v>
      </c>
      <c r="AG26" s="87">
        <v>100</v>
      </c>
      <c r="AH26" s="87">
        <v>100</v>
      </c>
      <c r="AI26" s="87">
        <v>96</v>
      </c>
      <c r="AJ26" s="87">
        <v>92</v>
      </c>
      <c r="AK26" s="87">
        <v>100</v>
      </c>
      <c r="AL26" s="87">
        <v>100</v>
      </c>
      <c r="AM26" s="87">
        <v>100</v>
      </c>
      <c r="AN26" s="87">
        <v>96</v>
      </c>
      <c r="AO26" s="87">
        <v>93</v>
      </c>
      <c r="AP26" s="87">
        <v>89</v>
      </c>
      <c r="AQ26" s="87">
        <v>85</v>
      </c>
      <c r="AR26" s="87">
        <v>82</v>
      </c>
      <c r="AS26" s="87">
        <v>78</v>
      </c>
      <c r="AT26" s="87">
        <v>95.32</v>
      </c>
    </row>
    <row r="27" spans="1:46" ht="16.5" thickBot="1" x14ac:dyDescent="0.3">
      <c r="A27" s="89">
        <v>0.28999999999999998</v>
      </c>
      <c r="B27" s="90">
        <v>7.5</v>
      </c>
      <c r="C27" s="90">
        <v>8</v>
      </c>
      <c r="D27" s="90">
        <v>8.33</v>
      </c>
      <c r="E27" s="90">
        <v>8.33</v>
      </c>
      <c r="F27" s="136">
        <v>8.33</v>
      </c>
      <c r="G27" s="137">
        <v>8.33</v>
      </c>
      <c r="H27" s="90">
        <v>8.33</v>
      </c>
      <c r="I27" s="90">
        <v>8.33</v>
      </c>
      <c r="J27" s="90">
        <v>8.33</v>
      </c>
      <c r="K27" s="90">
        <v>8.33</v>
      </c>
      <c r="L27" s="90">
        <v>8.25</v>
      </c>
      <c r="M27" s="91">
        <v>8.1</v>
      </c>
      <c r="N27" s="91">
        <v>7.9499999999999993</v>
      </c>
      <c r="O27" s="91">
        <v>7.8000000000000007</v>
      </c>
      <c r="P27" s="91">
        <v>7.65</v>
      </c>
      <c r="Q27" s="90">
        <v>7.4499999999999993</v>
      </c>
      <c r="R27" s="90">
        <v>7.25</v>
      </c>
      <c r="S27" s="90">
        <v>6.95</v>
      </c>
      <c r="T27" s="90">
        <v>6.6</v>
      </c>
      <c r="U27" s="90">
        <v>6.2</v>
      </c>
      <c r="V27" s="90">
        <v>5.75</v>
      </c>
      <c r="W27" s="90">
        <v>5.25</v>
      </c>
      <c r="X27" s="92"/>
      <c r="Y27" s="87">
        <v>6.8</v>
      </c>
      <c r="Z27" s="87">
        <f t="shared" si="0"/>
        <v>5.8</v>
      </c>
      <c r="AA27" s="87">
        <v>100</v>
      </c>
      <c r="AB27" s="87">
        <v>100</v>
      </c>
      <c r="AC27" s="87">
        <v>100</v>
      </c>
      <c r="AD27" s="87">
        <v>100</v>
      </c>
      <c r="AE27" s="87">
        <v>100</v>
      </c>
      <c r="AF27" s="87">
        <v>100</v>
      </c>
      <c r="AG27" s="87">
        <v>100</v>
      </c>
      <c r="AH27" s="87">
        <v>99</v>
      </c>
      <c r="AI27" s="87">
        <v>95</v>
      </c>
      <c r="AJ27" s="87">
        <v>91</v>
      </c>
      <c r="AK27" s="87">
        <v>100</v>
      </c>
      <c r="AL27" s="87">
        <v>100</v>
      </c>
      <c r="AM27" s="87">
        <v>99</v>
      </c>
      <c r="AN27" s="87">
        <v>95</v>
      </c>
      <c r="AO27" s="87">
        <v>91</v>
      </c>
      <c r="AP27" s="87">
        <v>88</v>
      </c>
      <c r="AQ27" s="87">
        <v>84</v>
      </c>
      <c r="AR27" s="87">
        <v>80</v>
      </c>
      <c r="AS27" s="87">
        <v>77</v>
      </c>
      <c r="AT27" s="87">
        <v>94.68</v>
      </c>
    </row>
    <row r="28" spans="1:46" ht="16.5" customHeight="1" thickBot="1" x14ac:dyDescent="0.3">
      <c r="A28" s="89">
        <v>0.3</v>
      </c>
      <c r="B28" s="90">
        <v>7.5600000000000005</v>
      </c>
      <c r="C28" s="90">
        <v>8.06</v>
      </c>
      <c r="D28" s="90">
        <v>8.33</v>
      </c>
      <c r="E28" s="90">
        <v>8.33</v>
      </c>
      <c r="F28" s="136">
        <v>8.33</v>
      </c>
      <c r="G28" s="137">
        <v>8.33</v>
      </c>
      <c r="H28" s="90">
        <v>8.33</v>
      </c>
      <c r="I28" s="90">
        <v>8.33</v>
      </c>
      <c r="J28" s="90">
        <v>8.33</v>
      </c>
      <c r="K28" s="90">
        <v>8.33</v>
      </c>
      <c r="L28" s="90">
        <v>8.31</v>
      </c>
      <c r="M28" s="91">
        <v>8.16</v>
      </c>
      <c r="N28" s="91">
        <v>8.01</v>
      </c>
      <c r="O28" s="91">
        <v>7.8599999999999994</v>
      </c>
      <c r="P28" s="91">
        <v>7.7100000000000009</v>
      </c>
      <c r="Q28" s="90">
        <v>7.51</v>
      </c>
      <c r="R28" s="90">
        <v>7.3100000000000005</v>
      </c>
      <c r="S28" s="90">
        <v>7.01</v>
      </c>
      <c r="T28" s="90">
        <v>6.66</v>
      </c>
      <c r="U28" s="90">
        <v>6.26</v>
      </c>
      <c r="V28" s="90">
        <v>5.81</v>
      </c>
      <c r="W28" s="90">
        <v>5.31</v>
      </c>
      <c r="X28" s="92"/>
      <c r="Y28" s="87">
        <v>6.7</v>
      </c>
      <c r="Z28" s="87">
        <f t="shared" si="0"/>
        <v>5.7</v>
      </c>
      <c r="AA28" s="87">
        <v>100</v>
      </c>
      <c r="AB28" s="87">
        <v>100</v>
      </c>
      <c r="AC28" s="87">
        <v>100</v>
      </c>
      <c r="AD28" s="87">
        <v>100</v>
      </c>
      <c r="AE28" s="87">
        <v>100</v>
      </c>
      <c r="AF28" s="87">
        <v>100</v>
      </c>
      <c r="AG28" s="87">
        <v>100</v>
      </c>
      <c r="AH28" s="87">
        <v>99</v>
      </c>
      <c r="AI28" s="87">
        <v>95</v>
      </c>
      <c r="AJ28" s="87">
        <v>91</v>
      </c>
      <c r="AK28" s="87">
        <v>100</v>
      </c>
      <c r="AL28" s="87">
        <v>100</v>
      </c>
      <c r="AM28" s="87">
        <v>99</v>
      </c>
      <c r="AN28" s="87">
        <v>95</v>
      </c>
      <c r="AO28" s="87">
        <v>91</v>
      </c>
      <c r="AP28" s="87">
        <v>87</v>
      </c>
      <c r="AQ28" s="87">
        <v>84</v>
      </c>
      <c r="AR28" s="87">
        <v>80</v>
      </c>
      <c r="AS28" s="87">
        <v>76</v>
      </c>
      <c r="AT28" s="87">
        <v>94.58</v>
      </c>
    </row>
    <row r="29" spans="1:46" ht="16.5" customHeight="1" thickBot="1" x14ac:dyDescent="0.3">
      <c r="A29" s="89">
        <v>0.31</v>
      </c>
      <c r="B29" s="90">
        <v>7.6199999999999992</v>
      </c>
      <c r="C29" s="90">
        <v>8.1199999999999992</v>
      </c>
      <c r="D29" s="90">
        <v>8.33</v>
      </c>
      <c r="E29" s="90">
        <v>8.33</v>
      </c>
      <c r="F29" s="136">
        <v>8.33</v>
      </c>
      <c r="G29" s="137">
        <v>8.33</v>
      </c>
      <c r="H29" s="90">
        <v>8.33</v>
      </c>
      <c r="I29" s="90">
        <v>8.33</v>
      </c>
      <c r="J29" s="90">
        <v>8.33</v>
      </c>
      <c r="K29" s="90">
        <v>8.33</v>
      </c>
      <c r="L29" s="90">
        <v>8.33</v>
      </c>
      <c r="M29" s="91">
        <v>8.2200000000000006</v>
      </c>
      <c r="N29" s="91">
        <v>8.07</v>
      </c>
      <c r="O29" s="91">
        <v>7.92</v>
      </c>
      <c r="P29" s="91">
        <v>7.77</v>
      </c>
      <c r="Q29" s="90">
        <v>7.57</v>
      </c>
      <c r="R29" s="90">
        <v>7.3699999999999992</v>
      </c>
      <c r="S29" s="90">
        <v>7.07</v>
      </c>
      <c r="T29" s="90">
        <v>6.72</v>
      </c>
      <c r="U29" s="90">
        <v>6.32</v>
      </c>
      <c r="V29" s="90">
        <v>5.87</v>
      </c>
      <c r="W29" s="90">
        <v>5.37</v>
      </c>
      <c r="X29" s="92"/>
      <c r="Y29" s="87">
        <v>6.6</v>
      </c>
      <c r="Z29" s="87">
        <f t="shared" si="0"/>
        <v>5.6</v>
      </c>
      <c r="AA29" s="87">
        <v>100</v>
      </c>
      <c r="AB29" s="87">
        <v>100</v>
      </c>
      <c r="AC29" s="87">
        <v>100</v>
      </c>
      <c r="AD29" s="87">
        <v>100</v>
      </c>
      <c r="AE29" s="87">
        <v>100</v>
      </c>
      <c r="AF29" s="87">
        <v>100</v>
      </c>
      <c r="AG29" s="87">
        <v>100</v>
      </c>
      <c r="AH29" s="87">
        <v>98</v>
      </c>
      <c r="AI29" s="87">
        <v>94</v>
      </c>
      <c r="AJ29" s="87">
        <v>90</v>
      </c>
      <c r="AK29" s="87">
        <v>100</v>
      </c>
      <c r="AL29" s="87">
        <v>100</v>
      </c>
      <c r="AM29" s="87">
        <v>97</v>
      </c>
      <c r="AN29" s="87">
        <v>94</v>
      </c>
      <c r="AO29" s="87">
        <v>90</v>
      </c>
      <c r="AP29" s="87">
        <v>86</v>
      </c>
      <c r="AQ29" s="87">
        <v>82</v>
      </c>
      <c r="AR29" s="87">
        <v>78</v>
      </c>
      <c r="AS29" s="87">
        <v>75</v>
      </c>
      <c r="AT29" s="87">
        <v>93.89</v>
      </c>
    </row>
    <row r="30" spans="1:46" ht="16.5" customHeight="1" thickBot="1" x14ac:dyDescent="0.3">
      <c r="A30" s="89">
        <v>0.32</v>
      </c>
      <c r="B30" s="90">
        <v>7.67</v>
      </c>
      <c r="C30" s="90">
        <v>8.17</v>
      </c>
      <c r="D30" s="90">
        <v>8.33</v>
      </c>
      <c r="E30" s="90">
        <v>8.33</v>
      </c>
      <c r="F30" s="136">
        <v>8.33</v>
      </c>
      <c r="G30" s="137">
        <v>8.33</v>
      </c>
      <c r="H30" s="90">
        <v>8.33</v>
      </c>
      <c r="I30" s="90">
        <v>8.33</v>
      </c>
      <c r="J30" s="90">
        <v>8.33</v>
      </c>
      <c r="K30" s="90">
        <v>8.33</v>
      </c>
      <c r="L30" s="90">
        <v>8.33</v>
      </c>
      <c r="M30" s="91">
        <v>8.27</v>
      </c>
      <c r="N30" s="91">
        <v>8.1199999999999992</v>
      </c>
      <c r="O30" s="91">
        <v>7.9700000000000006</v>
      </c>
      <c r="P30" s="91">
        <v>7.82</v>
      </c>
      <c r="Q30" s="90">
        <v>7.6199999999999992</v>
      </c>
      <c r="R30" s="90">
        <v>7.42</v>
      </c>
      <c r="S30" s="90">
        <v>7.1199999999999992</v>
      </c>
      <c r="T30" s="90">
        <v>6.77</v>
      </c>
      <c r="U30" s="90">
        <v>6.37</v>
      </c>
      <c r="V30" s="90">
        <v>5.92</v>
      </c>
      <c r="W30" s="90">
        <v>5.42</v>
      </c>
      <c r="X30" s="92"/>
      <c r="Y30" s="87">
        <v>6.5</v>
      </c>
      <c r="Z30" s="87">
        <f t="shared" si="0"/>
        <v>5.5</v>
      </c>
      <c r="AA30" s="87">
        <v>100</v>
      </c>
      <c r="AB30" s="87">
        <v>100</v>
      </c>
      <c r="AC30" s="87">
        <v>100</v>
      </c>
      <c r="AD30" s="87">
        <v>100</v>
      </c>
      <c r="AE30" s="87">
        <v>100</v>
      </c>
      <c r="AF30" s="87">
        <v>100</v>
      </c>
      <c r="AG30" s="87">
        <v>100</v>
      </c>
      <c r="AH30" s="87">
        <v>97</v>
      </c>
      <c r="AI30" s="87">
        <v>93</v>
      </c>
      <c r="AJ30" s="87">
        <v>90</v>
      </c>
      <c r="AK30" s="87">
        <v>100</v>
      </c>
      <c r="AL30" s="87">
        <v>100</v>
      </c>
      <c r="AM30" s="87">
        <v>97</v>
      </c>
      <c r="AN30" s="87">
        <v>93</v>
      </c>
      <c r="AO30" s="87">
        <v>89</v>
      </c>
      <c r="AP30" s="87">
        <v>85</v>
      </c>
      <c r="AQ30" s="87">
        <v>82</v>
      </c>
      <c r="AR30" s="87">
        <v>78</v>
      </c>
      <c r="AS30" s="87">
        <v>74</v>
      </c>
      <c r="AT30" s="87">
        <v>93.58</v>
      </c>
    </row>
    <row r="31" spans="1:46" ht="16.5" customHeight="1" thickBot="1" x14ac:dyDescent="0.3">
      <c r="A31" s="89">
        <v>0.33</v>
      </c>
      <c r="B31" s="90">
        <v>7.7200000000000006</v>
      </c>
      <c r="C31" s="90">
        <v>8.2200000000000006</v>
      </c>
      <c r="D31" s="90">
        <v>8.33</v>
      </c>
      <c r="E31" s="90">
        <v>8.33</v>
      </c>
      <c r="F31" s="136">
        <v>8.33</v>
      </c>
      <c r="G31" s="137">
        <v>8.33</v>
      </c>
      <c r="H31" s="90">
        <v>8.33</v>
      </c>
      <c r="I31" s="90">
        <v>8.33</v>
      </c>
      <c r="J31" s="90">
        <v>8.33</v>
      </c>
      <c r="K31" s="90">
        <v>8.33</v>
      </c>
      <c r="L31" s="90">
        <v>8.33</v>
      </c>
      <c r="M31" s="91">
        <v>8.32</v>
      </c>
      <c r="N31" s="91">
        <v>8.17</v>
      </c>
      <c r="O31" s="91">
        <v>8.02</v>
      </c>
      <c r="P31" s="91">
        <v>7.8699999999999992</v>
      </c>
      <c r="Q31" s="90">
        <v>7.67</v>
      </c>
      <c r="R31" s="90">
        <v>7.4700000000000006</v>
      </c>
      <c r="S31" s="90">
        <v>7.17</v>
      </c>
      <c r="T31" s="90">
        <v>6.82</v>
      </c>
      <c r="U31" s="90">
        <v>6.42</v>
      </c>
      <c r="V31" s="90">
        <v>5.97</v>
      </c>
      <c r="W31" s="90">
        <v>5.47</v>
      </c>
      <c r="X31" s="92"/>
      <c r="Y31" s="87">
        <v>6.4</v>
      </c>
      <c r="Z31" s="87">
        <f t="shared" si="0"/>
        <v>5.4</v>
      </c>
      <c r="AA31" s="87">
        <v>100</v>
      </c>
      <c r="AB31" s="87">
        <v>100</v>
      </c>
      <c r="AC31" s="87">
        <v>100</v>
      </c>
      <c r="AD31" s="87">
        <v>100</v>
      </c>
      <c r="AE31" s="87">
        <v>100</v>
      </c>
      <c r="AF31" s="87">
        <v>100</v>
      </c>
      <c r="AG31" s="87">
        <v>100</v>
      </c>
      <c r="AH31" s="87">
        <v>97</v>
      </c>
      <c r="AI31" s="87">
        <v>93</v>
      </c>
      <c r="AJ31" s="87">
        <v>89</v>
      </c>
      <c r="AK31" s="87">
        <v>100</v>
      </c>
      <c r="AL31" s="87">
        <v>100</v>
      </c>
      <c r="AM31" s="87">
        <v>96</v>
      </c>
      <c r="AN31" s="87">
        <v>93</v>
      </c>
      <c r="AO31" s="87">
        <v>89</v>
      </c>
      <c r="AP31" s="87">
        <v>85</v>
      </c>
      <c r="AQ31" s="87">
        <v>81</v>
      </c>
      <c r="AR31" s="87">
        <v>77</v>
      </c>
      <c r="AS31" s="87">
        <v>73</v>
      </c>
      <c r="AT31" s="87">
        <v>93.32</v>
      </c>
    </row>
    <row r="32" spans="1:46" ht="16.5" customHeight="1" thickBot="1" x14ac:dyDescent="0.3">
      <c r="A32" s="89">
        <v>0.34</v>
      </c>
      <c r="B32" s="90">
        <v>7.77</v>
      </c>
      <c r="C32" s="90">
        <v>8.27</v>
      </c>
      <c r="D32" s="90">
        <v>8.33</v>
      </c>
      <c r="E32" s="90">
        <v>8.33</v>
      </c>
      <c r="F32" s="136">
        <v>8.33</v>
      </c>
      <c r="G32" s="137">
        <v>8.33</v>
      </c>
      <c r="H32" s="90">
        <v>8.33</v>
      </c>
      <c r="I32" s="90">
        <v>8.33</v>
      </c>
      <c r="J32" s="90">
        <v>8.33</v>
      </c>
      <c r="K32" s="90">
        <v>8.33</v>
      </c>
      <c r="L32" s="90">
        <v>8.33</v>
      </c>
      <c r="M32" s="91">
        <v>8.33</v>
      </c>
      <c r="N32" s="91">
        <v>8.2200000000000006</v>
      </c>
      <c r="O32" s="91">
        <v>8.07</v>
      </c>
      <c r="P32" s="91">
        <v>7.92</v>
      </c>
      <c r="Q32" s="90">
        <v>7.7200000000000006</v>
      </c>
      <c r="R32" s="90">
        <v>7.52</v>
      </c>
      <c r="S32" s="90">
        <v>7.2200000000000006</v>
      </c>
      <c r="T32" s="90">
        <v>6.87</v>
      </c>
      <c r="U32" s="90">
        <v>6.47</v>
      </c>
      <c r="V32" s="90">
        <v>6.02</v>
      </c>
      <c r="W32" s="90">
        <v>5.52</v>
      </c>
      <c r="X32" s="92"/>
      <c r="Y32" s="87">
        <v>6.3</v>
      </c>
      <c r="Z32" s="87">
        <f t="shared" si="0"/>
        <v>5.3</v>
      </c>
      <c r="AA32" s="87">
        <v>100</v>
      </c>
      <c r="AB32" s="87">
        <v>100</v>
      </c>
      <c r="AC32" s="87">
        <v>100</v>
      </c>
      <c r="AD32" s="87">
        <v>100</v>
      </c>
      <c r="AE32" s="87">
        <v>100</v>
      </c>
      <c r="AF32" s="87">
        <v>100</v>
      </c>
      <c r="AG32" s="87">
        <v>100</v>
      </c>
      <c r="AH32" s="87">
        <v>96</v>
      </c>
      <c r="AI32" s="87">
        <v>92</v>
      </c>
      <c r="AJ32" s="87">
        <v>88</v>
      </c>
      <c r="AK32" s="87">
        <v>100</v>
      </c>
      <c r="AL32" s="87">
        <v>99</v>
      </c>
      <c r="AM32" s="87">
        <v>95</v>
      </c>
      <c r="AN32" s="87">
        <v>91</v>
      </c>
      <c r="AO32" s="87">
        <v>88</v>
      </c>
      <c r="AP32" s="87">
        <v>84</v>
      </c>
      <c r="AQ32" s="87">
        <v>80</v>
      </c>
      <c r="AR32" s="87">
        <v>76</v>
      </c>
      <c r="AS32" s="87">
        <v>72</v>
      </c>
      <c r="AT32" s="87">
        <v>92.68</v>
      </c>
    </row>
    <row r="33" spans="1:46" ht="16.5" customHeight="1" thickBot="1" x14ac:dyDescent="0.3">
      <c r="A33" s="89">
        <v>0.35</v>
      </c>
      <c r="B33" s="90">
        <v>7.8100000000000005</v>
      </c>
      <c r="C33" s="90">
        <v>8.31</v>
      </c>
      <c r="D33" s="90">
        <v>8.33</v>
      </c>
      <c r="E33" s="90">
        <v>8.33</v>
      </c>
      <c r="F33" s="136">
        <v>8.33</v>
      </c>
      <c r="G33" s="137">
        <v>8.33</v>
      </c>
      <c r="H33" s="90">
        <v>8.33</v>
      </c>
      <c r="I33" s="90">
        <v>8.33</v>
      </c>
      <c r="J33" s="90">
        <v>8.33</v>
      </c>
      <c r="K33" s="90">
        <v>8.33</v>
      </c>
      <c r="L33" s="90">
        <v>8.33</v>
      </c>
      <c r="M33" s="91">
        <v>8.33</v>
      </c>
      <c r="N33" s="91">
        <v>8.26</v>
      </c>
      <c r="O33" s="91">
        <v>8.11</v>
      </c>
      <c r="P33" s="91">
        <v>7.9600000000000009</v>
      </c>
      <c r="Q33" s="90">
        <v>7.76</v>
      </c>
      <c r="R33" s="90">
        <v>7.5600000000000005</v>
      </c>
      <c r="S33" s="90">
        <v>7.26</v>
      </c>
      <c r="T33" s="90">
        <v>6.91</v>
      </c>
      <c r="U33" s="90">
        <v>6.51</v>
      </c>
      <c r="V33" s="90">
        <v>6.06</v>
      </c>
      <c r="W33" s="90">
        <v>5.56</v>
      </c>
      <c r="X33" s="92"/>
      <c r="Y33" s="87">
        <v>6.2</v>
      </c>
      <c r="Z33" s="87">
        <f t="shared" si="0"/>
        <v>5.2</v>
      </c>
      <c r="AA33" s="87">
        <v>100</v>
      </c>
      <c r="AB33" s="87">
        <v>100</v>
      </c>
      <c r="AC33" s="87">
        <v>100</v>
      </c>
      <c r="AD33" s="87">
        <v>100</v>
      </c>
      <c r="AE33" s="87">
        <v>100</v>
      </c>
      <c r="AF33" s="87">
        <v>100</v>
      </c>
      <c r="AG33" s="87">
        <v>99</v>
      </c>
      <c r="AH33" s="87">
        <v>95</v>
      </c>
      <c r="AI33" s="87">
        <v>91</v>
      </c>
      <c r="AJ33" s="87">
        <v>87</v>
      </c>
      <c r="AK33" s="87">
        <v>100</v>
      </c>
      <c r="AL33" s="87">
        <v>98</v>
      </c>
      <c r="AM33" s="87">
        <v>94</v>
      </c>
      <c r="AN33" s="87">
        <v>90</v>
      </c>
      <c r="AO33" s="87">
        <v>86</v>
      </c>
      <c r="AP33" s="87">
        <v>82</v>
      </c>
      <c r="AQ33" s="87">
        <v>78</v>
      </c>
      <c r="AR33" s="87">
        <v>75</v>
      </c>
      <c r="AS33" s="87">
        <v>71</v>
      </c>
      <c r="AT33" s="87">
        <v>91.89</v>
      </c>
    </row>
    <row r="34" spans="1:46" ht="16.5" customHeight="1" thickBot="1" x14ac:dyDescent="0.3">
      <c r="A34" s="89">
        <v>0.36</v>
      </c>
      <c r="B34" s="90">
        <v>7.85</v>
      </c>
      <c r="C34" s="90">
        <v>8.33</v>
      </c>
      <c r="D34" s="90">
        <v>8.33</v>
      </c>
      <c r="E34" s="90">
        <v>8.33</v>
      </c>
      <c r="F34" s="136">
        <v>8.33</v>
      </c>
      <c r="G34" s="137">
        <v>8.33</v>
      </c>
      <c r="H34" s="90">
        <v>8.33</v>
      </c>
      <c r="I34" s="90">
        <v>8.33</v>
      </c>
      <c r="J34" s="90">
        <v>8.33</v>
      </c>
      <c r="K34" s="90">
        <v>8.33</v>
      </c>
      <c r="L34" s="90">
        <v>8.33</v>
      </c>
      <c r="M34" s="91">
        <v>8.33</v>
      </c>
      <c r="N34" s="91">
        <v>8.3000000000000007</v>
      </c>
      <c r="O34" s="91">
        <v>8.15</v>
      </c>
      <c r="P34" s="91">
        <v>8</v>
      </c>
      <c r="Q34" s="90">
        <v>7.8000000000000007</v>
      </c>
      <c r="R34" s="90">
        <v>7.6</v>
      </c>
      <c r="S34" s="90">
        <v>7.3000000000000007</v>
      </c>
      <c r="T34" s="90">
        <v>6.95</v>
      </c>
      <c r="U34" s="90">
        <v>6.55</v>
      </c>
      <c r="V34" s="90">
        <v>6.1</v>
      </c>
      <c r="W34" s="90">
        <v>5.6</v>
      </c>
      <c r="X34" s="92"/>
      <c r="Y34" s="87">
        <v>6.1</v>
      </c>
      <c r="Z34" s="87">
        <f t="shared" si="0"/>
        <v>5.0999999999999996</v>
      </c>
      <c r="AA34" s="87">
        <v>100</v>
      </c>
      <c r="AB34" s="87">
        <v>100</v>
      </c>
      <c r="AC34" s="87">
        <v>100</v>
      </c>
      <c r="AD34" s="87">
        <v>100</v>
      </c>
      <c r="AE34" s="87">
        <v>100</v>
      </c>
      <c r="AF34" s="87">
        <v>100</v>
      </c>
      <c r="AG34" s="87">
        <v>99</v>
      </c>
      <c r="AH34" s="87">
        <v>95</v>
      </c>
      <c r="AI34" s="87">
        <v>91</v>
      </c>
      <c r="AJ34" s="87">
        <v>86</v>
      </c>
      <c r="AK34" s="87">
        <v>100</v>
      </c>
      <c r="AL34" s="87">
        <v>98</v>
      </c>
      <c r="AM34" s="87">
        <v>93</v>
      </c>
      <c r="AN34" s="87">
        <v>89</v>
      </c>
      <c r="AO34" s="87">
        <v>86</v>
      </c>
      <c r="AP34" s="87">
        <v>81</v>
      </c>
      <c r="AQ34" s="87">
        <v>78</v>
      </c>
      <c r="AR34" s="87">
        <v>74</v>
      </c>
      <c r="AS34" s="87">
        <v>70</v>
      </c>
      <c r="AT34" s="87">
        <v>91.58</v>
      </c>
    </row>
    <row r="35" spans="1:46" ht="16.5" customHeight="1" thickBot="1" x14ac:dyDescent="0.3">
      <c r="A35" s="89">
        <v>0.37</v>
      </c>
      <c r="B35" s="90">
        <v>7.8800000000000008</v>
      </c>
      <c r="C35" s="90">
        <v>8.33</v>
      </c>
      <c r="D35" s="90">
        <v>8.33</v>
      </c>
      <c r="E35" s="90">
        <v>8.33</v>
      </c>
      <c r="F35" s="136">
        <v>8.33</v>
      </c>
      <c r="G35" s="137">
        <v>8.33</v>
      </c>
      <c r="H35" s="90">
        <v>8.33</v>
      </c>
      <c r="I35" s="90">
        <v>8.33</v>
      </c>
      <c r="J35" s="90">
        <v>8.33</v>
      </c>
      <c r="K35" s="90">
        <v>8.33</v>
      </c>
      <c r="L35" s="90">
        <v>8.33</v>
      </c>
      <c r="M35" s="91">
        <v>8.33</v>
      </c>
      <c r="N35" s="91">
        <v>8.33</v>
      </c>
      <c r="O35" s="91">
        <v>8.18</v>
      </c>
      <c r="P35" s="91">
        <v>8.0299999999999994</v>
      </c>
      <c r="Q35" s="90">
        <v>7.83</v>
      </c>
      <c r="R35" s="90">
        <v>7.6300000000000008</v>
      </c>
      <c r="S35" s="90">
        <v>7.33</v>
      </c>
      <c r="T35" s="90">
        <v>6.98</v>
      </c>
      <c r="U35" s="90">
        <v>6.58</v>
      </c>
      <c r="V35" s="90">
        <v>6.13</v>
      </c>
      <c r="W35" s="90">
        <v>5.63</v>
      </c>
      <c r="X35" s="92"/>
      <c r="Y35" s="87">
        <v>6</v>
      </c>
      <c r="Z35" s="87">
        <f t="shared" si="0"/>
        <v>5</v>
      </c>
      <c r="AA35" s="87">
        <v>100</v>
      </c>
      <c r="AB35" s="87">
        <v>100</v>
      </c>
      <c r="AC35" s="87">
        <v>100</v>
      </c>
      <c r="AD35" s="87">
        <v>100</v>
      </c>
      <c r="AE35" s="87">
        <v>100</v>
      </c>
      <c r="AF35" s="87">
        <v>100</v>
      </c>
      <c r="AG35" s="87">
        <v>98</v>
      </c>
      <c r="AH35" s="87">
        <v>94</v>
      </c>
      <c r="AI35" s="87">
        <v>90</v>
      </c>
      <c r="AJ35" s="87">
        <v>86</v>
      </c>
      <c r="AK35" s="87">
        <v>100</v>
      </c>
      <c r="AL35" s="87">
        <v>97</v>
      </c>
      <c r="AM35" s="87">
        <v>93</v>
      </c>
      <c r="AN35" s="87">
        <v>89</v>
      </c>
      <c r="AO35" s="87">
        <v>85</v>
      </c>
      <c r="AP35" s="87">
        <v>81</v>
      </c>
      <c r="AQ35" s="87">
        <v>77</v>
      </c>
      <c r="AR35" s="87">
        <v>73</v>
      </c>
      <c r="AS35" s="87">
        <v>69</v>
      </c>
      <c r="AT35" s="87">
        <v>91.16</v>
      </c>
    </row>
    <row r="36" spans="1:46" ht="16.5" customHeight="1" thickBot="1" x14ac:dyDescent="0.3">
      <c r="A36" s="89">
        <v>0.38</v>
      </c>
      <c r="B36" s="90">
        <v>7.92</v>
      </c>
      <c r="C36" s="90">
        <v>8.33</v>
      </c>
      <c r="D36" s="90">
        <v>8.33</v>
      </c>
      <c r="E36" s="90">
        <v>8.33</v>
      </c>
      <c r="F36" s="136">
        <v>8.33</v>
      </c>
      <c r="G36" s="137">
        <v>8.33</v>
      </c>
      <c r="H36" s="90">
        <v>8.33</v>
      </c>
      <c r="I36" s="90">
        <v>8.33</v>
      </c>
      <c r="J36" s="90">
        <v>8.33</v>
      </c>
      <c r="K36" s="90">
        <v>8.33</v>
      </c>
      <c r="L36" s="90">
        <v>8.33</v>
      </c>
      <c r="M36" s="91">
        <v>8.33</v>
      </c>
      <c r="N36" s="91">
        <v>8.33</v>
      </c>
      <c r="O36" s="91">
        <v>8.2200000000000006</v>
      </c>
      <c r="P36" s="91">
        <v>8.07</v>
      </c>
      <c r="Q36" s="90">
        <v>7.8699999999999992</v>
      </c>
      <c r="R36" s="90">
        <v>7.67</v>
      </c>
      <c r="S36" s="90">
        <v>7.3699999999999992</v>
      </c>
      <c r="T36" s="90">
        <v>7.02</v>
      </c>
      <c r="U36" s="90">
        <v>6.62</v>
      </c>
      <c r="V36" s="90">
        <v>6.17</v>
      </c>
      <c r="W36" s="90">
        <v>5.67</v>
      </c>
      <c r="X36" s="92"/>
      <c r="Y36" s="87">
        <v>5.9</v>
      </c>
      <c r="Z36" s="87">
        <f t="shared" si="0"/>
        <v>4.9000000000000004</v>
      </c>
      <c r="AA36" s="87">
        <v>100</v>
      </c>
      <c r="AB36" s="87">
        <v>100</v>
      </c>
      <c r="AC36" s="87">
        <v>100</v>
      </c>
      <c r="AD36" s="87">
        <v>100</v>
      </c>
      <c r="AE36" s="87">
        <v>100</v>
      </c>
      <c r="AF36" s="87">
        <v>100</v>
      </c>
      <c r="AG36" s="87">
        <v>98</v>
      </c>
      <c r="AH36" s="87">
        <v>94</v>
      </c>
      <c r="AI36" s="87">
        <v>90</v>
      </c>
      <c r="AJ36" s="87">
        <v>86</v>
      </c>
      <c r="AK36" s="87">
        <v>100</v>
      </c>
      <c r="AL36" s="87">
        <v>96</v>
      </c>
      <c r="AM36" s="87">
        <v>92</v>
      </c>
      <c r="AN36" s="87">
        <v>88</v>
      </c>
      <c r="AO36" s="87">
        <v>84</v>
      </c>
      <c r="AP36" s="87">
        <v>80</v>
      </c>
      <c r="AQ36" s="87">
        <v>76</v>
      </c>
      <c r="AR36" s="87">
        <v>72</v>
      </c>
      <c r="AS36" s="87">
        <v>68</v>
      </c>
      <c r="AT36" s="87">
        <v>90.74</v>
      </c>
    </row>
    <row r="37" spans="1:46" ht="16.5" customHeight="1" thickBot="1" x14ac:dyDescent="0.3">
      <c r="A37" s="89">
        <v>0.39</v>
      </c>
      <c r="B37" s="90">
        <v>7.9499999999999993</v>
      </c>
      <c r="C37" s="90">
        <v>8.33</v>
      </c>
      <c r="D37" s="90">
        <v>8.33</v>
      </c>
      <c r="E37" s="90">
        <v>8.33</v>
      </c>
      <c r="F37" s="136">
        <v>8.33</v>
      </c>
      <c r="G37" s="137">
        <v>8.33</v>
      </c>
      <c r="H37" s="90">
        <v>8.33</v>
      </c>
      <c r="I37" s="90">
        <v>8.33</v>
      </c>
      <c r="J37" s="90">
        <v>8.33</v>
      </c>
      <c r="K37" s="90">
        <v>8.33</v>
      </c>
      <c r="L37" s="90">
        <v>8.33</v>
      </c>
      <c r="M37" s="91">
        <v>8.33</v>
      </c>
      <c r="N37" s="91">
        <v>8.33</v>
      </c>
      <c r="O37" s="91">
        <v>8.25</v>
      </c>
      <c r="P37" s="91">
        <v>8.1</v>
      </c>
      <c r="Q37" s="90">
        <v>7.9</v>
      </c>
      <c r="R37" s="90">
        <v>7.6999999999999993</v>
      </c>
      <c r="S37" s="90">
        <v>7.4</v>
      </c>
      <c r="T37" s="90">
        <v>7.0500000000000007</v>
      </c>
      <c r="U37" s="90">
        <v>6.65</v>
      </c>
      <c r="V37" s="90">
        <v>6.2</v>
      </c>
      <c r="W37" s="90">
        <v>5.7</v>
      </c>
      <c r="X37" s="92"/>
      <c r="Y37" s="87">
        <v>5.8</v>
      </c>
      <c r="Z37" s="87">
        <f t="shared" si="0"/>
        <v>4.8</v>
      </c>
      <c r="AA37" s="87">
        <v>100</v>
      </c>
      <c r="AB37" s="87">
        <v>100</v>
      </c>
      <c r="AC37" s="87">
        <v>100</v>
      </c>
      <c r="AD37" s="87">
        <v>100</v>
      </c>
      <c r="AE37" s="87">
        <v>100</v>
      </c>
      <c r="AF37" s="87">
        <v>100</v>
      </c>
      <c r="AG37" s="87">
        <v>97</v>
      </c>
      <c r="AH37" s="87">
        <v>93</v>
      </c>
      <c r="AI37" s="87">
        <v>89</v>
      </c>
      <c r="AJ37" s="87">
        <v>85</v>
      </c>
      <c r="AK37" s="87">
        <v>100</v>
      </c>
      <c r="AL37" s="87">
        <v>96</v>
      </c>
      <c r="AM37" s="87">
        <v>91</v>
      </c>
      <c r="AN37" s="87">
        <v>88</v>
      </c>
      <c r="AO37" s="87">
        <v>84</v>
      </c>
      <c r="AP37" s="87">
        <v>79</v>
      </c>
      <c r="AQ37" s="87">
        <v>76</v>
      </c>
      <c r="AR37" s="87">
        <v>71</v>
      </c>
      <c r="AS37" s="87">
        <v>67</v>
      </c>
      <c r="AT37" s="87">
        <v>90.32</v>
      </c>
    </row>
    <row r="38" spans="1:46" ht="16.5" customHeight="1" thickBot="1" x14ac:dyDescent="0.3">
      <c r="A38" s="89">
        <v>0.4</v>
      </c>
      <c r="B38" s="90">
        <v>7.98</v>
      </c>
      <c r="C38" s="90">
        <v>8.33</v>
      </c>
      <c r="D38" s="90">
        <v>8.33</v>
      </c>
      <c r="E38" s="90">
        <v>8.33</v>
      </c>
      <c r="F38" s="136">
        <v>8.33</v>
      </c>
      <c r="G38" s="137">
        <v>8.33</v>
      </c>
      <c r="H38" s="90">
        <v>8.33</v>
      </c>
      <c r="I38" s="90">
        <v>8.33</v>
      </c>
      <c r="J38" s="90">
        <v>8.33</v>
      </c>
      <c r="K38" s="90">
        <v>8.33</v>
      </c>
      <c r="L38" s="90">
        <v>8.33</v>
      </c>
      <c r="M38" s="91">
        <v>8.33</v>
      </c>
      <c r="N38" s="91">
        <v>8.33</v>
      </c>
      <c r="O38" s="91">
        <v>8.2799999999999994</v>
      </c>
      <c r="P38" s="91">
        <v>8.1300000000000008</v>
      </c>
      <c r="Q38" s="90">
        <v>7.93</v>
      </c>
      <c r="R38" s="90">
        <v>7.73</v>
      </c>
      <c r="S38" s="90">
        <v>7.43</v>
      </c>
      <c r="T38" s="90">
        <v>7.08</v>
      </c>
      <c r="U38" s="90">
        <v>6.68</v>
      </c>
      <c r="V38" s="90">
        <v>6.23</v>
      </c>
      <c r="W38" s="90">
        <v>5.73</v>
      </c>
      <c r="X38" s="92"/>
      <c r="Y38" s="87">
        <v>5.7</v>
      </c>
      <c r="Z38" s="87">
        <f t="shared" si="0"/>
        <v>4.7</v>
      </c>
      <c r="AA38" s="87">
        <v>100</v>
      </c>
      <c r="AB38" s="87">
        <v>100</v>
      </c>
      <c r="AC38" s="87">
        <v>100</v>
      </c>
      <c r="AD38" s="87">
        <v>100</v>
      </c>
      <c r="AE38" s="87">
        <v>100</v>
      </c>
      <c r="AF38" s="87">
        <v>100</v>
      </c>
      <c r="AG38" s="87">
        <v>97</v>
      </c>
      <c r="AH38" s="87">
        <v>93</v>
      </c>
      <c r="AI38" s="87">
        <v>88</v>
      </c>
      <c r="AJ38" s="87">
        <v>85</v>
      </c>
      <c r="AK38" s="87">
        <v>99</v>
      </c>
      <c r="AL38" s="87">
        <v>95</v>
      </c>
      <c r="AM38" s="87">
        <v>90</v>
      </c>
      <c r="AN38" s="87">
        <v>87</v>
      </c>
      <c r="AO38" s="87">
        <v>83</v>
      </c>
      <c r="AP38" s="87">
        <v>78</v>
      </c>
      <c r="AQ38" s="87">
        <v>75</v>
      </c>
      <c r="AR38" s="87">
        <v>70</v>
      </c>
      <c r="AS38" s="87">
        <v>66</v>
      </c>
      <c r="AT38" s="87">
        <v>89.79</v>
      </c>
    </row>
    <row r="39" spans="1:46" ht="16.5" thickBot="1" x14ac:dyDescent="0.3">
      <c r="A39" s="97">
        <v>0.41</v>
      </c>
      <c r="B39" s="90">
        <v>8.01</v>
      </c>
      <c r="C39" s="90">
        <v>8.33</v>
      </c>
      <c r="D39" s="90">
        <v>8.33</v>
      </c>
      <c r="E39" s="90">
        <v>8.33</v>
      </c>
      <c r="F39" s="136">
        <v>8.33</v>
      </c>
      <c r="G39" s="137">
        <v>8.33</v>
      </c>
      <c r="H39" s="90">
        <v>8.33</v>
      </c>
      <c r="I39" s="90">
        <v>8.33</v>
      </c>
      <c r="J39" s="90">
        <v>8.33</v>
      </c>
      <c r="K39" s="90">
        <v>8.33</v>
      </c>
      <c r="L39" s="90">
        <v>8.33</v>
      </c>
      <c r="M39" s="91">
        <v>8.33</v>
      </c>
      <c r="N39" s="91">
        <v>8.33</v>
      </c>
      <c r="O39" s="91">
        <v>8.31</v>
      </c>
      <c r="P39" s="91">
        <v>8.16</v>
      </c>
      <c r="Q39" s="90">
        <v>7.9600000000000009</v>
      </c>
      <c r="R39" s="90">
        <v>7.76</v>
      </c>
      <c r="S39" s="90">
        <v>7.4600000000000009</v>
      </c>
      <c r="T39" s="90">
        <v>7.1099999999999994</v>
      </c>
      <c r="U39" s="90">
        <v>6.71</v>
      </c>
      <c r="V39" s="90">
        <v>6.26</v>
      </c>
      <c r="W39" s="90">
        <v>5.76</v>
      </c>
      <c r="X39" s="92"/>
      <c r="Y39" s="87">
        <v>5.6</v>
      </c>
      <c r="Z39" s="87">
        <f t="shared" si="0"/>
        <v>4.5999999999999996</v>
      </c>
      <c r="AA39" s="87">
        <v>100</v>
      </c>
      <c r="AB39" s="87">
        <v>100</v>
      </c>
      <c r="AC39" s="87">
        <v>100</v>
      </c>
      <c r="AD39" s="87">
        <v>100</v>
      </c>
      <c r="AE39" s="87">
        <v>100</v>
      </c>
      <c r="AF39" s="87">
        <v>100</v>
      </c>
      <c r="AG39" s="87">
        <v>97</v>
      </c>
      <c r="AH39" s="87">
        <v>93</v>
      </c>
      <c r="AI39" s="87">
        <v>88</v>
      </c>
      <c r="AJ39" s="87">
        <v>84</v>
      </c>
      <c r="AK39" s="87">
        <v>99</v>
      </c>
      <c r="AL39" s="87">
        <v>95</v>
      </c>
      <c r="AM39" s="87">
        <v>90</v>
      </c>
      <c r="AN39" s="87">
        <v>86</v>
      </c>
      <c r="AO39" s="87">
        <v>82</v>
      </c>
      <c r="AP39" s="87">
        <v>78</v>
      </c>
      <c r="AQ39" s="87">
        <v>74</v>
      </c>
      <c r="AR39" s="87">
        <v>69</v>
      </c>
      <c r="AS39" s="87">
        <v>65</v>
      </c>
      <c r="AT39" s="87">
        <v>89.47</v>
      </c>
    </row>
    <row r="40" spans="1:46" ht="16.5" thickBot="1" x14ac:dyDescent="0.3">
      <c r="A40" s="97">
        <v>0.42</v>
      </c>
      <c r="B40" s="90">
        <v>8.0299999999999994</v>
      </c>
      <c r="C40" s="90">
        <v>8.33</v>
      </c>
      <c r="D40" s="90">
        <v>8.33</v>
      </c>
      <c r="E40" s="90">
        <v>8.33</v>
      </c>
      <c r="F40" s="136">
        <v>8.33</v>
      </c>
      <c r="G40" s="137">
        <v>8.33</v>
      </c>
      <c r="H40" s="90">
        <v>8.33</v>
      </c>
      <c r="I40" s="90">
        <v>8.33</v>
      </c>
      <c r="J40" s="90">
        <v>8.33</v>
      </c>
      <c r="K40" s="90">
        <v>8.33</v>
      </c>
      <c r="L40" s="90">
        <v>8.33</v>
      </c>
      <c r="M40" s="91">
        <v>8.33</v>
      </c>
      <c r="N40" s="91">
        <v>8.33</v>
      </c>
      <c r="O40" s="91">
        <v>8.33</v>
      </c>
      <c r="P40" s="91">
        <v>8.18</v>
      </c>
      <c r="Q40" s="90">
        <v>7.98</v>
      </c>
      <c r="R40" s="90">
        <v>7.7799999999999994</v>
      </c>
      <c r="S40" s="90">
        <v>7.48</v>
      </c>
      <c r="T40" s="90">
        <v>7.1300000000000008</v>
      </c>
      <c r="U40" s="90">
        <v>6.73</v>
      </c>
      <c r="V40" s="90">
        <v>6.28</v>
      </c>
      <c r="W40" s="90">
        <v>5.78</v>
      </c>
      <c r="X40" s="92"/>
      <c r="Y40" s="87">
        <v>5.5</v>
      </c>
      <c r="Z40" s="87">
        <f t="shared" si="0"/>
        <v>4.5</v>
      </c>
      <c r="AA40" s="87">
        <v>100</v>
      </c>
      <c r="AB40" s="87">
        <v>100</v>
      </c>
      <c r="AC40" s="87">
        <v>100</v>
      </c>
      <c r="AD40" s="87">
        <v>100</v>
      </c>
      <c r="AE40" s="87">
        <v>100</v>
      </c>
      <c r="AF40" s="87">
        <v>100</v>
      </c>
      <c r="AG40" s="87">
        <v>96</v>
      </c>
      <c r="AH40" s="87">
        <v>92</v>
      </c>
      <c r="AI40" s="87">
        <v>87</v>
      </c>
      <c r="AJ40" s="87">
        <v>83</v>
      </c>
      <c r="AK40" s="87">
        <v>98</v>
      </c>
      <c r="AL40" s="87">
        <v>94</v>
      </c>
      <c r="AM40" s="87">
        <v>89</v>
      </c>
      <c r="AN40" s="87">
        <v>85</v>
      </c>
      <c r="AO40" s="87">
        <v>81</v>
      </c>
      <c r="AP40" s="87">
        <v>77</v>
      </c>
      <c r="AQ40" s="87">
        <v>73</v>
      </c>
      <c r="AR40" s="87">
        <v>68</v>
      </c>
      <c r="AS40" s="87">
        <v>64</v>
      </c>
      <c r="AT40" s="87">
        <v>88.79</v>
      </c>
    </row>
    <row r="41" spans="1:46" ht="16.5" thickBot="1" x14ac:dyDescent="0.3">
      <c r="A41" s="97">
        <v>0.43</v>
      </c>
      <c r="B41" s="90">
        <v>8.0500000000000007</v>
      </c>
      <c r="C41" s="90">
        <v>8.33</v>
      </c>
      <c r="D41" s="90">
        <v>8.33</v>
      </c>
      <c r="E41" s="90">
        <v>8.33</v>
      </c>
      <c r="F41" s="136">
        <v>8.33</v>
      </c>
      <c r="G41" s="137">
        <v>8.33</v>
      </c>
      <c r="H41" s="90">
        <v>8.33</v>
      </c>
      <c r="I41" s="90">
        <v>8.33</v>
      </c>
      <c r="J41" s="90">
        <v>8.33</v>
      </c>
      <c r="K41" s="90">
        <v>8.33</v>
      </c>
      <c r="L41" s="90">
        <v>8.33</v>
      </c>
      <c r="M41" s="91">
        <v>8.33</v>
      </c>
      <c r="N41" s="91">
        <v>8.33</v>
      </c>
      <c r="O41" s="91">
        <v>8.33</v>
      </c>
      <c r="P41" s="91">
        <v>8.1999999999999993</v>
      </c>
      <c r="Q41" s="90">
        <v>8</v>
      </c>
      <c r="R41" s="90">
        <v>7.8000000000000007</v>
      </c>
      <c r="S41" s="90">
        <v>7.5</v>
      </c>
      <c r="T41" s="90">
        <v>7.15</v>
      </c>
      <c r="U41" s="90">
        <v>6.75</v>
      </c>
      <c r="V41" s="90">
        <v>6.3</v>
      </c>
      <c r="W41" s="90">
        <v>5.8</v>
      </c>
      <c r="X41" s="92"/>
      <c r="Y41" s="87">
        <v>5.4</v>
      </c>
      <c r="Z41" s="87">
        <f t="shared" si="0"/>
        <v>4.4000000000000004</v>
      </c>
      <c r="AA41" s="87">
        <v>100</v>
      </c>
      <c r="AB41" s="87">
        <v>100</v>
      </c>
      <c r="AC41" s="87">
        <v>100</v>
      </c>
      <c r="AD41" s="87">
        <v>100</v>
      </c>
      <c r="AE41" s="87">
        <v>100</v>
      </c>
      <c r="AF41" s="87">
        <v>99</v>
      </c>
      <c r="AG41" s="87">
        <v>95</v>
      </c>
      <c r="AH41" s="87">
        <v>91</v>
      </c>
      <c r="AI41" s="87">
        <v>87</v>
      </c>
      <c r="AJ41" s="87">
        <v>82</v>
      </c>
      <c r="AK41" s="87">
        <v>97</v>
      </c>
      <c r="AL41" s="87">
        <v>93</v>
      </c>
      <c r="AM41" s="87">
        <v>88</v>
      </c>
      <c r="AN41" s="87">
        <v>84</v>
      </c>
      <c r="AO41" s="87">
        <v>80</v>
      </c>
      <c r="AP41" s="87">
        <v>76</v>
      </c>
      <c r="AQ41" s="87">
        <v>72</v>
      </c>
      <c r="AR41" s="87">
        <v>67</v>
      </c>
      <c r="AS41" s="87">
        <v>63</v>
      </c>
      <c r="AT41" s="87">
        <v>88.11</v>
      </c>
    </row>
    <row r="42" spans="1:46" ht="16.5" thickBot="1" x14ac:dyDescent="0.3">
      <c r="A42" s="97">
        <v>0.44</v>
      </c>
      <c r="B42" s="90">
        <v>8.08</v>
      </c>
      <c r="C42" s="90">
        <v>8.33</v>
      </c>
      <c r="D42" s="90">
        <v>8.33</v>
      </c>
      <c r="E42" s="90">
        <v>8.33</v>
      </c>
      <c r="F42" s="136">
        <v>8.33</v>
      </c>
      <c r="G42" s="137">
        <v>8.33</v>
      </c>
      <c r="H42" s="90">
        <v>8.33</v>
      </c>
      <c r="I42" s="90">
        <v>8.33</v>
      </c>
      <c r="J42" s="90">
        <v>8.33</v>
      </c>
      <c r="K42" s="90">
        <v>8.33</v>
      </c>
      <c r="L42" s="90">
        <v>8.33</v>
      </c>
      <c r="M42" s="91">
        <v>8.33</v>
      </c>
      <c r="N42" s="91">
        <v>8.33</v>
      </c>
      <c r="O42" s="91">
        <v>8.33</v>
      </c>
      <c r="P42" s="91">
        <v>8.23</v>
      </c>
      <c r="Q42" s="90">
        <v>8.0299999999999994</v>
      </c>
      <c r="R42" s="90">
        <v>7.83</v>
      </c>
      <c r="S42" s="90">
        <v>7.5299999999999994</v>
      </c>
      <c r="T42" s="90">
        <v>7.18</v>
      </c>
      <c r="U42" s="90">
        <v>6.78</v>
      </c>
      <c r="V42" s="90">
        <v>6.33</v>
      </c>
      <c r="W42" s="90">
        <v>5.83</v>
      </c>
      <c r="X42" s="92"/>
      <c r="Y42" s="87">
        <v>5.3</v>
      </c>
      <c r="Z42" s="87">
        <f t="shared" si="0"/>
        <v>4.3</v>
      </c>
      <c r="AA42" s="87">
        <v>100</v>
      </c>
      <c r="AB42" s="87">
        <v>100</v>
      </c>
      <c r="AC42" s="87">
        <v>100</v>
      </c>
      <c r="AD42" s="87">
        <v>100</v>
      </c>
      <c r="AE42" s="87">
        <v>100</v>
      </c>
      <c r="AF42" s="87">
        <v>99</v>
      </c>
      <c r="AG42" s="87">
        <v>95</v>
      </c>
      <c r="AH42" s="87">
        <v>91</v>
      </c>
      <c r="AI42" s="87">
        <v>86</v>
      </c>
      <c r="AJ42" s="87">
        <v>82</v>
      </c>
      <c r="AK42" s="87">
        <v>97</v>
      </c>
      <c r="AL42" s="87">
        <v>92</v>
      </c>
      <c r="AM42" s="87">
        <v>88</v>
      </c>
      <c r="AN42" s="87">
        <v>84</v>
      </c>
      <c r="AO42" s="87">
        <v>80</v>
      </c>
      <c r="AP42" s="87">
        <v>75</v>
      </c>
      <c r="AQ42" s="87">
        <v>71</v>
      </c>
      <c r="AR42" s="87">
        <v>67</v>
      </c>
      <c r="AS42" s="87">
        <v>62</v>
      </c>
      <c r="AT42" s="87">
        <v>87.84</v>
      </c>
    </row>
    <row r="43" spans="1:46" ht="16.5" thickBot="1" x14ac:dyDescent="0.3">
      <c r="A43" s="97">
        <v>0.45</v>
      </c>
      <c r="B43" s="90">
        <v>8.1</v>
      </c>
      <c r="C43" s="90">
        <v>8.33</v>
      </c>
      <c r="D43" s="90">
        <v>8.33</v>
      </c>
      <c r="E43" s="90">
        <v>8.33</v>
      </c>
      <c r="F43" s="136">
        <v>8.33</v>
      </c>
      <c r="G43" s="137">
        <v>8.33</v>
      </c>
      <c r="H43" s="90">
        <v>8.33</v>
      </c>
      <c r="I43" s="90">
        <v>8.33</v>
      </c>
      <c r="J43" s="90">
        <v>8.33</v>
      </c>
      <c r="K43" s="90">
        <v>8.33</v>
      </c>
      <c r="L43" s="90">
        <v>8.33</v>
      </c>
      <c r="M43" s="91">
        <v>8.33</v>
      </c>
      <c r="N43" s="91">
        <v>8.33</v>
      </c>
      <c r="O43" s="91">
        <v>8.33</v>
      </c>
      <c r="P43" s="91">
        <v>8.25</v>
      </c>
      <c r="Q43" s="90">
        <v>8.0500000000000007</v>
      </c>
      <c r="R43" s="90">
        <v>7.85</v>
      </c>
      <c r="S43" s="90">
        <v>7.5500000000000007</v>
      </c>
      <c r="T43" s="90">
        <v>7.1999999999999993</v>
      </c>
      <c r="U43" s="90">
        <v>6.8</v>
      </c>
      <c r="V43" s="90">
        <v>6.35</v>
      </c>
      <c r="W43" s="90">
        <v>5.85</v>
      </c>
      <c r="X43" s="92"/>
      <c r="Y43" s="87">
        <v>5.2</v>
      </c>
      <c r="Z43" s="87">
        <f t="shared" si="0"/>
        <v>4.2</v>
      </c>
      <c r="AA43" s="87">
        <v>100</v>
      </c>
      <c r="AB43" s="87">
        <v>100</v>
      </c>
      <c r="AC43" s="87">
        <v>100</v>
      </c>
      <c r="AD43" s="87">
        <v>100</v>
      </c>
      <c r="AE43" s="87">
        <v>100</v>
      </c>
      <c r="AF43" s="87">
        <v>99</v>
      </c>
      <c r="AG43" s="87">
        <v>94</v>
      </c>
      <c r="AH43" s="87">
        <v>90</v>
      </c>
      <c r="AI43" s="87">
        <v>86</v>
      </c>
      <c r="AJ43" s="87">
        <v>81</v>
      </c>
      <c r="AK43" s="87">
        <v>96</v>
      </c>
      <c r="AL43" s="87">
        <v>91</v>
      </c>
      <c r="AM43" s="87">
        <v>87</v>
      </c>
      <c r="AN43" s="87">
        <v>83</v>
      </c>
      <c r="AO43" s="87">
        <v>78</v>
      </c>
      <c r="AP43" s="87">
        <v>74</v>
      </c>
      <c r="AQ43" s="87">
        <v>70</v>
      </c>
      <c r="AR43" s="87">
        <v>66</v>
      </c>
      <c r="AS43" s="87">
        <v>61</v>
      </c>
      <c r="AT43" s="87">
        <v>87.16</v>
      </c>
    </row>
    <row r="44" spans="1:46" ht="16.5" thickBot="1" x14ac:dyDescent="0.3">
      <c r="A44" s="97">
        <v>0.46</v>
      </c>
      <c r="B44" s="90">
        <v>8.11</v>
      </c>
      <c r="C44" s="90">
        <v>8.33</v>
      </c>
      <c r="D44" s="90">
        <v>8.33</v>
      </c>
      <c r="E44" s="90">
        <v>8.33</v>
      </c>
      <c r="F44" s="136">
        <v>8.33</v>
      </c>
      <c r="G44" s="137">
        <v>8.33</v>
      </c>
      <c r="H44" s="90">
        <v>8.33</v>
      </c>
      <c r="I44" s="90">
        <v>8.33</v>
      </c>
      <c r="J44" s="90">
        <v>8.33</v>
      </c>
      <c r="K44" s="90">
        <v>8.33</v>
      </c>
      <c r="L44" s="90">
        <v>8.33</v>
      </c>
      <c r="M44" s="91">
        <v>8.33</v>
      </c>
      <c r="N44" s="91">
        <v>8.33</v>
      </c>
      <c r="O44" s="91">
        <v>8.33</v>
      </c>
      <c r="P44" s="91">
        <v>8.26</v>
      </c>
      <c r="Q44" s="90">
        <v>8.06</v>
      </c>
      <c r="R44" s="90">
        <v>7.8599999999999994</v>
      </c>
      <c r="S44" s="90">
        <v>7.5600000000000005</v>
      </c>
      <c r="T44" s="90">
        <v>7.2100000000000009</v>
      </c>
      <c r="U44" s="90">
        <v>6.81</v>
      </c>
      <c r="V44" s="90">
        <v>6.36</v>
      </c>
      <c r="W44" s="90">
        <v>5.86</v>
      </c>
      <c r="X44" s="92"/>
      <c r="Y44" s="87">
        <v>5.0999999999999996</v>
      </c>
      <c r="Z44" s="87">
        <f t="shared" si="0"/>
        <v>4.0999999999999996</v>
      </c>
      <c r="AA44" s="87">
        <v>100</v>
      </c>
      <c r="AB44" s="87">
        <v>100</v>
      </c>
      <c r="AC44" s="87">
        <v>100</v>
      </c>
      <c r="AD44" s="87">
        <v>100</v>
      </c>
      <c r="AE44" s="87">
        <v>100</v>
      </c>
      <c r="AF44" s="87">
        <v>98</v>
      </c>
      <c r="AG44" s="87">
        <v>94</v>
      </c>
      <c r="AH44" s="87">
        <v>89</v>
      </c>
      <c r="AI44" s="87">
        <v>85</v>
      </c>
      <c r="AJ44" s="87">
        <v>81</v>
      </c>
      <c r="AK44" s="87">
        <v>95</v>
      </c>
      <c r="AL44" s="87">
        <v>91</v>
      </c>
      <c r="AM44" s="87">
        <v>86</v>
      </c>
      <c r="AN44" s="87">
        <v>82</v>
      </c>
      <c r="AO44" s="87">
        <v>78</v>
      </c>
      <c r="AP44" s="87">
        <v>73</v>
      </c>
      <c r="AQ44" s="87">
        <v>69</v>
      </c>
      <c r="AR44" s="87">
        <v>64</v>
      </c>
      <c r="AS44" s="87">
        <v>60</v>
      </c>
      <c r="AT44" s="87">
        <v>86.58</v>
      </c>
    </row>
    <row r="45" spans="1:46" ht="16.5" thickBot="1" x14ac:dyDescent="0.3">
      <c r="A45" s="97">
        <v>0.47</v>
      </c>
      <c r="B45" s="90">
        <v>8.1300000000000008</v>
      </c>
      <c r="C45" s="90">
        <v>8.33</v>
      </c>
      <c r="D45" s="90">
        <v>8.33</v>
      </c>
      <c r="E45" s="90">
        <v>8.33</v>
      </c>
      <c r="F45" s="136">
        <v>8.33</v>
      </c>
      <c r="G45" s="137">
        <v>8.33</v>
      </c>
      <c r="H45" s="90">
        <v>8.33</v>
      </c>
      <c r="I45" s="90">
        <v>8.33</v>
      </c>
      <c r="J45" s="90">
        <v>8.33</v>
      </c>
      <c r="K45" s="90">
        <v>8.33</v>
      </c>
      <c r="L45" s="90">
        <v>8.33</v>
      </c>
      <c r="M45" s="91">
        <v>8.33</v>
      </c>
      <c r="N45" s="91">
        <v>8.33</v>
      </c>
      <c r="O45" s="91">
        <v>8.33</v>
      </c>
      <c r="P45" s="91">
        <v>8.2799999999999994</v>
      </c>
      <c r="Q45" s="90">
        <v>8.08</v>
      </c>
      <c r="R45" s="90">
        <v>7.8800000000000008</v>
      </c>
      <c r="S45" s="90">
        <v>7.58</v>
      </c>
      <c r="T45" s="90">
        <v>7.23</v>
      </c>
      <c r="U45" s="90">
        <v>6.83</v>
      </c>
      <c r="V45" s="90">
        <v>6.38</v>
      </c>
      <c r="W45" s="90">
        <v>5.88</v>
      </c>
      <c r="X45" s="92"/>
      <c r="Y45" s="87">
        <v>5</v>
      </c>
      <c r="Z45" s="87">
        <f t="shared" si="0"/>
        <v>4</v>
      </c>
      <c r="AA45" s="87">
        <v>100</v>
      </c>
      <c r="AB45" s="87">
        <v>100</v>
      </c>
      <c r="AC45" s="87">
        <v>100</v>
      </c>
      <c r="AD45" s="87">
        <v>100</v>
      </c>
      <c r="AE45" s="87">
        <v>100</v>
      </c>
      <c r="AF45" s="87">
        <v>97</v>
      </c>
      <c r="AG45" s="87">
        <v>93</v>
      </c>
      <c r="AH45" s="87">
        <v>89</v>
      </c>
      <c r="AI45" s="87">
        <v>84</v>
      </c>
      <c r="AJ45" s="87">
        <v>80</v>
      </c>
      <c r="AK45" s="87">
        <v>95</v>
      </c>
      <c r="AL45" s="87">
        <v>90</v>
      </c>
      <c r="AM45" s="87">
        <v>85</v>
      </c>
      <c r="AN45" s="87">
        <v>81</v>
      </c>
      <c r="AO45" s="87">
        <v>77</v>
      </c>
      <c r="AP45" s="87">
        <v>72</v>
      </c>
      <c r="AQ45" s="87">
        <v>68</v>
      </c>
      <c r="AR45" s="87">
        <v>63</v>
      </c>
      <c r="AS45" s="87">
        <v>59</v>
      </c>
      <c r="AT45" s="87">
        <v>85.95</v>
      </c>
    </row>
    <row r="46" spans="1:46" ht="15.75" x14ac:dyDescent="0.25">
      <c r="A46" s="97">
        <v>0.48</v>
      </c>
      <c r="B46" s="90">
        <v>8.15</v>
      </c>
      <c r="C46" s="90">
        <v>8.33</v>
      </c>
      <c r="D46" s="90">
        <v>8.33</v>
      </c>
      <c r="E46" s="90">
        <v>8.33</v>
      </c>
      <c r="F46" s="136">
        <v>8.33</v>
      </c>
      <c r="G46" s="137">
        <v>8.33</v>
      </c>
      <c r="H46" s="90">
        <v>8.33</v>
      </c>
      <c r="I46" s="90">
        <v>8.33</v>
      </c>
      <c r="J46" s="90">
        <v>8.33</v>
      </c>
      <c r="K46" s="90">
        <v>8.33</v>
      </c>
      <c r="L46" s="90">
        <v>8.33</v>
      </c>
      <c r="M46" s="91">
        <v>8.33</v>
      </c>
      <c r="N46" s="91">
        <v>8.33</v>
      </c>
      <c r="O46" s="91">
        <v>8.33</v>
      </c>
      <c r="P46" s="91">
        <v>8.3000000000000007</v>
      </c>
      <c r="Q46" s="90">
        <v>8.1</v>
      </c>
      <c r="R46" s="90">
        <v>7.9</v>
      </c>
      <c r="S46" s="90">
        <v>7.6</v>
      </c>
      <c r="T46" s="90">
        <v>7.25</v>
      </c>
      <c r="U46" s="90">
        <v>6.85</v>
      </c>
      <c r="V46" s="90">
        <v>6.4</v>
      </c>
      <c r="W46" s="90">
        <v>5.9</v>
      </c>
      <c r="X46" s="92"/>
    </row>
    <row r="47" spans="1:46" ht="15.75" x14ac:dyDescent="0.25">
      <c r="A47" s="97">
        <v>0.49</v>
      </c>
      <c r="B47" s="90">
        <v>8.16</v>
      </c>
      <c r="C47" s="90">
        <v>8.33</v>
      </c>
      <c r="D47" s="90">
        <v>8.33</v>
      </c>
      <c r="E47" s="90">
        <v>8.33</v>
      </c>
      <c r="F47" s="136">
        <v>8.33</v>
      </c>
      <c r="G47" s="137">
        <v>8.33</v>
      </c>
      <c r="H47" s="90">
        <v>8.33</v>
      </c>
      <c r="I47" s="90">
        <v>8.33</v>
      </c>
      <c r="J47" s="90">
        <v>8.33</v>
      </c>
      <c r="K47" s="90">
        <v>8.33</v>
      </c>
      <c r="L47" s="90">
        <v>8.33</v>
      </c>
      <c r="M47" s="91">
        <v>8.33</v>
      </c>
      <c r="N47" s="91">
        <v>8.33</v>
      </c>
      <c r="O47" s="91">
        <v>8.33</v>
      </c>
      <c r="P47" s="91">
        <v>8.31</v>
      </c>
      <c r="Q47" s="90">
        <v>8.11</v>
      </c>
      <c r="R47" s="90">
        <v>7.91</v>
      </c>
      <c r="S47" s="90">
        <v>7.6099999999999994</v>
      </c>
      <c r="T47" s="90">
        <v>7.26</v>
      </c>
      <c r="U47" s="90">
        <v>6.86</v>
      </c>
      <c r="V47" s="90">
        <v>6.41</v>
      </c>
      <c r="W47" s="90">
        <v>5.91</v>
      </c>
      <c r="X47" s="92"/>
    </row>
    <row r="48" spans="1:46" ht="15.75" x14ac:dyDescent="0.25">
      <c r="A48" s="97">
        <v>0.5</v>
      </c>
      <c r="B48" s="90">
        <v>8.18</v>
      </c>
      <c r="C48" s="90">
        <v>8.33</v>
      </c>
      <c r="D48" s="90">
        <v>8.33</v>
      </c>
      <c r="E48" s="90">
        <v>8.33</v>
      </c>
      <c r="F48" s="136">
        <v>8.33</v>
      </c>
      <c r="G48" s="137">
        <v>8.33</v>
      </c>
      <c r="H48" s="90">
        <v>8.33</v>
      </c>
      <c r="I48" s="90">
        <v>8.33</v>
      </c>
      <c r="J48" s="90">
        <v>8.33</v>
      </c>
      <c r="K48" s="90">
        <v>8.33</v>
      </c>
      <c r="L48" s="90">
        <v>8.33</v>
      </c>
      <c r="M48" s="91">
        <v>8.33</v>
      </c>
      <c r="N48" s="91">
        <v>8.33</v>
      </c>
      <c r="O48" s="91">
        <v>8.33</v>
      </c>
      <c r="P48" s="91">
        <v>8.33</v>
      </c>
      <c r="Q48" s="90">
        <v>8.1300000000000008</v>
      </c>
      <c r="R48" s="90">
        <v>7.93</v>
      </c>
      <c r="S48" s="90">
        <v>7.63</v>
      </c>
      <c r="T48" s="90">
        <v>7.2799999999999994</v>
      </c>
      <c r="U48" s="90">
        <v>6.88</v>
      </c>
      <c r="V48" s="90">
        <v>6.43</v>
      </c>
      <c r="W48" s="90">
        <v>5.93</v>
      </c>
      <c r="X48" s="92"/>
    </row>
    <row r="49" spans="1:24" ht="15.75" x14ac:dyDescent="0.25">
      <c r="A49" s="100"/>
      <c r="B49" s="100"/>
      <c r="C49" s="100"/>
      <c r="D49" s="100"/>
      <c r="E49" s="100"/>
      <c r="F49" s="100"/>
      <c r="H49" s="101"/>
      <c r="X49" s="98"/>
    </row>
    <row r="50" spans="1:24" ht="15.75" x14ac:dyDescent="0.25">
      <c r="A50" s="80" t="s">
        <v>137</v>
      </c>
      <c r="B50" s="100"/>
      <c r="C50" s="100"/>
      <c r="D50" s="100"/>
      <c r="E50" s="100"/>
      <c r="F50" s="100"/>
      <c r="G50" s="100"/>
      <c r="H50" s="101"/>
      <c r="I50" s="100"/>
      <c r="J50" s="100"/>
      <c r="K50" s="100"/>
      <c r="L50" s="100"/>
      <c r="M50" s="100"/>
      <c r="N50" s="100"/>
      <c r="O50" s="100"/>
      <c r="P50" s="100"/>
      <c r="Q50" s="100"/>
      <c r="R50" s="100"/>
      <c r="S50" s="100"/>
      <c r="T50" s="100"/>
      <c r="U50" s="100"/>
      <c r="V50" s="100"/>
      <c r="W50" s="100"/>
      <c r="X50" s="99"/>
    </row>
    <row r="51" spans="1:24" ht="15.75" x14ac:dyDescent="0.25">
      <c r="A51" s="80" t="s">
        <v>138</v>
      </c>
      <c r="B51" s="100"/>
      <c r="C51" s="100"/>
      <c r="D51" s="100"/>
      <c r="E51" s="100"/>
      <c r="F51" s="100"/>
      <c r="G51" s="100"/>
      <c r="H51" s="101"/>
      <c r="I51" s="100"/>
      <c r="J51" s="100"/>
      <c r="K51" s="100"/>
      <c r="L51" s="100"/>
      <c r="M51" s="100"/>
      <c r="N51" s="100"/>
      <c r="O51" s="100"/>
      <c r="P51" s="100"/>
      <c r="Q51" s="100"/>
      <c r="R51" s="100"/>
      <c r="S51" s="100"/>
      <c r="T51" s="100"/>
      <c r="U51" s="100"/>
      <c r="V51" s="100"/>
      <c r="W51" s="100"/>
      <c r="X51" s="99"/>
    </row>
    <row r="52" spans="1:24" ht="15.75" x14ac:dyDescent="0.25">
      <c r="A52" s="80" t="s">
        <v>139</v>
      </c>
      <c r="B52" s="100"/>
      <c r="C52" s="100"/>
      <c r="D52" s="100"/>
      <c r="E52" s="100"/>
      <c r="F52" s="100"/>
      <c r="G52" s="100"/>
      <c r="H52" s="101"/>
      <c r="I52" s="100"/>
      <c r="J52" s="100"/>
      <c r="K52" s="100"/>
      <c r="L52" s="100"/>
      <c r="M52" s="100"/>
      <c r="N52" s="100"/>
      <c r="O52" s="100"/>
      <c r="P52" s="100"/>
      <c r="Q52" s="100"/>
      <c r="R52" s="100"/>
      <c r="S52" s="100"/>
      <c r="T52" s="100"/>
      <c r="U52" s="100"/>
      <c r="V52" s="100"/>
      <c r="W52" s="100"/>
      <c r="X52" s="99"/>
    </row>
    <row r="53" spans="1:24" ht="15.75" x14ac:dyDescent="0.25">
      <c r="A53" s="100"/>
      <c r="B53" s="100"/>
      <c r="C53" s="100"/>
      <c r="D53" s="100"/>
      <c r="E53" s="100"/>
      <c r="F53" s="100"/>
      <c r="G53" s="100"/>
      <c r="H53" s="101"/>
      <c r="I53" s="100"/>
      <c r="J53" s="100"/>
      <c r="K53" s="100"/>
      <c r="L53" s="100"/>
      <c r="M53" s="100"/>
      <c r="N53" s="100"/>
      <c r="O53" s="100"/>
      <c r="P53" s="100"/>
      <c r="Q53" s="100"/>
      <c r="R53" s="100"/>
      <c r="S53" s="100"/>
      <c r="T53" s="100"/>
      <c r="U53" s="100"/>
      <c r="V53" s="100"/>
      <c r="W53" s="100"/>
      <c r="X53" s="99"/>
    </row>
    <row r="54" spans="1:24" ht="15.75" x14ac:dyDescent="0.25">
      <c r="A54" s="100"/>
      <c r="B54" s="100"/>
      <c r="C54" s="100"/>
      <c r="D54" s="100"/>
      <c r="E54" s="100"/>
      <c r="F54" s="100"/>
      <c r="G54" s="100"/>
      <c r="H54" s="101"/>
      <c r="I54" s="100"/>
      <c r="J54" s="100"/>
      <c r="K54" s="100"/>
      <c r="L54" s="100"/>
      <c r="M54" s="100"/>
      <c r="N54" s="100"/>
      <c r="O54" s="100"/>
      <c r="P54" s="100"/>
      <c r="Q54" s="100"/>
      <c r="R54" s="100"/>
      <c r="S54" s="100"/>
      <c r="T54" s="100"/>
      <c r="U54" s="100"/>
      <c r="V54" s="100"/>
      <c r="W54" s="100"/>
      <c r="X54" s="99"/>
    </row>
    <row r="55" spans="1:24" ht="15.75" x14ac:dyDescent="0.25">
      <c r="A55" s="100"/>
      <c r="B55" s="100"/>
      <c r="C55" s="100"/>
      <c r="D55" s="100"/>
      <c r="E55" s="100"/>
      <c r="F55" s="100"/>
      <c r="G55" s="100"/>
      <c r="H55" s="101"/>
      <c r="I55" s="100"/>
      <c r="J55" s="100"/>
      <c r="K55" s="100"/>
      <c r="L55" s="100"/>
      <c r="M55" s="100"/>
      <c r="N55" s="100"/>
      <c r="O55" s="100"/>
      <c r="P55" s="100"/>
      <c r="Q55" s="100"/>
      <c r="R55" s="100"/>
      <c r="S55" s="100"/>
      <c r="T55" s="100"/>
      <c r="U55" s="100"/>
      <c r="V55" s="100"/>
      <c r="W55" s="100"/>
      <c r="X55" s="99"/>
    </row>
    <row r="56" spans="1:24" ht="15.75" x14ac:dyDescent="0.25">
      <c r="A56" s="102" t="s">
        <v>140</v>
      </c>
      <c r="B56" s="100"/>
      <c r="C56" s="100"/>
      <c r="D56" s="100"/>
      <c r="E56" s="100"/>
      <c r="F56" s="100"/>
      <c r="H56" s="101"/>
      <c r="X56" s="98"/>
    </row>
    <row r="57" spans="1:24" ht="15.75" x14ac:dyDescent="0.25">
      <c r="A57" s="100"/>
      <c r="B57" s="100"/>
      <c r="C57" s="100"/>
      <c r="D57" s="100"/>
      <c r="E57" s="100"/>
      <c r="F57" s="100"/>
      <c r="H57" s="101"/>
      <c r="X57" s="98"/>
    </row>
    <row r="58" spans="1:24" ht="15.75" x14ac:dyDescent="0.25">
      <c r="A58" s="103" t="s">
        <v>141</v>
      </c>
      <c r="B58" s="103" t="s">
        <v>142</v>
      </c>
      <c r="C58" s="103" t="s">
        <v>143</v>
      </c>
      <c r="D58" s="103" t="s">
        <v>144</v>
      </c>
      <c r="E58" s="103" t="s">
        <v>145</v>
      </c>
      <c r="F58" s="103" t="s">
        <v>146</v>
      </c>
      <c r="H58" s="101" t="s">
        <v>147</v>
      </c>
      <c r="X58" s="98"/>
    </row>
    <row r="59" spans="1:24" ht="15.75" x14ac:dyDescent="0.25">
      <c r="A59" s="104">
        <v>17</v>
      </c>
      <c r="B59" s="248" t="s">
        <v>110</v>
      </c>
      <c r="C59" s="105" t="s">
        <v>109</v>
      </c>
      <c r="D59" s="252" t="s">
        <v>148</v>
      </c>
      <c r="E59" s="252" t="s">
        <v>148</v>
      </c>
      <c r="F59" s="106" t="s">
        <v>107</v>
      </c>
      <c r="H59" s="107" t="s">
        <v>149</v>
      </c>
      <c r="X59" s="98"/>
    </row>
    <row r="60" spans="1:24" ht="15.75" x14ac:dyDescent="0.25">
      <c r="A60" s="108">
        <v>18</v>
      </c>
      <c r="B60" s="248"/>
      <c r="C60" s="105" t="s">
        <v>150</v>
      </c>
      <c r="D60" s="252"/>
      <c r="E60" s="252"/>
      <c r="F60" s="106" t="s">
        <v>151</v>
      </c>
      <c r="H60" s="101" t="s">
        <v>152</v>
      </c>
      <c r="X60" s="98"/>
    </row>
    <row r="61" spans="1:24" ht="15.75" x14ac:dyDescent="0.25">
      <c r="A61" s="104">
        <v>19</v>
      </c>
      <c r="B61" s="248"/>
      <c r="C61" s="109"/>
      <c r="D61" s="252"/>
      <c r="E61" s="252"/>
      <c r="F61" s="110"/>
      <c r="H61" s="101" t="s">
        <v>153</v>
      </c>
      <c r="I61" s="100"/>
      <c r="X61" s="98"/>
    </row>
    <row r="62" spans="1:24" ht="15.75" x14ac:dyDescent="0.25">
      <c r="A62" s="108">
        <v>20</v>
      </c>
      <c r="B62" s="248"/>
      <c r="C62" s="106" t="s">
        <v>148</v>
      </c>
      <c r="D62" s="253" t="s">
        <v>107</v>
      </c>
      <c r="E62" s="106" t="s">
        <v>107</v>
      </c>
      <c r="F62" s="110"/>
      <c r="H62" s="101" t="s">
        <v>154</v>
      </c>
      <c r="X62" s="98"/>
    </row>
    <row r="63" spans="1:24" ht="15.75" x14ac:dyDescent="0.25">
      <c r="A63" s="104">
        <v>21</v>
      </c>
      <c r="B63" s="250" t="s">
        <v>109</v>
      </c>
      <c r="C63" s="106" t="s">
        <v>155</v>
      </c>
      <c r="D63" s="253"/>
      <c r="E63" s="106" t="s">
        <v>151</v>
      </c>
      <c r="F63" s="110"/>
      <c r="H63" s="101" t="s">
        <v>156</v>
      </c>
      <c r="X63" s="98"/>
    </row>
    <row r="64" spans="1:24" ht="15.75" x14ac:dyDescent="0.25">
      <c r="A64" s="108">
        <v>22</v>
      </c>
      <c r="B64" s="250"/>
      <c r="C64" s="110"/>
      <c r="D64" s="253"/>
      <c r="E64" s="110"/>
      <c r="F64" s="110"/>
      <c r="H64" s="101" t="s">
        <v>157</v>
      </c>
      <c r="X64" s="98"/>
    </row>
    <row r="65" spans="1:24" ht="15.75" x14ac:dyDescent="0.25">
      <c r="A65" s="104">
        <v>23</v>
      </c>
      <c r="B65" s="250"/>
      <c r="C65" s="110"/>
      <c r="D65" s="253"/>
      <c r="E65" s="110"/>
      <c r="F65" s="110"/>
      <c r="H65" s="101"/>
      <c r="X65" s="98"/>
    </row>
    <row r="66" spans="1:24" ht="15.75" x14ac:dyDescent="0.25">
      <c r="A66" s="108">
        <v>24</v>
      </c>
      <c r="B66" s="250"/>
      <c r="C66" s="110"/>
      <c r="D66" s="253"/>
      <c r="E66" s="110"/>
      <c r="F66" s="110"/>
      <c r="H66" s="101" t="s">
        <v>158</v>
      </c>
      <c r="X66" s="98"/>
    </row>
    <row r="67" spans="1:24" ht="15.75" x14ac:dyDescent="0.25">
      <c r="A67" s="104">
        <v>25</v>
      </c>
      <c r="B67" s="250"/>
      <c r="C67" s="110"/>
      <c r="D67" s="252" t="s">
        <v>148</v>
      </c>
      <c r="E67" s="110"/>
      <c r="F67" s="110"/>
      <c r="H67" s="101" t="s">
        <v>159</v>
      </c>
      <c r="X67" s="98"/>
    </row>
    <row r="68" spans="1:24" ht="15.75" x14ac:dyDescent="0.25">
      <c r="A68" s="108">
        <v>26</v>
      </c>
      <c r="B68" s="250"/>
      <c r="C68" s="252" t="s">
        <v>148</v>
      </c>
      <c r="D68" s="252"/>
      <c r="E68" s="110"/>
      <c r="F68" s="110"/>
      <c r="H68" s="101"/>
      <c r="X68" s="98"/>
    </row>
    <row r="69" spans="1:24" ht="15.75" x14ac:dyDescent="0.25">
      <c r="A69" s="104">
        <v>27</v>
      </c>
      <c r="B69" s="248" t="s">
        <v>110</v>
      </c>
      <c r="C69" s="252"/>
      <c r="D69" s="252"/>
      <c r="E69" s="110"/>
      <c r="F69" s="110"/>
      <c r="H69" s="101"/>
      <c r="X69" s="98"/>
    </row>
    <row r="70" spans="1:24" ht="15.75" x14ac:dyDescent="0.25">
      <c r="A70" s="108">
        <v>28</v>
      </c>
      <c r="B70" s="248"/>
      <c r="C70" s="250" t="s">
        <v>109</v>
      </c>
      <c r="D70" s="252"/>
      <c r="E70" s="110"/>
      <c r="F70" s="110"/>
      <c r="H70" s="101" t="s">
        <v>160</v>
      </c>
      <c r="X70" s="98"/>
    </row>
    <row r="71" spans="1:24" ht="15.75" x14ac:dyDescent="0.25">
      <c r="A71" s="104">
        <v>29</v>
      </c>
      <c r="B71" s="248"/>
      <c r="C71" s="250"/>
      <c r="D71" s="252"/>
      <c r="E71" s="110"/>
      <c r="F71" s="110"/>
      <c r="H71" s="101"/>
      <c r="X71" s="98"/>
    </row>
    <row r="72" spans="1:24" ht="15.75" x14ac:dyDescent="0.25">
      <c r="A72" s="108">
        <v>30</v>
      </c>
      <c r="B72" s="248"/>
      <c r="C72" s="250"/>
      <c r="D72" s="250" t="s">
        <v>109</v>
      </c>
      <c r="E72" s="110"/>
      <c r="F72" s="110"/>
      <c r="H72" s="101" t="s">
        <v>161</v>
      </c>
      <c r="X72" s="98"/>
    </row>
    <row r="73" spans="1:24" ht="15.75" x14ac:dyDescent="0.25">
      <c r="A73" s="104">
        <v>31</v>
      </c>
      <c r="B73" s="248"/>
      <c r="C73" s="250"/>
      <c r="D73" s="250"/>
      <c r="E73" s="106" t="s">
        <v>148</v>
      </c>
      <c r="F73" s="110"/>
      <c r="H73" s="101"/>
      <c r="X73" s="98"/>
    </row>
    <row r="74" spans="1:24" ht="15.75" x14ac:dyDescent="0.25">
      <c r="A74" s="108">
        <v>32</v>
      </c>
      <c r="B74" s="248"/>
      <c r="C74" s="250"/>
      <c r="D74" s="250"/>
      <c r="E74" s="106" t="s">
        <v>155</v>
      </c>
      <c r="F74" s="110"/>
      <c r="H74" s="101" t="s">
        <v>162</v>
      </c>
      <c r="X74" s="98"/>
    </row>
    <row r="75" spans="1:24" ht="15.75" x14ac:dyDescent="0.25">
      <c r="A75" s="104">
        <v>33</v>
      </c>
      <c r="B75" s="248"/>
      <c r="C75" s="248" t="s">
        <v>110</v>
      </c>
      <c r="D75" s="250"/>
      <c r="E75" s="105" t="s">
        <v>109</v>
      </c>
      <c r="F75" s="105" t="s">
        <v>109</v>
      </c>
      <c r="H75" s="101"/>
      <c r="X75" s="98"/>
    </row>
    <row r="76" spans="1:24" ht="15.75" x14ac:dyDescent="0.25">
      <c r="A76" s="108">
        <v>34</v>
      </c>
      <c r="B76" s="251" t="s">
        <v>163</v>
      </c>
      <c r="C76" s="248"/>
      <c r="D76" s="250"/>
      <c r="E76" s="105" t="s">
        <v>150</v>
      </c>
      <c r="F76" s="105" t="s">
        <v>150</v>
      </c>
      <c r="H76" s="101" t="s">
        <v>164</v>
      </c>
      <c r="X76" s="98"/>
    </row>
    <row r="77" spans="1:24" ht="15.75" x14ac:dyDescent="0.25">
      <c r="A77" s="104">
        <v>35</v>
      </c>
      <c r="B77" s="251"/>
      <c r="C77" s="251" t="s">
        <v>163</v>
      </c>
      <c r="D77" s="248" t="s">
        <v>110</v>
      </c>
      <c r="E77" s="248" t="s">
        <v>110</v>
      </c>
      <c r="F77" s="109"/>
      <c r="H77" s="101"/>
      <c r="X77" s="98"/>
    </row>
    <row r="78" spans="1:24" ht="15.75" x14ac:dyDescent="0.25">
      <c r="A78" s="108">
        <v>36</v>
      </c>
      <c r="B78" s="251"/>
      <c r="C78" s="251"/>
      <c r="D78" s="248"/>
      <c r="E78" s="248"/>
      <c r="F78" s="111" t="s">
        <v>110</v>
      </c>
      <c r="H78" s="101" t="s">
        <v>165</v>
      </c>
      <c r="X78" s="98"/>
    </row>
    <row r="79" spans="1:24" ht="15.75" x14ac:dyDescent="0.25">
      <c r="A79" s="249" t="s">
        <v>166</v>
      </c>
      <c r="B79" s="249"/>
      <c r="C79" s="249"/>
      <c r="D79" s="249"/>
      <c r="E79" s="249"/>
      <c r="F79" s="249"/>
      <c r="H79" s="101"/>
      <c r="X79" s="98"/>
    </row>
    <row r="80" spans="1:24" ht="15.75" x14ac:dyDescent="0.25">
      <c r="A80" s="100"/>
      <c r="B80" s="100"/>
      <c r="C80" s="100"/>
      <c r="D80" s="100"/>
      <c r="E80" s="100"/>
      <c r="F80" s="100"/>
      <c r="H80" s="101" t="s">
        <v>167</v>
      </c>
      <c r="X80" s="98"/>
    </row>
    <row r="81" spans="1:24" ht="15.75" x14ac:dyDescent="0.25">
      <c r="A81" s="100"/>
      <c r="B81" s="100"/>
      <c r="C81" s="100"/>
      <c r="D81" s="100"/>
      <c r="E81" s="100"/>
      <c r="F81" s="100"/>
      <c r="H81" s="101"/>
      <c r="X81" s="98"/>
    </row>
    <row r="82" spans="1:24" ht="15.75" x14ac:dyDescent="0.25">
      <c r="A82" s="100"/>
      <c r="B82" s="100"/>
      <c r="C82" s="100"/>
      <c r="D82" s="100"/>
      <c r="E82" s="100"/>
      <c r="F82" s="100"/>
      <c r="H82" s="101" t="s">
        <v>168</v>
      </c>
      <c r="X82" s="98"/>
    </row>
    <row r="83" spans="1:24" ht="15.75" x14ac:dyDescent="0.25">
      <c r="A83" s="100"/>
      <c r="B83" s="100"/>
      <c r="C83" s="100"/>
      <c r="D83" s="100"/>
      <c r="E83" s="100"/>
      <c r="F83" s="100"/>
      <c r="H83" s="101"/>
      <c r="X83" s="98"/>
    </row>
    <row r="84" spans="1:24" ht="15.75" x14ac:dyDescent="0.25">
      <c r="A84" t="s">
        <v>169</v>
      </c>
      <c r="B84" s="100"/>
      <c r="C84" s="100"/>
      <c r="D84" s="100"/>
      <c r="E84" s="100"/>
      <c r="F84" s="100"/>
      <c r="H84" s="101"/>
      <c r="X84" s="98"/>
    </row>
    <row r="85" spans="1:24" ht="15.75" x14ac:dyDescent="0.25">
      <c r="A85" t="s">
        <v>170</v>
      </c>
      <c r="B85" s="100"/>
      <c r="C85" s="100"/>
      <c r="D85" s="100"/>
      <c r="E85" s="100"/>
      <c r="F85" s="100"/>
      <c r="H85" s="101"/>
      <c r="X85" s="98"/>
    </row>
    <row r="86" spans="1:24" ht="15.75" x14ac:dyDescent="0.25">
      <c r="A86" s="100" t="s">
        <v>171</v>
      </c>
      <c r="B86" s="100"/>
      <c r="C86" s="100"/>
      <c r="D86" s="100"/>
      <c r="E86" s="100"/>
      <c r="F86" s="100"/>
      <c r="H86" s="101"/>
      <c r="X86" s="98"/>
    </row>
    <row r="87" spans="1:24" ht="15.75" x14ac:dyDescent="0.25">
      <c r="A87" s="100"/>
      <c r="B87" s="100"/>
      <c r="C87" s="100"/>
      <c r="D87" s="100"/>
      <c r="E87" s="100"/>
      <c r="F87" s="100"/>
      <c r="G87" s="100"/>
      <c r="H87" s="101"/>
      <c r="I87" s="100"/>
      <c r="J87" s="100"/>
      <c r="K87" s="100"/>
      <c r="L87" s="100"/>
      <c r="M87" s="100"/>
      <c r="N87" s="100"/>
      <c r="O87" s="100"/>
      <c r="P87" s="100"/>
      <c r="Q87" s="100"/>
      <c r="R87" s="100"/>
      <c r="S87" s="100"/>
      <c r="T87" s="100"/>
      <c r="U87" s="100"/>
      <c r="V87" s="100"/>
      <c r="W87" s="100"/>
      <c r="X87" s="99"/>
    </row>
    <row r="88" spans="1:24" ht="15.75" x14ac:dyDescent="0.25">
      <c r="A88" s="100"/>
      <c r="B88" s="100"/>
      <c r="C88" s="100"/>
      <c r="D88" s="100"/>
      <c r="E88" s="100"/>
      <c r="F88" s="100"/>
      <c r="G88" s="100"/>
      <c r="H88" s="101"/>
      <c r="I88" s="100"/>
      <c r="J88" s="100"/>
      <c r="K88" s="100"/>
      <c r="L88" s="100"/>
      <c r="M88" s="100"/>
      <c r="N88" s="100"/>
      <c r="O88" s="100"/>
      <c r="P88" s="100"/>
      <c r="Q88" s="100"/>
      <c r="R88" s="100"/>
      <c r="S88" s="100"/>
      <c r="T88" s="100"/>
      <c r="U88" s="100"/>
      <c r="V88" s="100"/>
      <c r="W88" s="100"/>
      <c r="X88" s="99"/>
    </row>
    <row r="89" spans="1:24" ht="15.75" x14ac:dyDescent="0.25">
      <c r="A89" s="100"/>
      <c r="B89" s="100"/>
      <c r="C89" s="100"/>
      <c r="D89" s="100"/>
      <c r="E89" s="100"/>
      <c r="F89" s="100"/>
      <c r="G89" s="100"/>
      <c r="H89" s="101"/>
      <c r="I89" s="100"/>
      <c r="J89" s="100"/>
      <c r="K89" s="100"/>
      <c r="L89" s="100"/>
      <c r="M89" s="100"/>
      <c r="N89" s="100"/>
      <c r="O89" s="100"/>
      <c r="P89" s="100"/>
      <c r="Q89" s="100"/>
      <c r="R89" s="100"/>
      <c r="S89" s="100"/>
      <c r="T89" s="100"/>
      <c r="U89" s="100"/>
      <c r="V89" s="100"/>
      <c r="W89" s="100"/>
      <c r="X89" s="99"/>
    </row>
    <row r="90" spans="1:24" ht="15.75" x14ac:dyDescent="0.25">
      <c r="A90" s="100"/>
      <c r="B90" s="100"/>
      <c r="C90" s="100"/>
      <c r="D90" s="100"/>
      <c r="E90" s="100"/>
      <c r="F90" s="100"/>
      <c r="G90" s="100"/>
      <c r="H90" s="101"/>
      <c r="I90" s="100"/>
      <c r="J90" s="100"/>
      <c r="K90" s="100"/>
      <c r="L90" s="100"/>
      <c r="M90" s="100"/>
      <c r="N90" s="100"/>
      <c r="O90" s="100"/>
      <c r="P90" s="100"/>
      <c r="Q90" s="100"/>
      <c r="R90" s="100"/>
      <c r="S90" s="100"/>
      <c r="T90" s="100"/>
      <c r="U90" s="100"/>
      <c r="V90" s="100"/>
      <c r="W90" s="100"/>
      <c r="X90" s="99"/>
    </row>
    <row r="91" spans="1:24" ht="15.75" x14ac:dyDescent="0.25">
      <c r="A91" s="100"/>
      <c r="B91" s="100"/>
      <c r="C91" s="100"/>
      <c r="D91" s="100"/>
      <c r="E91" s="100"/>
      <c r="F91" s="100"/>
      <c r="G91" s="100"/>
      <c r="H91" s="101"/>
      <c r="I91" s="100"/>
      <c r="J91" s="100"/>
      <c r="K91" s="100"/>
      <c r="L91" s="100"/>
      <c r="M91" s="100"/>
      <c r="N91" s="100"/>
      <c r="O91" s="100"/>
      <c r="P91" s="100"/>
      <c r="Q91" s="100"/>
      <c r="R91" s="100"/>
      <c r="S91" s="100"/>
      <c r="T91" s="100"/>
      <c r="U91" s="100"/>
      <c r="V91" s="100"/>
      <c r="W91" s="100"/>
      <c r="X91" s="99"/>
    </row>
    <row r="92" spans="1:24" ht="15.75" x14ac:dyDescent="0.25">
      <c r="A92" s="100"/>
      <c r="B92" s="100"/>
      <c r="C92" s="100"/>
      <c r="D92" s="100"/>
      <c r="E92" s="100"/>
      <c r="F92" s="100"/>
      <c r="G92" s="100"/>
      <c r="H92" s="101"/>
      <c r="I92" s="100"/>
      <c r="J92" s="100"/>
      <c r="K92" s="100"/>
      <c r="L92" s="100"/>
      <c r="M92" s="100"/>
      <c r="N92" s="100"/>
      <c r="O92" s="100"/>
      <c r="P92" s="100"/>
      <c r="Q92" s="100"/>
      <c r="R92" s="100"/>
      <c r="S92" s="100"/>
      <c r="T92" s="100"/>
      <c r="U92" s="100"/>
      <c r="V92" s="100"/>
      <c r="W92" s="100"/>
      <c r="X92" s="99"/>
    </row>
    <row r="93" spans="1:24" ht="15.75" x14ac:dyDescent="0.25">
      <c r="A93" s="100"/>
      <c r="B93" s="100"/>
      <c r="C93" s="100"/>
      <c r="D93" s="100"/>
      <c r="E93" s="100"/>
      <c r="F93" s="100"/>
      <c r="G93" s="100"/>
      <c r="H93" s="101"/>
      <c r="I93" s="100"/>
      <c r="J93" s="100"/>
      <c r="K93" s="100"/>
      <c r="L93" s="100"/>
      <c r="M93" s="100"/>
      <c r="N93" s="100"/>
      <c r="O93" s="100"/>
      <c r="P93" s="100"/>
      <c r="Q93" s="100"/>
      <c r="R93" s="100"/>
      <c r="S93" s="100"/>
      <c r="T93" s="100"/>
      <c r="U93" s="100"/>
      <c r="V93" s="100"/>
      <c r="W93" s="100"/>
      <c r="X93" s="99"/>
    </row>
    <row r="94" spans="1:24" ht="15.75" x14ac:dyDescent="0.25">
      <c r="A94" s="100"/>
      <c r="B94" s="100"/>
      <c r="C94" s="100"/>
      <c r="D94" s="100"/>
      <c r="E94" s="100"/>
      <c r="F94" s="100"/>
      <c r="G94" s="100"/>
      <c r="H94" s="101"/>
      <c r="I94" s="100"/>
      <c r="J94" s="100"/>
      <c r="K94" s="100"/>
      <c r="L94" s="100"/>
      <c r="M94" s="100"/>
      <c r="N94" s="100"/>
      <c r="O94" s="100"/>
      <c r="P94" s="100"/>
      <c r="Q94" s="100"/>
      <c r="R94" s="100"/>
      <c r="S94" s="100"/>
      <c r="T94" s="100"/>
      <c r="U94" s="100"/>
      <c r="V94" s="100"/>
      <c r="W94" s="100"/>
      <c r="X94" s="99"/>
    </row>
    <row r="95" spans="1:24" ht="15.75" x14ac:dyDescent="0.25">
      <c r="A95" s="100"/>
      <c r="B95" s="100"/>
      <c r="C95" s="100"/>
      <c r="D95" s="100"/>
      <c r="E95" s="100"/>
      <c r="F95" s="100"/>
      <c r="G95" s="100"/>
      <c r="H95" s="101"/>
      <c r="I95" s="100"/>
      <c r="J95" s="100"/>
      <c r="K95" s="100"/>
      <c r="L95" s="100"/>
      <c r="M95" s="100"/>
      <c r="N95" s="100"/>
      <c r="O95" s="100"/>
      <c r="P95" s="100"/>
      <c r="Q95" s="100"/>
      <c r="R95" s="100"/>
      <c r="S95" s="100"/>
      <c r="T95" s="100"/>
      <c r="U95" s="100"/>
      <c r="V95" s="100"/>
      <c r="W95" s="100"/>
      <c r="X95" s="99"/>
    </row>
    <row r="96" spans="1:24" ht="15.75" x14ac:dyDescent="0.25">
      <c r="A96" s="100"/>
      <c r="B96" s="100"/>
      <c r="C96" s="100"/>
      <c r="D96" s="100"/>
      <c r="E96" s="100"/>
      <c r="F96" s="100"/>
      <c r="G96" s="100"/>
      <c r="H96" s="101"/>
      <c r="I96" s="100"/>
      <c r="J96" s="100"/>
      <c r="K96" s="100"/>
      <c r="L96" s="100"/>
      <c r="M96" s="100"/>
      <c r="N96" s="100"/>
      <c r="O96" s="100"/>
      <c r="P96" s="100"/>
      <c r="Q96" s="100"/>
      <c r="R96" s="100"/>
      <c r="S96" s="100"/>
      <c r="T96" s="100"/>
      <c r="U96" s="100"/>
      <c r="V96" s="100"/>
      <c r="W96" s="100"/>
      <c r="X96" s="99"/>
    </row>
    <row r="97" spans="1:24" ht="15.75" x14ac:dyDescent="0.25">
      <c r="A97" s="100"/>
      <c r="B97" s="100"/>
      <c r="C97" s="100"/>
      <c r="D97" s="100"/>
      <c r="E97" s="100"/>
      <c r="F97" s="100"/>
      <c r="G97" s="100"/>
      <c r="H97" s="101"/>
      <c r="I97" s="100"/>
      <c r="J97" s="100"/>
      <c r="K97" s="100"/>
      <c r="L97" s="100"/>
      <c r="M97" s="100"/>
      <c r="N97" s="100"/>
      <c r="O97" s="100"/>
      <c r="P97" s="100"/>
      <c r="Q97" s="100"/>
      <c r="R97" s="100"/>
      <c r="S97" s="100"/>
      <c r="T97" s="100"/>
      <c r="U97" s="100"/>
      <c r="V97" s="100"/>
      <c r="W97" s="100"/>
      <c r="X97" s="99"/>
    </row>
    <row r="98" spans="1:24" ht="15.75" x14ac:dyDescent="0.25">
      <c r="A98" s="100"/>
      <c r="B98" s="100"/>
      <c r="C98" s="100"/>
      <c r="D98" s="100"/>
      <c r="E98" s="100"/>
      <c r="F98" s="100"/>
      <c r="G98" s="100"/>
      <c r="H98" s="101"/>
      <c r="I98" s="100"/>
      <c r="J98" s="100"/>
      <c r="K98" s="100"/>
      <c r="L98" s="100"/>
      <c r="M98" s="100"/>
      <c r="N98" s="100"/>
      <c r="O98" s="100"/>
      <c r="P98" s="100"/>
      <c r="Q98" s="100"/>
      <c r="R98" s="100"/>
      <c r="S98" s="100"/>
      <c r="T98" s="100"/>
      <c r="U98" s="100"/>
      <c r="V98" s="100"/>
      <c r="W98" s="100"/>
      <c r="X98" s="99"/>
    </row>
    <row r="99" spans="1:24" ht="15.75" x14ac:dyDescent="0.25">
      <c r="A99" s="100"/>
      <c r="B99" s="100"/>
      <c r="C99" s="100"/>
      <c r="D99" s="100"/>
      <c r="E99" s="100"/>
      <c r="F99" s="100"/>
      <c r="G99" s="100"/>
      <c r="H99" s="101"/>
      <c r="I99" s="100"/>
      <c r="J99" s="100"/>
      <c r="K99" s="100"/>
      <c r="L99" s="100"/>
      <c r="M99" s="100"/>
      <c r="N99" s="100"/>
      <c r="O99" s="100"/>
      <c r="P99" s="100"/>
      <c r="Q99" s="100"/>
      <c r="R99" s="100"/>
      <c r="S99" s="100"/>
      <c r="T99" s="100"/>
      <c r="U99" s="100"/>
      <c r="V99" s="100"/>
      <c r="W99" s="100"/>
      <c r="X99" s="99"/>
    </row>
    <row r="100" spans="1:24" ht="15.75" x14ac:dyDescent="0.25">
      <c r="A100" s="100"/>
      <c r="B100" s="100"/>
      <c r="C100" s="100"/>
      <c r="D100" s="100"/>
      <c r="E100" s="100"/>
      <c r="F100" s="100"/>
      <c r="G100" s="100"/>
      <c r="H100" s="101"/>
      <c r="I100" s="100"/>
      <c r="J100" s="100"/>
      <c r="K100" s="100"/>
      <c r="L100" s="100"/>
      <c r="M100" s="100"/>
      <c r="N100" s="100"/>
      <c r="O100" s="100"/>
      <c r="P100" s="100"/>
      <c r="Q100" s="100"/>
      <c r="R100" s="100"/>
      <c r="S100" s="100"/>
      <c r="T100" s="100"/>
      <c r="U100" s="100"/>
      <c r="V100" s="100"/>
      <c r="W100" s="100"/>
      <c r="X100" s="99"/>
    </row>
    <row r="101" spans="1:24" ht="15.75" x14ac:dyDescent="0.25">
      <c r="A101" s="100"/>
      <c r="B101" s="100"/>
      <c r="C101" s="100"/>
      <c r="D101" s="100"/>
      <c r="E101" s="100"/>
      <c r="F101" s="100"/>
      <c r="G101" s="100"/>
      <c r="H101" s="101"/>
      <c r="I101" s="100"/>
      <c r="J101" s="100"/>
      <c r="K101" s="100"/>
      <c r="L101" s="100"/>
      <c r="M101" s="100"/>
      <c r="N101" s="100"/>
      <c r="O101" s="100"/>
      <c r="P101" s="100"/>
      <c r="Q101" s="100"/>
      <c r="R101" s="100"/>
      <c r="S101" s="100"/>
      <c r="T101" s="100"/>
      <c r="U101" s="100"/>
      <c r="V101" s="100"/>
      <c r="W101" s="100"/>
      <c r="X101" s="99"/>
    </row>
    <row r="102" spans="1:24" ht="15.75" x14ac:dyDescent="0.25">
      <c r="A102" s="100"/>
      <c r="B102" s="100"/>
      <c r="C102" s="100"/>
      <c r="D102" s="100"/>
      <c r="E102" s="100"/>
      <c r="F102" s="100"/>
      <c r="G102" s="100"/>
      <c r="H102" s="101"/>
      <c r="I102" s="100"/>
      <c r="J102" s="100"/>
      <c r="K102" s="100"/>
      <c r="L102" s="100"/>
      <c r="M102" s="100"/>
      <c r="N102" s="100"/>
      <c r="O102" s="100"/>
      <c r="P102" s="100"/>
      <c r="Q102" s="100"/>
      <c r="R102" s="100"/>
      <c r="S102" s="100"/>
      <c r="T102" s="100"/>
      <c r="U102" s="100"/>
      <c r="V102" s="100"/>
      <c r="W102" s="100"/>
      <c r="X102" s="99"/>
    </row>
    <row r="103" spans="1:24" ht="15.75" x14ac:dyDescent="0.25">
      <c r="A103" s="100"/>
      <c r="B103" s="100"/>
      <c r="C103" s="100"/>
      <c r="D103" s="100"/>
      <c r="E103" s="100"/>
      <c r="F103" s="100"/>
      <c r="G103" s="100"/>
      <c r="H103" s="101"/>
      <c r="I103" s="100"/>
      <c r="J103" s="100"/>
      <c r="K103" s="100"/>
      <c r="L103" s="100"/>
      <c r="M103" s="100"/>
      <c r="N103" s="100"/>
      <c r="O103" s="100"/>
      <c r="P103" s="100"/>
      <c r="Q103" s="100"/>
      <c r="R103" s="100"/>
      <c r="S103" s="100"/>
      <c r="T103" s="100"/>
      <c r="U103" s="100"/>
      <c r="V103" s="100"/>
      <c r="W103" s="100"/>
      <c r="X103" s="99"/>
    </row>
    <row r="104" spans="1:24" ht="15.75" x14ac:dyDescent="0.25">
      <c r="A104" s="100"/>
      <c r="B104" s="100"/>
      <c r="C104" s="100"/>
      <c r="D104" s="100"/>
      <c r="E104" s="100"/>
      <c r="F104" s="100"/>
      <c r="G104" s="100"/>
      <c r="H104" s="101"/>
      <c r="I104" s="100"/>
      <c r="J104" s="100"/>
      <c r="K104" s="100"/>
      <c r="L104" s="100"/>
      <c r="M104" s="100"/>
      <c r="N104" s="100"/>
      <c r="O104" s="100"/>
      <c r="P104" s="100"/>
      <c r="Q104" s="100"/>
      <c r="R104" s="100"/>
      <c r="S104" s="100"/>
      <c r="T104" s="100"/>
      <c r="U104" s="100"/>
      <c r="V104" s="100"/>
      <c r="W104" s="100"/>
      <c r="X104" s="99"/>
    </row>
    <row r="105" spans="1:24" ht="15.75" x14ac:dyDescent="0.25">
      <c r="A105" s="100"/>
      <c r="B105" s="100"/>
      <c r="C105" s="100"/>
      <c r="D105" s="100"/>
      <c r="E105" s="100"/>
      <c r="F105" s="100"/>
      <c r="G105" s="100"/>
      <c r="H105" s="101"/>
      <c r="I105" s="100"/>
      <c r="J105" s="100"/>
      <c r="K105" s="100"/>
      <c r="L105" s="100"/>
      <c r="M105" s="100"/>
      <c r="N105" s="100"/>
      <c r="O105" s="100"/>
      <c r="P105" s="100"/>
      <c r="Q105" s="100"/>
      <c r="R105" s="100"/>
      <c r="S105" s="100"/>
      <c r="T105" s="100"/>
      <c r="U105" s="100"/>
      <c r="V105" s="100"/>
      <c r="W105" s="100"/>
      <c r="X105" s="99"/>
    </row>
    <row r="106" spans="1:24" ht="15.75" x14ac:dyDescent="0.25">
      <c r="A106" s="100"/>
      <c r="B106" s="100"/>
      <c r="C106" s="100"/>
      <c r="D106" s="100"/>
      <c r="E106" s="100"/>
      <c r="F106" s="100"/>
      <c r="G106" s="100"/>
      <c r="H106" s="101"/>
      <c r="I106" s="100"/>
      <c r="J106" s="100"/>
      <c r="K106" s="100"/>
      <c r="L106" s="100"/>
      <c r="M106" s="100"/>
      <c r="N106" s="100"/>
      <c r="O106" s="100"/>
      <c r="P106" s="100"/>
      <c r="Q106" s="100"/>
      <c r="R106" s="100"/>
      <c r="S106" s="100"/>
      <c r="T106" s="100"/>
      <c r="U106" s="100"/>
      <c r="V106" s="100"/>
      <c r="W106" s="100"/>
      <c r="X106" s="99"/>
    </row>
    <row r="107" spans="1:24" ht="15.75" x14ac:dyDescent="0.25">
      <c r="A107" s="100"/>
      <c r="B107" s="100"/>
      <c r="C107" s="100"/>
      <c r="D107" s="100"/>
      <c r="E107" s="100"/>
      <c r="F107" s="100"/>
      <c r="G107" s="100"/>
      <c r="H107" s="101"/>
      <c r="I107" s="100"/>
      <c r="J107" s="100"/>
      <c r="K107" s="100"/>
      <c r="L107" s="100"/>
      <c r="M107" s="100"/>
      <c r="N107" s="100"/>
      <c r="O107" s="100"/>
      <c r="P107" s="100"/>
      <c r="Q107" s="100"/>
      <c r="R107" s="100"/>
      <c r="S107" s="100"/>
      <c r="T107" s="100"/>
      <c r="U107" s="100"/>
      <c r="V107" s="100"/>
      <c r="W107" s="100"/>
      <c r="X107" s="99"/>
    </row>
    <row r="108" spans="1:24" ht="15.75" x14ac:dyDescent="0.25">
      <c r="A108" s="100"/>
      <c r="B108" s="100"/>
      <c r="C108" s="100"/>
      <c r="D108" s="100"/>
      <c r="E108" s="100"/>
      <c r="F108" s="100"/>
      <c r="G108" s="100"/>
      <c r="H108" s="101"/>
      <c r="I108" s="100"/>
      <c r="J108" s="100"/>
      <c r="K108" s="100"/>
      <c r="L108" s="100"/>
      <c r="M108" s="100"/>
      <c r="N108" s="100"/>
      <c r="O108" s="100"/>
      <c r="P108" s="100"/>
      <c r="Q108" s="100"/>
      <c r="R108" s="100"/>
      <c r="S108" s="100"/>
      <c r="T108" s="100"/>
      <c r="U108" s="100"/>
      <c r="V108" s="100"/>
      <c r="W108" s="100"/>
      <c r="X108" s="99"/>
    </row>
    <row r="109" spans="1:24" ht="15.75" x14ac:dyDescent="0.25">
      <c r="A109" s="100"/>
      <c r="B109" s="100"/>
      <c r="C109" s="100"/>
      <c r="D109" s="100"/>
      <c r="E109" s="100"/>
      <c r="F109" s="100"/>
      <c r="G109" s="100"/>
      <c r="H109" s="101"/>
      <c r="I109" s="100"/>
      <c r="J109" s="100"/>
      <c r="K109" s="100"/>
      <c r="L109" s="100"/>
      <c r="M109" s="100"/>
      <c r="N109" s="100"/>
      <c r="O109" s="100"/>
      <c r="P109" s="100"/>
      <c r="Q109" s="100"/>
      <c r="R109" s="100"/>
      <c r="S109" s="100"/>
      <c r="T109" s="100"/>
      <c r="U109" s="100"/>
      <c r="V109" s="100"/>
      <c r="W109" s="100"/>
      <c r="X109" s="99"/>
    </row>
    <row r="110" spans="1:24" ht="15.75" x14ac:dyDescent="0.25">
      <c r="A110" s="100"/>
      <c r="B110" s="100"/>
      <c r="C110" s="100"/>
      <c r="D110" s="100"/>
      <c r="E110" s="100"/>
      <c r="F110" s="100"/>
      <c r="G110" s="100"/>
      <c r="H110" s="101"/>
      <c r="I110" s="100"/>
      <c r="J110" s="100"/>
      <c r="K110" s="100"/>
      <c r="L110" s="100"/>
      <c r="M110" s="100"/>
      <c r="N110" s="100"/>
      <c r="O110" s="100"/>
      <c r="P110" s="100"/>
      <c r="Q110" s="100"/>
      <c r="R110" s="100"/>
      <c r="S110" s="100"/>
      <c r="T110" s="100"/>
      <c r="U110" s="100"/>
      <c r="V110" s="100"/>
      <c r="W110" s="100"/>
      <c r="X110" s="99"/>
    </row>
    <row r="111" spans="1:24" ht="15.75" x14ac:dyDescent="0.25">
      <c r="A111" s="100"/>
      <c r="B111" s="100"/>
      <c r="C111" s="100"/>
      <c r="D111" s="100"/>
      <c r="E111" s="100"/>
      <c r="F111" s="100"/>
      <c r="G111" s="100"/>
      <c r="H111" s="101"/>
      <c r="I111" s="100"/>
      <c r="J111" s="100"/>
      <c r="K111" s="100"/>
      <c r="L111" s="100"/>
      <c r="M111" s="100"/>
      <c r="N111" s="100"/>
      <c r="O111" s="100"/>
      <c r="P111" s="100"/>
      <c r="Q111" s="100"/>
      <c r="R111" s="100"/>
      <c r="S111" s="100"/>
      <c r="T111" s="100"/>
      <c r="U111" s="100"/>
      <c r="V111" s="100"/>
      <c r="W111" s="100"/>
      <c r="X111" s="99"/>
    </row>
    <row r="112" spans="1:24" ht="15.75" x14ac:dyDescent="0.25">
      <c r="A112" s="100"/>
      <c r="B112" s="100"/>
      <c r="C112" s="100"/>
      <c r="D112" s="100"/>
      <c r="E112" s="100"/>
      <c r="F112" s="100"/>
      <c r="G112" s="100"/>
      <c r="H112" s="101"/>
      <c r="I112" s="100"/>
      <c r="J112" s="100"/>
      <c r="K112" s="100"/>
      <c r="L112" s="100"/>
      <c r="M112" s="100"/>
      <c r="N112" s="100"/>
      <c r="O112" s="100"/>
      <c r="P112" s="100"/>
      <c r="Q112" s="100"/>
      <c r="R112" s="100"/>
      <c r="S112" s="100"/>
      <c r="T112" s="100"/>
      <c r="U112" s="100"/>
      <c r="V112" s="100"/>
      <c r="W112" s="100"/>
      <c r="X112" s="99"/>
    </row>
    <row r="113" spans="1:24" ht="15.75" x14ac:dyDescent="0.25">
      <c r="A113" s="100"/>
      <c r="B113" s="100"/>
      <c r="C113" s="100"/>
      <c r="D113" s="100"/>
      <c r="E113" s="100"/>
      <c r="F113" s="100"/>
      <c r="G113" s="100"/>
      <c r="H113" s="101"/>
      <c r="I113" s="100"/>
      <c r="J113" s="100"/>
      <c r="K113" s="100"/>
      <c r="L113" s="100"/>
      <c r="M113" s="100"/>
      <c r="N113" s="100"/>
      <c r="O113" s="100"/>
      <c r="P113" s="100"/>
      <c r="Q113" s="100"/>
      <c r="R113" s="100"/>
      <c r="S113" s="100"/>
      <c r="T113" s="100"/>
      <c r="U113" s="100"/>
      <c r="V113" s="100"/>
      <c r="W113" s="100"/>
      <c r="X113" s="99"/>
    </row>
    <row r="114" spans="1:24" ht="15.75" x14ac:dyDescent="0.25">
      <c r="A114" s="100"/>
      <c r="B114" s="100"/>
      <c r="C114" s="100"/>
      <c r="D114" s="100"/>
      <c r="E114" s="100"/>
      <c r="F114" s="100"/>
      <c r="G114" s="100"/>
      <c r="H114" s="101"/>
      <c r="I114" s="100"/>
      <c r="J114" s="100"/>
      <c r="K114" s="100"/>
      <c r="L114" s="100"/>
      <c r="M114" s="100"/>
      <c r="N114" s="100"/>
      <c r="O114" s="100"/>
      <c r="P114" s="100"/>
      <c r="Q114" s="100"/>
      <c r="R114" s="100"/>
      <c r="S114" s="100"/>
      <c r="T114" s="100"/>
      <c r="U114" s="100"/>
      <c r="V114" s="100"/>
      <c r="W114" s="100"/>
      <c r="X114" s="99"/>
    </row>
    <row r="115" spans="1:24" ht="15.75" x14ac:dyDescent="0.25">
      <c r="A115" s="100"/>
      <c r="B115" s="100"/>
      <c r="C115" s="100"/>
      <c r="D115" s="100"/>
      <c r="E115" s="100"/>
      <c r="F115" s="100"/>
      <c r="G115" s="100"/>
      <c r="H115" s="101"/>
      <c r="I115" s="100"/>
      <c r="J115" s="100"/>
      <c r="K115" s="100"/>
      <c r="L115" s="100"/>
      <c r="M115" s="100"/>
      <c r="N115" s="100"/>
      <c r="O115" s="100"/>
      <c r="P115" s="100"/>
      <c r="Q115" s="100"/>
      <c r="R115" s="100"/>
      <c r="S115" s="100"/>
      <c r="T115" s="100"/>
      <c r="U115" s="100"/>
      <c r="V115" s="100"/>
      <c r="W115" s="100"/>
      <c r="X115" s="99"/>
    </row>
    <row r="116" spans="1:24" ht="15.75" x14ac:dyDescent="0.25">
      <c r="A116" s="100"/>
      <c r="B116" s="100"/>
      <c r="C116" s="100"/>
      <c r="D116" s="100"/>
      <c r="E116" s="100"/>
      <c r="F116" s="100"/>
      <c r="G116" s="100"/>
      <c r="H116" s="101"/>
      <c r="I116" s="100"/>
      <c r="J116" s="100"/>
      <c r="K116" s="100"/>
      <c r="L116" s="100"/>
      <c r="M116" s="100"/>
      <c r="N116" s="100"/>
      <c r="O116" s="100"/>
      <c r="P116" s="100"/>
      <c r="Q116" s="100"/>
      <c r="R116" s="100"/>
      <c r="S116" s="100"/>
      <c r="T116" s="100"/>
      <c r="U116" s="100"/>
      <c r="V116" s="100"/>
      <c r="W116" s="100"/>
      <c r="X116" s="99"/>
    </row>
    <row r="117" spans="1:24" ht="15.75" x14ac:dyDescent="0.25">
      <c r="A117" s="100"/>
      <c r="B117" s="100"/>
      <c r="C117" s="100"/>
      <c r="D117" s="100"/>
      <c r="E117" s="100"/>
      <c r="F117" s="100"/>
      <c r="G117" s="100"/>
      <c r="H117" s="101"/>
      <c r="I117" s="100"/>
      <c r="J117" s="100"/>
      <c r="K117" s="100"/>
      <c r="L117" s="100"/>
      <c r="M117" s="100"/>
      <c r="N117" s="100"/>
      <c r="O117" s="100"/>
      <c r="P117" s="100"/>
      <c r="Q117" s="100"/>
      <c r="R117" s="100"/>
      <c r="S117" s="100"/>
      <c r="T117" s="100"/>
      <c r="U117" s="100"/>
      <c r="V117" s="100"/>
      <c r="W117" s="100"/>
      <c r="X117" s="99"/>
    </row>
    <row r="118" spans="1:24" ht="15.75" x14ac:dyDescent="0.25">
      <c r="A118" s="100"/>
      <c r="B118" s="100"/>
      <c r="C118" s="100"/>
      <c r="D118" s="100"/>
      <c r="E118" s="100"/>
      <c r="F118" s="100"/>
      <c r="G118" s="100"/>
      <c r="H118" s="101"/>
      <c r="I118" s="100"/>
      <c r="J118" s="100"/>
      <c r="K118" s="100"/>
      <c r="L118" s="100"/>
      <c r="M118" s="100"/>
      <c r="N118" s="100"/>
      <c r="O118" s="100"/>
      <c r="P118" s="100"/>
      <c r="Q118" s="100"/>
      <c r="R118" s="100"/>
      <c r="S118" s="100"/>
      <c r="T118" s="100"/>
      <c r="U118" s="100"/>
      <c r="V118" s="100"/>
      <c r="W118" s="100"/>
      <c r="X118" s="99"/>
    </row>
    <row r="119" spans="1:24" ht="15.75" x14ac:dyDescent="0.25">
      <c r="A119" s="100"/>
      <c r="B119" s="100"/>
      <c r="C119" s="100"/>
      <c r="D119" s="100"/>
      <c r="E119" s="100"/>
      <c r="F119" s="100"/>
      <c r="G119" s="100"/>
      <c r="H119" s="101"/>
      <c r="I119" s="100"/>
      <c r="J119" s="100"/>
      <c r="K119" s="100"/>
      <c r="L119" s="100"/>
      <c r="M119" s="100"/>
      <c r="N119" s="100"/>
      <c r="O119" s="100"/>
      <c r="P119" s="100"/>
      <c r="Q119" s="100"/>
      <c r="R119" s="100"/>
      <c r="S119" s="100"/>
      <c r="T119" s="100"/>
      <c r="U119" s="100"/>
      <c r="V119" s="100"/>
      <c r="W119" s="100"/>
      <c r="X119" s="99"/>
    </row>
    <row r="120" spans="1:24" ht="15.75" x14ac:dyDescent="0.25">
      <c r="A120" s="100"/>
      <c r="B120" s="100"/>
      <c r="C120" s="100"/>
      <c r="D120" s="100"/>
      <c r="E120" s="100"/>
      <c r="F120" s="100"/>
      <c r="G120" s="100"/>
      <c r="H120" s="101"/>
      <c r="I120" s="100"/>
      <c r="J120" s="100"/>
      <c r="K120" s="100"/>
      <c r="L120" s="100"/>
      <c r="M120" s="100"/>
      <c r="N120" s="100"/>
      <c r="O120" s="100"/>
      <c r="P120" s="100"/>
      <c r="Q120" s="100"/>
      <c r="R120" s="100"/>
      <c r="S120" s="100"/>
      <c r="T120" s="100"/>
      <c r="U120" s="100"/>
      <c r="V120" s="100"/>
      <c r="W120" s="100"/>
      <c r="X120" s="99"/>
    </row>
    <row r="121" spans="1:24" ht="15.75" x14ac:dyDescent="0.25">
      <c r="A121" s="100"/>
      <c r="B121" s="100"/>
      <c r="C121" s="100"/>
      <c r="D121" s="100"/>
      <c r="E121" s="100"/>
      <c r="F121" s="100"/>
      <c r="G121" s="100"/>
      <c r="H121" s="101"/>
      <c r="I121" s="100"/>
      <c r="J121" s="100"/>
      <c r="K121" s="100"/>
      <c r="L121" s="100"/>
      <c r="M121" s="100"/>
      <c r="N121" s="100"/>
      <c r="O121" s="100"/>
      <c r="P121" s="100"/>
      <c r="Q121" s="100"/>
      <c r="R121" s="100"/>
      <c r="S121" s="100"/>
      <c r="T121" s="100"/>
      <c r="U121" s="100"/>
      <c r="V121" s="100"/>
      <c r="W121" s="100"/>
      <c r="X121" s="99"/>
    </row>
    <row r="122" spans="1:24" ht="15.75" x14ac:dyDescent="0.25">
      <c r="A122" s="100"/>
      <c r="B122" s="100"/>
      <c r="C122" s="100"/>
      <c r="D122" s="100"/>
      <c r="E122" s="100"/>
      <c r="F122" s="100"/>
      <c r="G122" s="100"/>
      <c r="H122" s="101"/>
      <c r="I122" s="100"/>
      <c r="J122" s="100"/>
      <c r="K122" s="100"/>
      <c r="L122" s="100"/>
      <c r="M122" s="100"/>
      <c r="N122" s="100"/>
      <c r="O122" s="100"/>
      <c r="P122" s="100"/>
      <c r="Q122" s="100"/>
      <c r="R122" s="100"/>
      <c r="S122" s="100"/>
      <c r="T122" s="100"/>
      <c r="U122" s="100"/>
      <c r="V122" s="100"/>
      <c r="W122" s="100"/>
      <c r="X122" s="99"/>
    </row>
    <row r="123" spans="1:24" ht="15.75" x14ac:dyDescent="0.25">
      <c r="A123" s="100"/>
      <c r="B123" s="100"/>
      <c r="C123" s="100"/>
      <c r="D123" s="100"/>
      <c r="E123" s="100"/>
      <c r="F123" s="100"/>
      <c r="G123" s="100"/>
      <c r="H123" s="101"/>
      <c r="I123" s="100"/>
      <c r="J123" s="100"/>
      <c r="K123" s="100"/>
      <c r="L123" s="100"/>
      <c r="M123" s="100"/>
      <c r="N123" s="100"/>
      <c r="O123" s="100"/>
      <c r="P123" s="100"/>
      <c r="Q123" s="100"/>
      <c r="R123" s="100"/>
      <c r="S123" s="100"/>
      <c r="T123" s="100"/>
      <c r="U123" s="100"/>
      <c r="V123" s="100"/>
      <c r="W123" s="100"/>
      <c r="X123" s="99"/>
    </row>
    <row r="124" spans="1:24" ht="15.75" x14ac:dyDescent="0.25">
      <c r="A124" s="100"/>
      <c r="B124" s="100"/>
      <c r="C124" s="100"/>
      <c r="D124" s="100"/>
      <c r="E124" s="100"/>
      <c r="F124" s="100"/>
      <c r="G124" s="100"/>
      <c r="H124" s="101"/>
      <c r="I124" s="100"/>
      <c r="J124" s="100"/>
      <c r="K124" s="100"/>
      <c r="L124" s="100"/>
      <c r="M124" s="100"/>
      <c r="N124" s="100"/>
      <c r="O124" s="100"/>
      <c r="P124" s="100"/>
      <c r="Q124" s="100"/>
      <c r="R124" s="100"/>
      <c r="S124" s="100"/>
      <c r="T124" s="100"/>
      <c r="U124" s="100"/>
      <c r="V124" s="100"/>
      <c r="W124" s="100"/>
      <c r="X124" s="99"/>
    </row>
    <row r="125" spans="1:24" ht="15.75" x14ac:dyDescent="0.25">
      <c r="A125" s="100"/>
      <c r="B125" s="100"/>
      <c r="C125" s="100"/>
      <c r="D125" s="100"/>
      <c r="E125" s="100"/>
      <c r="F125" s="100"/>
      <c r="H125" s="101"/>
      <c r="X125" s="98"/>
    </row>
    <row r="126" spans="1:24" ht="15.75" x14ac:dyDescent="0.25">
      <c r="A126" s="100"/>
      <c r="B126" s="100"/>
      <c r="C126" s="100"/>
      <c r="D126" s="100"/>
      <c r="E126" s="100"/>
      <c r="F126" s="100"/>
      <c r="H126" s="101"/>
      <c r="X126" s="98"/>
    </row>
    <row r="127" spans="1:24" ht="15.75" x14ac:dyDescent="0.25">
      <c r="A127" s="100"/>
      <c r="B127" s="100"/>
      <c r="C127" s="100"/>
      <c r="D127" s="100"/>
      <c r="E127" s="100"/>
      <c r="F127" s="100"/>
      <c r="H127" s="101"/>
      <c r="X127" s="98"/>
    </row>
    <row r="128" spans="1:24" ht="15.75" x14ac:dyDescent="0.25">
      <c r="H128" s="101"/>
      <c r="X128" s="98"/>
    </row>
    <row r="129" spans="8:24" ht="15.75" x14ac:dyDescent="0.25">
      <c r="H129" s="101"/>
      <c r="X129" s="98"/>
    </row>
    <row r="130" spans="8:24" ht="15.75" x14ac:dyDescent="0.25">
      <c r="H130" s="101"/>
      <c r="X130" s="98"/>
    </row>
    <row r="131" spans="8:24" ht="15.75" x14ac:dyDescent="0.25">
      <c r="H131" s="101"/>
      <c r="X131" s="98"/>
    </row>
    <row r="132" spans="8:24" ht="15.75" x14ac:dyDescent="0.25">
      <c r="H132" s="101"/>
      <c r="X132" s="98"/>
    </row>
    <row r="133" spans="8:24" ht="15.75" x14ac:dyDescent="0.25">
      <c r="H133" s="101"/>
      <c r="X133" s="98"/>
    </row>
    <row r="134" spans="8:24" ht="15.75" x14ac:dyDescent="0.25">
      <c r="H134" s="101"/>
      <c r="X134" s="98"/>
    </row>
    <row r="135" spans="8:24" ht="15.75" x14ac:dyDescent="0.25">
      <c r="H135" s="101"/>
      <c r="X135" s="98"/>
    </row>
    <row r="136" spans="8:24" ht="15.75" x14ac:dyDescent="0.25">
      <c r="H136" s="101"/>
      <c r="X136" s="98"/>
    </row>
    <row r="137" spans="8:24" ht="15.75" x14ac:dyDescent="0.25">
      <c r="H137" s="101"/>
      <c r="X137" s="98"/>
    </row>
    <row r="138" spans="8:24" ht="15.75" x14ac:dyDescent="0.25">
      <c r="H138" s="101"/>
      <c r="X138" s="98"/>
    </row>
    <row r="139" spans="8:24" ht="15.75" x14ac:dyDescent="0.25">
      <c r="H139" s="101"/>
      <c r="X139" s="98"/>
    </row>
    <row r="140" spans="8:24" ht="15.75" x14ac:dyDescent="0.25">
      <c r="H140" s="101"/>
      <c r="X140" s="98"/>
    </row>
    <row r="141" spans="8:24" ht="15.75" x14ac:dyDescent="0.25">
      <c r="H141" s="101"/>
      <c r="X141" s="98"/>
    </row>
    <row r="142" spans="8:24" ht="15.75" x14ac:dyDescent="0.25">
      <c r="H142" s="101"/>
      <c r="X142" s="98"/>
    </row>
    <row r="143" spans="8:24" ht="15.75" x14ac:dyDescent="0.25">
      <c r="H143" s="101"/>
      <c r="X143" s="98"/>
    </row>
    <row r="144" spans="8:24" ht="15.75" x14ac:dyDescent="0.25">
      <c r="H144" s="101"/>
      <c r="X144" s="98"/>
    </row>
    <row r="145" spans="8:24" ht="15.75" x14ac:dyDescent="0.25">
      <c r="H145" s="101"/>
      <c r="X145" s="98"/>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61" priority="4" operator="lessThan">
      <formula>6</formula>
    </cfRule>
    <cfRule type="cellIs" dxfId="60" priority="5" operator="greaterThan">
      <formula>7</formula>
    </cfRule>
  </conditionalFormatting>
  <conditionalFormatting sqref="B23:W23">
    <cfRule type="cellIs" dxfId="59" priority="1" operator="lessThan">
      <formula>6</formula>
    </cfRule>
    <cfRule type="cellIs" dxfId="58"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9" bestFit="1" customWidth="1"/>
    <col min="5" max="5" width="10.42578125" style="69" bestFit="1" customWidth="1"/>
    <col min="6" max="6" width="15" style="69" bestFit="1" customWidth="1"/>
    <col min="7" max="7" width="6.7109375" style="69" bestFit="1" customWidth="1"/>
    <col min="8" max="8" width="7.140625" style="69" bestFit="1" customWidth="1"/>
    <col min="9" max="9" width="7.7109375" style="69" bestFit="1" customWidth="1"/>
    <col min="10" max="10" width="9.28515625" style="69"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6" customFormat="1" x14ac:dyDescent="0.25">
      <c r="A1" s="57" t="s">
        <v>105</v>
      </c>
      <c r="B1" s="57" t="s">
        <v>106</v>
      </c>
      <c r="D1" s="70" t="s">
        <v>105</v>
      </c>
      <c r="E1" s="70" t="s">
        <v>119</v>
      </c>
      <c r="F1" s="70" t="s">
        <v>120</v>
      </c>
      <c r="G1" s="70" t="s">
        <v>121</v>
      </c>
      <c r="H1" s="70" t="s">
        <v>122</v>
      </c>
      <c r="I1" s="70" t="s">
        <v>183</v>
      </c>
      <c r="J1" s="70" t="s">
        <v>115</v>
      </c>
      <c r="K1" s="56" t="s">
        <v>184</v>
      </c>
      <c r="L1" s="56" t="s">
        <v>338</v>
      </c>
      <c r="M1" s="56" t="s">
        <v>339</v>
      </c>
      <c r="N1" s="56" t="s">
        <v>340</v>
      </c>
      <c r="P1" s="57" t="s">
        <v>113</v>
      </c>
      <c r="Q1" s="57" t="s">
        <v>114</v>
      </c>
      <c r="R1" s="57" t="s">
        <v>115</v>
      </c>
      <c r="S1" s="57" t="s">
        <v>116</v>
      </c>
      <c r="T1" s="57" t="s">
        <v>117</v>
      </c>
      <c r="U1" s="57" t="s">
        <v>118</v>
      </c>
    </row>
    <row r="2" spans="1:25" x14ac:dyDescent="0.25">
      <c r="A2" s="61" t="s">
        <v>107</v>
      </c>
      <c r="B2" s="62">
        <v>1.0529999999999999</v>
      </c>
      <c r="D2" s="223">
        <v>1</v>
      </c>
      <c r="E2" s="223">
        <v>1</v>
      </c>
      <c r="F2" s="223">
        <v>0</v>
      </c>
      <c r="G2" s="223">
        <v>0.3</v>
      </c>
      <c r="H2" s="224">
        <f t="shared" ref="H2:H4" si="0">D2+F2-G2</f>
        <v>0.7</v>
      </c>
      <c r="I2" s="142">
        <v>5</v>
      </c>
      <c r="J2" s="142">
        <f>40-37.5+0</f>
        <v>2.5</v>
      </c>
      <c r="K2" s="225">
        <f>16320*3</f>
        <v>48960</v>
      </c>
      <c r="L2" s="226">
        <f>H2-$H$4</f>
        <v>-0.48799999999999999</v>
      </c>
      <c r="M2" s="227">
        <f>L2*16</f>
        <v>-7.8079999999999998</v>
      </c>
      <c r="N2" s="228">
        <f>M2*7</f>
        <v>-54.655999999999999</v>
      </c>
      <c r="O2" s="56"/>
      <c r="P2" s="58">
        <v>10</v>
      </c>
      <c r="Q2" s="59">
        <v>35</v>
      </c>
      <c r="R2" s="59">
        <v>25</v>
      </c>
      <c r="S2" s="60">
        <v>0.33333333333333331</v>
      </c>
      <c r="T2" s="65">
        <v>32640.000000000004</v>
      </c>
      <c r="U2" s="64">
        <v>3264.0000000000005</v>
      </c>
      <c r="W2" s="56"/>
      <c r="X2" s="56"/>
      <c r="Y2" s="56"/>
    </row>
    <row r="3" spans="1:25" x14ac:dyDescent="0.25">
      <c r="A3" s="61" t="s">
        <v>108</v>
      </c>
      <c r="B3" s="63">
        <v>1</v>
      </c>
      <c r="D3" s="216">
        <v>1.0529999999999999</v>
      </c>
      <c r="E3" s="213">
        <v>1</v>
      </c>
      <c r="F3" s="216">
        <v>0.17499999999999999</v>
      </c>
      <c r="G3" s="213">
        <v>0.3</v>
      </c>
      <c r="H3" s="219">
        <f>D3+F3-G3</f>
        <v>0.92799999999999994</v>
      </c>
      <c r="I3" s="214">
        <v>5</v>
      </c>
      <c r="J3" s="214">
        <f t="shared" ref="J3:J12" si="1">40-37.5+25</f>
        <v>27.5</v>
      </c>
      <c r="K3" s="215">
        <f t="shared" ref="K3:K12" si="2">16320*3</f>
        <v>48960</v>
      </c>
      <c r="L3" s="220">
        <f>H3-$H$4</f>
        <v>-0.26</v>
      </c>
      <c r="M3" s="221">
        <f>L3*16</f>
        <v>-4.16</v>
      </c>
      <c r="N3" s="222">
        <f>M3*7</f>
        <v>-29.12</v>
      </c>
      <c r="O3" s="56"/>
      <c r="P3" s="58">
        <v>9</v>
      </c>
      <c r="Q3" s="59">
        <v>31.5</v>
      </c>
      <c r="R3" s="59">
        <v>22.5</v>
      </c>
      <c r="S3" s="60">
        <v>0.3</v>
      </c>
      <c r="T3" s="65">
        <v>24480</v>
      </c>
      <c r="U3" s="64">
        <v>2720</v>
      </c>
      <c r="W3" s="56"/>
      <c r="X3" s="56"/>
      <c r="Y3" s="56"/>
    </row>
    <row r="4" spans="1:25" x14ac:dyDescent="0.25">
      <c r="A4" s="61" t="s">
        <v>109</v>
      </c>
      <c r="B4" s="62">
        <v>0.90900000000000003</v>
      </c>
      <c r="D4" s="229">
        <v>1</v>
      </c>
      <c r="E4" s="229">
        <v>1</v>
      </c>
      <c r="F4" s="230">
        <v>0.28799999999999998</v>
      </c>
      <c r="G4" s="229">
        <v>0.1</v>
      </c>
      <c r="H4" s="231">
        <f t="shared" si="0"/>
        <v>1.1879999999999999</v>
      </c>
      <c r="I4" s="232">
        <v>5</v>
      </c>
      <c r="J4" s="232">
        <f t="shared" ref="J4:J9" si="3">40-37.5+25</f>
        <v>27.5</v>
      </c>
      <c r="K4" s="233">
        <f t="shared" si="2"/>
        <v>48960</v>
      </c>
      <c r="L4" s="234">
        <f t="shared" ref="L4:L8" si="4">H4-$H$4</f>
        <v>0</v>
      </c>
      <c r="M4" s="235">
        <f t="shared" ref="M4:M8" si="5">L4*16</f>
        <v>0</v>
      </c>
      <c r="N4" s="236">
        <f t="shared" ref="N4:N8" si="6">M4*7</f>
        <v>0</v>
      </c>
      <c r="O4" s="56"/>
      <c r="P4" s="58">
        <v>8</v>
      </c>
      <c r="Q4" s="59">
        <v>28</v>
      </c>
      <c r="R4" s="59">
        <v>20</v>
      </c>
      <c r="S4" s="60">
        <v>0.26666666666666666</v>
      </c>
      <c r="T4" s="65">
        <v>16320.000000000002</v>
      </c>
      <c r="U4" s="64">
        <v>2040.0000000000002</v>
      </c>
      <c r="W4" s="56"/>
      <c r="X4" s="56"/>
      <c r="Y4" s="56"/>
    </row>
    <row r="5" spans="1:25" x14ac:dyDescent="0.25">
      <c r="A5" s="61" t="s">
        <v>110</v>
      </c>
      <c r="B5" s="62">
        <v>0.83299999999999996</v>
      </c>
      <c r="D5" s="71">
        <v>1</v>
      </c>
      <c r="E5" s="71">
        <v>1</v>
      </c>
      <c r="F5" s="212">
        <v>0.17499999999999999</v>
      </c>
      <c r="G5" s="71">
        <v>0.3</v>
      </c>
      <c r="H5" s="217">
        <f>D5+F5-G5</f>
        <v>0.875</v>
      </c>
      <c r="I5" s="210">
        <v>5</v>
      </c>
      <c r="J5" s="210">
        <f t="shared" si="3"/>
        <v>27.5</v>
      </c>
      <c r="K5" s="73">
        <f t="shared" si="2"/>
        <v>48960</v>
      </c>
      <c r="L5" s="218">
        <f t="shared" si="4"/>
        <v>-0.31299999999999994</v>
      </c>
      <c r="M5" s="40">
        <f t="shared" si="5"/>
        <v>-5.0079999999999991</v>
      </c>
      <c r="N5" s="35">
        <f t="shared" si="6"/>
        <v>-35.055999999999997</v>
      </c>
      <c r="O5" s="56"/>
      <c r="P5" s="58">
        <v>7</v>
      </c>
      <c r="Q5" s="59">
        <v>24.5</v>
      </c>
      <c r="R5" s="59">
        <v>17.5</v>
      </c>
      <c r="S5" s="60">
        <v>0.23333333333333334</v>
      </c>
      <c r="T5" s="65">
        <v>12240</v>
      </c>
      <c r="U5" s="64">
        <v>1748.5714285714287</v>
      </c>
      <c r="W5" s="56"/>
      <c r="X5" s="56"/>
      <c r="Y5" s="56"/>
    </row>
    <row r="6" spans="1:25" x14ac:dyDescent="0.25">
      <c r="A6" s="61" t="s">
        <v>111</v>
      </c>
      <c r="B6" s="62">
        <v>0.76900000000000002</v>
      </c>
      <c r="D6" s="212">
        <v>1.0529999999999999</v>
      </c>
      <c r="E6" s="71">
        <v>1</v>
      </c>
      <c r="F6" s="71">
        <v>0.35</v>
      </c>
      <c r="G6" s="71">
        <v>0.05</v>
      </c>
      <c r="H6" s="217">
        <f>D6+F6-G6</f>
        <v>1.353</v>
      </c>
      <c r="I6" s="210">
        <v>5</v>
      </c>
      <c r="J6" s="210">
        <f t="shared" si="3"/>
        <v>27.5</v>
      </c>
      <c r="K6" s="73">
        <f t="shared" si="2"/>
        <v>48960</v>
      </c>
      <c r="L6" s="218">
        <f t="shared" si="4"/>
        <v>0.16500000000000004</v>
      </c>
      <c r="M6" s="40">
        <f t="shared" si="5"/>
        <v>2.6400000000000006</v>
      </c>
      <c r="N6" s="35">
        <f t="shared" si="6"/>
        <v>18.480000000000004</v>
      </c>
      <c r="O6" s="56"/>
      <c r="P6" s="58">
        <v>6</v>
      </c>
      <c r="Q6" s="59">
        <v>21</v>
      </c>
      <c r="R6" s="59">
        <v>15</v>
      </c>
      <c r="S6" s="60">
        <v>0.2</v>
      </c>
      <c r="T6" s="65">
        <v>8160.0000000000009</v>
      </c>
      <c r="U6" s="64">
        <v>1360.0000000000002</v>
      </c>
      <c r="W6" s="56"/>
      <c r="X6" s="56"/>
      <c r="Y6" s="56"/>
    </row>
    <row r="7" spans="1:25" x14ac:dyDescent="0.25">
      <c r="A7" s="61" t="s">
        <v>112</v>
      </c>
      <c r="B7" s="62">
        <v>0.71399999999999997</v>
      </c>
      <c r="D7" s="71">
        <v>1</v>
      </c>
      <c r="E7" s="71">
        <v>1</v>
      </c>
      <c r="F7" s="71">
        <v>0.35</v>
      </c>
      <c r="G7" s="71">
        <v>0.1</v>
      </c>
      <c r="H7" s="217">
        <f>D7+F7-G7</f>
        <v>1.25</v>
      </c>
      <c r="I7" s="210">
        <v>5</v>
      </c>
      <c r="J7" s="210">
        <f t="shared" si="3"/>
        <v>27.5</v>
      </c>
      <c r="K7" s="73">
        <f t="shared" si="2"/>
        <v>48960</v>
      </c>
      <c r="L7" s="218">
        <f t="shared" si="4"/>
        <v>6.2000000000000055E-2</v>
      </c>
      <c r="M7" s="40">
        <f t="shared" si="5"/>
        <v>0.99200000000000088</v>
      </c>
      <c r="N7" s="35">
        <f t="shared" si="6"/>
        <v>6.9440000000000062</v>
      </c>
      <c r="O7" s="56"/>
      <c r="P7" s="58">
        <v>5</v>
      </c>
      <c r="Q7" s="59">
        <v>17.5</v>
      </c>
      <c r="R7" s="59">
        <v>12.5</v>
      </c>
      <c r="S7" s="60">
        <v>0.16666666666666666</v>
      </c>
      <c r="T7" s="65">
        <v>16320.000000000002</v>
      </c>
      <c r="U7" s="64">
        <v>3264.0000000000005</v>
      </c>
      <c r="W7" s="56"/>
      <c r="X7" s="56"/>
      <c r="Y7" s="56"/>
    </row>
    <row r="8" spans="1:25" x14ac:dyDescent="0.25">
      <c r="D8" s="212">
        <v>1.0529999999999999</v>
      </c>
      <c r="E8" s="71">
        <v>1</v>
      </c>
      <c r="F8" s="71">
        <v>0.35</v>
      </c>
      <c r="G8" s="71">
        <v>0.1</v>
      </c>
      <c r="H8" s="217">
        <f>D8+F8-G8</f>
        <v>1.3029999999999999</v>
      </c>
      <c r="I8" s="210">
        <v>5</v>
      </c>
      <c r="J8" s="210">
        <f t="shared" si="3"/>
        <v>27.5</v>
      </c>
      <c r="K8" s="73">
        <f t="shared" si="2"/>
        <v>48960</v>
      </c>
      <c r="L8" s="218">
        <f t="shared" si="4"/>
        <v>0.11499999999999999</v>
      </c>
      <c r="M8" s="40">
        <f t="shared" si="5"/>
        <v>1.8399999999999999</v>
      </c>
      <c r="N8" s="35">
        <f t="shared" si="6"/>
        <v>12.879999999999999</v>
      </c>
      <c r="O8" s="56"/>
      <c r="P8" s="58">
        <v>4</v>
      </c>
      <c r="Q8" s="59">
        <v>14</v>
      </c>
      <c r="R8" s="59">
        <v>10</v>
      </c>
      <c r="S8" s="60">
        <v>0.13333333333333333</v>
      </c>
      <c r="T8" s="65">
        <v>8160.0000000000009</v>
      </c>
      <c r="U8" s="64">
        <v>2040.0000000000002</v>
      </c>
      <c r="W8" s="56"/>
      <c r="X8" s="56"/>
      <c r="Y8" s="56"/>
    </row>
    <row r="9" spans="1:25" x14ac:dyDescent="0.25">
      <c r="D9" s="71">
        <v>1</v>
      </c>
      <c r="E9" s="71">
        <v>1</v>
      </c>
      <c r="F9" s="71">
        <v>0.35</v>
      </c>
      <c r="G9" s="71">
        <v>0.05</v>
      </c>
      <c r="H9" s="217">
        <f>D9+F9-G9</f>
        <v>1.3</v>
      </c>
      <c r="I9" s="237">
        <v>5</v>
      </c>
      <c r="J9" s="237">
        <f t="shared" si="3"/>
        <v>27.5</v>
      </c>
      <c r="K9" s="73">
        <f t="shared" si="2"/>
        <v>48960</v>
      </c>
      <c r="L9" s="218">
        <f t="shared" ref="L9" si="7">H9-$H$4</f>
        <v>0.1120000000000001</v>
      </c>
      <c r="M9" s="40">
        <f t="shared" ref="M9" si="8">L9*16</f>
        <v>1.7920000000000016</v>
      </c>
      <c r="N9" s="35">
        <f t="shared" ref="N9" si="9">M9*7</f>
        <v>12.544000000000011</v>
      </c>
      <c r="O9" s="56"/>
      <c r="P9" s="58">
        <v>3</v>
      </c>
      <c r="Q9" s="59">
        <v>10.5</v>
      </c>
      <c r="R9" s="59">
        <v>7.5</v>
      </c>
      <c r="S9" s="60">
        <v>0.1</v>
      </c>
      <c r="T9" s="65">
        <v>4080.0000000000005</v>
      </c>
      <c r="U9" s="64">
        <v>1360.0000000000002</v>
      </c>
      <c r="W9" s="56"/>
      <c r="X9" s="56"/>
      <c r="Y9" s="56"/>
    </row>
    <row r="10" spans="1:25" x14ac:dyDescent="0.25">
      <c r="D10" s="210"/>
      <c r="E10" s="71"/>
      <c r="F10" s="210"/>
      <c r="G10" s="71"/>
      <c r="H10" s="217"/>
      <c r="I10" s="210">
        <v>5</v>
      </c>
      <c r="J10" s="210">
        <f t="shared" si="1"/>
        <v>27.5</v>
      </c>
      <c r="K10" s="73">
        <f t="shared" si="2"/>
        <v>48960</v>
      </c>
      <c r="P10" s="58">
        <v>2</v>
      </c>
      <c r="Q10" s="59">
        <v>7</v>
      </c>
      <c r="R10" s="59">
        <v>5</v>
      </c>
      <c r="S10" s="60">
        <v>6.6666666666666666E-2</v>
      </c>
      <c r="T10" s="65">
        <v>2040.0000000000002</v>
      </c>
      <c r="U10" s="64">
        <v>1020.0000000000001</v>
      </c>
    </row>
    <row r="11" spans="1:25" x14ac:dyDescent="0.25">
      <c r="D11" s="210"/>
      <c r="E11" s="71"/>
      <c r="F11" s="210"/>
      <c r="G11" s="71"/>
      <c r="H11" s="217"/>
      <c r="I11" s="210">
        <v>5</v>
      </c>
      <c r="J11" s="210">
        <f t="shared" si="1"/>
        <v>27.5</v>
      </c>
      <c r="K11" s="73">
        <f t="shared" si="2"/>
        <v>48960</v>
      </c>
      <c r="P11" s="58">
        <v>1</v>
      </c>
      <c r="Q11" s="59">
        <v>3.5</v>
      </c>
      <c r="R11" s="59">
        <v>2.5</v>
      </c>
      <c r="S11" s="60">
        <v>3.3333333333333333E-2</v>
      </c>
      <c r="T11" s="65">
        <v>1020.0000000000001</v>
      </c>
      <c r="U11" s="64">
        <v>1020.0000000000001</v>
      </c>
    </row>
    <row r="12" spans="1:25" x14ac:dyDescent="0.25">
      <c r="D12" s="210"/>
      <c r="E12" s="71"/>
      <c r="F12" s="210"/>
      <c r="G12" s="71"/>
      <c r="H12" s="217"/>
      <c r="I12" s="210">
        <v>5</v>
      </c>
      <c r="J12" s="210">
        <f t="shared" si="1"/>
        <v>27.5</v>
      </c>
      <c r="K12" s="73">
        <f t="shared" si="2"/>
        <v>48960</v>
      </c>
    </row>
    <row r="14" spans="1:25" x14ac:dyDescent="0.25">
      <c r="H14" s="42"/>
      <c r="P14" s="57" t="s">
        <v>113</v>
      </c>
      <c r="Q14" s="57" t="s">
        <v>114</v>
      </c>
      <c r="R14" s="57" t="s">
        <v>115</v>
      </c>
      <c r="S14" s="57" t="s">
        <v>116</v>
      </c>
      <c r="T14" s="57" t="s">
        <v>117</v>
      </c>
      <c r="U14" s="57" t="s">
        <v>118</v>
      </c>
    </row>
    <row r="15" spans="1:25" x14ac:dyDescent="0.25">
      <c r="G15" s="50"/>
      <c r="P15" s="61">
        <v>15</v>
      </c>
      <c r="Q15" s="66">
        <v>48</v>
      </c>
      <c r="R15" s="66">
        <v>37.5</v>
      </c>
      <c r="S15" s="67">
        <v>0.5</v>
      </c>
      <c r="T15" s="68">
        <v>72000</v>
      </c>
      <c r="U15" s="68">
        <v>4800</v>
      </c>
    </row>
    <row r="16" spans="1:25" x14ac:dyDescent="0.25">
      <c r="H16" s="42"/>
      <c r="J16" s="42"/>
      <c r="K16" s="42"/>
      <c r="P16" s="61">
        <v>12</v>
      </c>
      <c r="Q16" s="66">
        <v>38.400000000000006</v>
      </c>
      <c r="R16" s="66">
        <v>30</v>
      </c>
      <c r="S16" s="67">
        <v>0.4</v>
      </c>
      <c r="T16" s="68">
        <v>36000</v>
      </c>
      <c r="U16" s="68">
        <v>3000</v>
      </c>
    </row>
    <row r="17" spans="2:21" x14ac:dyDescent="0.25">
      <c r="G17" s="210"/>
      <c r="H17" s="42"/>
      <c r="I17" s="210"/>
      <c r="J17" s="42"/>
      <c r="K17" s="42"/>
      <c r="P17" s="61">
        <v>10</v>
      </c>
      <c r="Q17" s="61">
        <f>3.2*10</f>
        <v>32</v>
      </c>
      <c r="R17" s="66">
        <f>30/12*10</f>
        <v>25</v>
      </c>
      <c r="S17" s="67">
        <f>0.4/12*10</f>
        <v>0.33333333333333331</v>
      </c>
      <c r="T17" s="68">
        <v>48000</v>
      </c>
      <c r="U17" s="68">
        <f>T17/P17</f>
        <v>4800</v>
      </c>
    </row>
    <row r="18" spans="2:21" x14ac:dyDescent="0.25">
      <c r="G18" s="210"/>
      <c r="H18" s="42"/>
      <c r="I18" s="210"/>
      <c r="J18" s="42"/>
      <c r="K18" s="42"/>
      <c r="P18" s="61">
        <v>8</v>
      </c>
      <c r="Q18" s="61">
        <f>3.2*8</f>
        <v>25.6</v>
      </c>
      <c r="R18" s="66">
        <f>30/12*8</f>
        <v>20</v>
      </c>
      <c r="S18" s="67">
        <f>0.4/12*8</f>
        <v>0.26666666666666666</v>
      </c>
      <c r="T18" s="68">
        <v>24000</v>
      </c>
      <c r="U18" s="68">
        <f>T18/P18</f>
        <v>3000</v>
      </c>
    </row>
    <row r="19" spans="2:21" x14ac:dyDescent="0.25">
      <c r="G19" s="210"/>
      <c r="H19" s="42"/>
      <c r="I19" s="210"/>
      <c r="J19" s="42"/>
      <c r="K19" s="42"/>
    </row>
    <row r="20" spans="2:21" x14ac:dyDescent="0.25">
      <c r="G20" s="210"/>
      <c r="H20" s="42"/>
      <c r="I20" s="210"/>
      <c r="J20" s="42"/>
      <c r="K20" s="42"/>
    </row>
    <row r="23" spans="2:21" x14ac:dyDescent="0.25">
      <c r="J23" s="210"/>
    </row>
    <row r="24" spans="2:21" x14ac:dyDescent="0.25">
      <c r="B24" s="40"/>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S203"/>
  <sheetViews>
    <sheetView zoomScale="90" zoomScaleNormal="90" workbookViewId="0">
      <pane xSplit="4" ySplit="1" topLeftCell="E2" activePane="bottomRight" state="frozen"/>
      <selection pane="topRight" activeCell="D1" sqref="D1"/>
      <selection pane="bottomLeft" activeCell="A2" sqref="A2"/>
      <selection pane="bottomRight" activeCell="A3" sqref="A3"/>
    </sheetView>
  </sheetViews>
  <sheetFormatPr baseColWidth="10" defaultColWidth="11.42578125" defaultRowHeight="15" x14ac:dyDescent="0.25"/>
  <cols>
    <col min="1" max="1" width="23.42578125" bestFit="1" customWidth="1"/>
    <col min="2" max="2" width="13.85546875" bestFit="1" customWidth="1"/>
    <col min="3" max="3" width="5.42578125" bestFit="1" customWidth="1"/>
    <col min="4" max="4" width="5" bestFit="1" customWidth="1"/>
    <col min="5" max="5" width="13" bestFit="1" customWidth="1"/>
    <col min="6" max="6" width="15.42578125" bestFit="1" customWidth="1"/>
    <col min="7" max="7" width="5.42578125" bestFit="1" customWidth="1"/>
    <col min="8" max="8" width="4.7109375" bestFit="1" customWidth="1"/>
    <col min="9" max="9" width="11.5703125" bestFit="1" customWidth="1"/>
    <col min="10" max="10" width="13.28515625" bestFit="1" customWidth="1"/>
    <col min="11" max="11" width="7.7109375" bestFit="1" customWidth="1"/>
    <col min="12" max="12" width="13.28515625" bestFit="1" customWidth="1"/>
    <col min="13" max="13" width="11" bestFit="1" customWidth="1"/>
    <col min="14" max="14" width="13.85546875" bestFit="1" customWidth="1"/>
    <col min="15" max="15" width="4.85546875" style="69" bestFit="1" customWidth="1"/>
    <col min="16" max="16" width="3.85546875" style="69" bestFit="1" customWidth="1"/>
    <col min="17" max="17" width="4.5703125" style="69" bestFit="1" customWidth="1"/>
    <col min="18" max="19" width="5.42578125" bestFit="1" customWidth="1"/>
    <col min="20" max="22" width="6" bestFit="1" customWidth="1"/>
    <col min="23" max="23" width="5.42578125" bestFit="1" customWidth="1"/>
    <col min="24" max="24" width="6" bestFit="1" customWidth="1"/>
    <col min="25" max="25" width="8.85546875" bestFit="1" customWidth="1"/>
    <col min="26" max="26" width="7.28515625" bestFit="1" customWidth="1"/>
    <col min="27" max="27" width="5.5703125" customWidth="1"/>
    <col min="28" max="28" width="6.42578125" customWidth="1"/>
    <col min="29" max="30" width="5.5703125" customWidth="1"/>
    <col min="31" max="36" width="7.85546875" hidden="1" customWidth="1"/>
    <col min="37" max="37" width="7.85546875" style="56" hidden="1" customWidth="1"/>
    <col min="38" max="45" width="7.85546875" bestFit="1" customWidth="1"/>
  </cols>
  <sheetData>
    <row r="1" spans="1:45" x14ac:dyDescent="0.25">
      <c r="A1" s="77" t="s">
        <v>3</v>
      </c>
      <c r="B1" s="44" t="s">
        <v>129</v>
      </c>
      <c r="C1" s="44" t="s">
        <v>87</v>
      </c>
      <c r="D1" s="44" t="s">
        <v>5</v>
      </c>
      <c r="E1" s="44" t="s">
        <v>89</v>
      </c>
      <c r="F1" s="44" t="s">
        <v>124</v>
      </c>
      <c r="G1" s="78" t="s">
        <v>87</v>
      </c>
      <c r="H1" s="78" t="s">
        <v>5</v>
      </c>
      <c r="I1" s="78" t="s">
        <v>125</v>
      </c>
      <c r="J1" s="78" t="s">
        <v>126</v>
      </c>
      <c r="K1" s="78" t="s">
        <v>123</v>
      </c>
      <c r="L1" s="78" t="s">
        <v>130</v>
      </c>
      <c r="M1" s="79" t="s">
        <v>127</v>
      </c>
      <c r="N1" s="79" t="s">
        <v>128</v>
      </c>
      <c r="O1" s="141" t="s">
        <v>91</v>
      </c>
      <c r="P1" s="141" t="s">
        <v>189</v>
      </c>
      <c r="Q1" s="141" t="s">
        <v>88</v>
      </c>
      <c r="R1" s="11" t="s">
        <v>15</v>
      </c>
      <c r="S1" s="11" t="s">
        <v>16</v>
      </c>
      <c r="T1" s="11" t="s">
        <v>17</v>
      </c>
      <c r="U1" s="11" t="s">
        <v>18</v>
      </c>
      <c r="V1" s="11" t="s">
        <v>19</v>
      </c>
      <c r="W1" s="11" t="s">
        <v>20</v>
      </c>
      <c r="X1" s="11" t="s">
        <v>6</v>
      </c>
      <c r="Y1" s="11" t="s">
        <v>21</v>
      </c>
      <c r="Z1" s="15" t="s">
        <v>206</v>
      </c>
      <c r="AA1" s="15" t="s">
        <v>22</v>
      </c>
      <c r="AB1" s="15" t="s">
        <v>23</v>
      </c>
      <c r="AC1" s="15" t="s">
        <v>24</v>
      </c>
      <c r="AD1" s="15" t="s">
        <v>25</v>
      </c>
    </row>
    <row r="2" spans="1:45" s="98" customFormat="1" x14ac:dyDescent="0.25">
      <c r="A2" s="154" t="str">
        <f>PLANTILLA!D4</f>
        <v>Damián Sala</v>
      </c>
      <c r="B2" s="73">
        <f ca="1">(N2+F2-J2)/K2</f>
        <v>-72159.627906976762</v>
      </c>
      <c r="C2" s="139">
        <v>22</v>
      </c>
      <c r="D2" s="139">
        <v>61</v>
      </c>
      <c r="E2" s="148">
        <f>PLANTILLA!M4</f>
        <v>42200</v>
      </c>
      <c r="F2" s="140">
        <v>4265460</v>
      </c>
      <c r="G2" s="139">
        <f>PLANTILLA!E4</f>
        <v>30</v>
      </c>
      <c r="H2" s="139">
        <f ca="1">PLANTILLA!F4</f>
        <v>25</v>
      </c>
      <c r="I2" s="49">
        <f ca="1">E2+(H2-D2+(G2-C2)*112)</f>
        <v>43060</v>
      </c>
      <c r="J2" s="155">
        <v>6886000</v>
      </c>
      <c r="K2" s="40">
        <f ca="1">(I2-E2)/112</f>
        <v>7.6785714285714288</v>
      </c>
      <c r="L2" s="74">
        <f>J2-F2</f>
        <v>2620540</v>
      </c>
      <c r="M2" s="76">
        <f>PLANTILLA!V4</f>
        <v>16820</v>
      </c>
      <c r="N2" s="76">
        <f ca="1">((G2-C2)*M2*16)+(H2-D2)/7*M2</f>
        <v>2066457.142857143</v>
      </c>
      <c r="O2" s="142">
        <f>PLANTILLA!I4</f>
        <v>10.6</v>
      </c>
      <c r="P2" s="142">
        <f>PLANTILLA!H4</f>
        <v>2</v>
      </c>
      <c r="Q2" s="142"/>
      <c r="R2" s="144">
        <f>PLANTILLA!X4</f>
        <v>14</v>
      </c>
      <c r="S2" s="144">
        <f>PLANTILLA!Y4</f>
        <v>11.066666666666666</v>
      </c>
      <c r="T2" s="144">
        <f>PLANTILLA!Z4</f>
        <v>0.17999999999999997</v>
      </c>
      <c r="U2" s="144">
        <f>PLANTILLA!AA4</f>
        <v>0.01</v>
      </c>
      <c r="V2" s="144">
        <f>PLANTILLA!AB4</f>
        <v>2.3299999999999996</v>
      </c>
      <c r="W2" s="144">
        <f>PLANTILLA!AC4</f>
        <v>1.8100000000000005</v>
      </c>
      <c r="X2" s="144">
        <f>PLANTILLA!AD4</f>
        <v>19.149999999999999</v>
      </c>
      <c r="Y2" s="143">
        <f>PLANTILLA!AE4</f>
        <v>1284</v>
      </c>
      <c r="Z2" s="143">
        <f>O2*P2*P2</f>
        <v>42.4</v>
      </c>
      <c r="AA2" s="9">
        <f>((S2+1)+(V2+1)*2)/8</f>
        <v>2.3408333333333333</v>
      </c>
      <c r="AB2" s="9">
        <f>X2*0.7+W2*0.3</f>
        <v>13.947999999999997</v>
      </c>
      <c r="AC2" s="9">
        <f>(0.5*W2+ 0.3*X2)/10</f>
        <v>0.66499999999999992</v>
      </c>
      <c r="AD2" s="9">
        <f>(0.4*S2+0.3*X2)/10</f>
        <v>1.0171666666666668</v>
      </c>
      <c r="AE2" s="40">
        <f ca="1">IF(TODAY()-E2&gt;335,((S2+1+(LOG(O2)*4/3))*0.516),((S2+(((TODAY()-E2)^0.5)/(336^0.516))+(LOG(O2)*4/3))*0.516))</f>
        <v>6.9318104353021619</v>
      </c>
      <c r="AF2" s="40">
        <f ca="1">IF(TODAY()-E2&gt;335,((S2+1+(LOG(O2)*4/3))*1),((S2+(((TODAY()-E2)^0.5)/(336^0.5))+(LOG(O2)*4/3))*1))</f>
        <v>13.433741153686359</v>
      </c>
      <c r="AG2" s="40">
        <f ca="1">IF(TODAY()-E2&gt;335,((T2+1+(LOG(O2)*4/3))*0.238),((T2+(((TODAY()-E2)^0.5)/(336^0.238))+(LOG(O2)*4/3))*0.238))</f>
        <v>0.606203727910687</v>
      </c>
      <c r="AH2" s="40">
        <f ca="1">IF(TODAY()-E2&gt;335,((S2+1+(LOG(O2)*4/3))*0.92),((S2+(((TODAY()-E2)^0.5)/(336^0.5))+(LOG(O2)*4/3))*0.92))</f>
        <v>12.35904186139145</v>
      </c>
      <c r="AI2" s="40">
        <f ca="1">IF(TODAY()-E2&gt;335,((S2+1+(LOG(O2)*4/3))*0.414),((S2+(((TODAY()-E2)^0.5)/(336^0.414))+(LOG(O2)*4/3))*0.414))</f>
        <v>5.5615688376261527</v>
      </c>
      <c r="AJ2" s="40">
        <f ca="1">IF(TODAY()-E2&gt;335,((T2+1+(LOG(O2)*4/3))*0.167),((T2+(((TODAY()-E2)^0.5)/(336^0.5))+(LOG(O2)*4/3))*0.167))</f>
        <v>0.42536143933228882</v>
      </c>
      <c r="AK2" s="203">
        <f ca="1">IF(TODAY()-E2&gt;335,((U2+1+(LOG(O2)*4/3))*0.588),((U2+(((TODAY()-E2)^0.5)/(336^0.5))+(LOG(O2)*4/3))*0.588))</f>
        <v>1.3977197983675795</v>
      </c>
      <c r="AL2" s="40">
        <f ca="1">IF(TODAY()-E2&gt;335,((S2+1+(LOG(O2)*4/3))*0.4),((S2+(((TODAY()-E2)^0.5)/(336^0.5))+(LOG(O2)*4/3))*0.4))</f>
        <v>5.3734964614745442</v>
      </c>
      <c r="AM2" s="40">
        <f ca="1">IF(TODAY()-E2&gt;335,((T2+1+(LOG(O2)*4/3))*1),((T2+(((TODAY()-E2)^0.5)/(336^0.5))+(LOG(O2)*4/3))*1))</f>
        <v>2.5470744870196933</v>
      </c>
      <c r="AN2" s="40">
        <f ca="1">IF(TODAY()-E2&gt;335,((W2+1+(LOG(O2)*4/3))*0.21)+((V2+1+(LOG(O2)*4/3))*0.341),((W2+(((TODAY()-E2)^0.5)/(336^0.5))+(LOG(O2)*4/3))*0.21)+((V2+(((TODAY()-E2)^0.5)/(336^0.5))+(LOG(O2)*4/3))*0.341))</f>
        <v>2.478888042347851</v>
      </c>
      <c r="AO2" s="40">
        <f ca="1">IF(TODAY()-E2&gt;335,((T2+1+(LOG(O2)*4/3))*0.305),((T2+(((TODAY()-E2)^0.5)/(336^0.5))+(LOG(O2)*4/3))*0.305))</f>
        <v>0.77685771854100649</v>
      </c>
      <c r="AP2" s="40">
        <f ca="1">IF(TODAY()-E2&gt;335,((U2+1+(LOG(O2)*4/3))*1)+((V2+1+(LOG(O2)*4/3))*0.286),((U2+(((TODAY()-E2)^0.5)/(336^0.5))+(LOG(O2)*4/3))*1)+((V2+(((TODAY()-E2)^0.5)/(336^0.5))+(LOG(O2)*4/3))*0.286))</f>
        <v>3.7204377903073254</v>
      </c>
      <c r="AQ2" s="40">
        <f ca="1">IF(TODAY()-E2&gt;335,((T2+1+(LOG(O2)*4/3))*0.406),((T2+(((TODAY()-E2)^0.5)/(336^0.5))+(LOG(O2)*4/3))*0.406))</f>
        <v>1.0341122417299955</v>
      </c>
      <c r="AR2" s="40">
        <f ca="1">IF(Q2="TEC",IF(TODAY()-E2&gt;335,((V2+1+(LOG(O2)*4/3))*0.15)+((V2+1+(LOG(O2)*4/3))*0.324)+((W2+1+(LOG(O2)*4/3))*0.127),((U2+(((TODAY()-E2)^0.5)/(336^0.5))+(LOG(O2)*4/3))*0.15)+((V2+(((TODAY()-E2)^0.5)/(336^0.5))+(LOG(O2)*4/3))*0.324)+((W2+(((TODAY()-E2)^0.5)/(336^0.5))+(LOG(O2)*4/3))*0.127)),IF(TODAY()-E2&gt;335,((V2+1+(LOG(O2)*4/3))*0.144)+((W2+1+(LOG(O2)*4/3))*0.25)+((W2+1+(LOG(O2)*4/3))*0.127),((U2+(((TODAY()-E2)^0.5)/(336^0.5))+(LOG(O2)*4/3))*0.144)+((V2+(((TODAY()-E2)^0.5)/(336^0.5))+(LOG(O2)*4/3))*0.25)+((W2+(((TODAY()-E2)^0.5)/(336^0.5))+(LOG(O2)*4/3))*0.127)))</f>
        <v>2.2511358077372607</v>
      </c>
      <c r="AS2" s="40">
        <f ca="1">IF(Q2="TEC",IF(TODAY()-E2&gt;335,((V2+1+(LOG(O2)*4/3))*0.543)+((W2+1+(LOG(O2)*4/3))*0.583),((V2+(((TODAY()-E2)^0.5)/(336^0.5))+(LOG(O2)*4/3))*0.543)+((W2+(((TODAY()-E2)^0.5)/(336^0.5))+(LOG(O2)*4/3))*0.583)),IF(TODAY()-E2&gt;335,((V2+1+(LOG(O2)*4/3))*0.543)+((W2+1+(LOG(O2)*4/3))*0.583),((V2+(((TODAY()-E2)^0.5)/(336^0.5))+(LOG(O2)*4/3))*0.543)+((W2+(((TODAY()-E2)^0.5)/(336^0.5))+(LOG(O2)*4/3))*0.583)))</f>
        <v>4.9857458723841752</v>
      </c>
    </row>
    <row r="3" spans="1:45" s="98" customFormat="1" x14ac:dyDescent="0.25">
      <c r="A3" s="154" t="str">
        <f>PLANTILLA!D5</f>
        <v>Mario Omarini</v>
      </c>
      <c r="B3" s="73">
        <f t="shared" ref="B3:B16" ca="1" si="0">(N3+F3-J3)/K3</f>
        <v>150605.7931034482</v>
      </c>
      <c r="C3" s="139">
        <v>29</v>
      </c>
      <c r="D3" s="139">
        <v>99</v>
      </c>
      <c r="E3" s="148">
        <f>PLANTILLA!M5</f>
        <v>42828</v>
      </c>
      <c r="F3" s="140">
        <v>2789000</v>
      </c>
      <c r="G3" s="139">
        <f>PLANTILLA!E5</f>
        <v>31</v>
      </c>
      <c r="H3" s="139">
        <f ca="1">PLANTILLA!F5</f>
        <v>107</v>
      </c>
      <c r="I3" s="49">
        <f t="shared" ref="I3:I16" ca="1" si="1">E3+(H3-D3+(G3-C3)*112)</f>
        <v>43060</v>
      </c>
      <c r="J3" s="155">
        <v>3074000</v>
      </c>
      <c r="K3" s="40">
        <f t="shared" ref="K3:K16" ca="1" si="2">(I3-E3)/112</f>
        <v>2.0714285714285716</v>
      </c>
      <c r="L3" s="74">
        <f t="shared" ref="L3:L16" si="3">J3-F3</f>
        <v>285000</v>
      </c>
      <c r="M3" s="76">
        <f>PLANTILLA!V5</f>
        <v>18012</v>
      </c>
      <c r="N3" s="76">
        <f t="shared" ref="N3:N16" ca="1" si="4">((G3-C3)*M3*16)+(H3-D3)/7*M3</f>
        <v>596969.14285714284</v>
      </c>
      <c r="O3" s="142">
        <f>PLANTILLA!I5</f>
        <v>9.6999999999999993</v>
      </c>
      <c r="P3" s="142">
        <f>PLANTILLA!H5</f>
        <v>3</v>
      </c>
      <c r="Q3" s="142" t="str">
        <f>PLANTILLA!G5</f>
        <v>TEC</v>
      </c>
      <c r="R3" s="144">
        <f>PLANTILLA!X5</f>
        <v>0</v>
      </c>
      <c r="S3" s="144">
        <f>PLANTILLA!Y5</f>
        <v>14</v>
      </c>
      <c r="T3" s="144">
        <f>PLANTILLA!Z5</f>
        <v>7.1099999999999994</v>
      </c>
      <c r="U3" s="144">
        <f>PLANTILLA!AA5</f>
        <v>11.035714285714286</v>
      </c>
      <c r="V3" s="144">
        <f>PLANTILLA!AB5</f>
        <v>7.0499999999999989</v>
      </c>
      <c r="W3" s="144">
        <f>PLANTILLA!AC5</f>
        <v>2.0099999999999998</v>
      </c>
      <c r="X3" s="144">
        <f>PLANTILLA!AD5</f>
        <v>15.333333333333332</v>
      </c>
      <c r="Y3" s="143">
        <f>PLANTILLA!AE5</f>
        <v>1650</v>
      </c>
      <c r="Z3" s="143">
        <f t="shared" ref="Z3:Z16" si="5">O3*P3*P3</f>
        <v>87.3</v>
      </c>
      <c r="AA3" s="9">
        <f t="shared" ref="AA3:AA16" si="6">((S3+1)+(V3+1)*2)/8</f>
        <v>3.8874999999999997</v>
      </c>
      <c r="AB3" s="9">
        <f t="shared" ref="AB3:AB16" si="7">X3*0.7+W3*0.3</f>
        <v>11.336333333333332</v>
      </c>
      <c r="AC3" s="9">
        <f t="shared" ref="AC3:AC16" si="8">(0.5*W3+ 0.3*X3)/10</f>
        <v>0.5605</v>
      </c>
      <c r="AD3" s="9">
        <f t="shared" ref="AD3:AD16" si="9">(0.4*S3+0.3*X3)/10</f>
        <v>1.02</v>
      </c>
      <c r="AE3" s="40">
        <f t="shared" ref="AE3:AE16" ca="1" si="10">IF(TODAY()-E3&gt;335,((S3+1+(LOG(O3)*4/3))*0.516),((S3+(((TODAY()-E3)^0.5)/(336^0.516))+(LOG(O3)*4/3))*0.516))</f>
        <v>8.2935622645393483</v>
      </c>
      <c r="AF3" s="40">
        <f t="shared" ref="AF3:AF16" ca="1" si="11">IF(TODAY()-E3&gt;335,((S3+1+(LOG(O3)*4/3))*1),((S3+(((TODAY()-E3)^0.5)/(336^0.5))+(LOG(O3)*4/3))*1))</f>
        <v>16.146644615527144</v>
      </c>
      <c r="AG3" s="40">
        <f ca="1">IF(TODAY()-E3&gt;335,((T3+1+(LOG(O3)*4/3))*0.238),((T3+(((TODAY()-E3)^0.5)/(336^0.238))+(LOG(O3)*4/3))*0.238))</f>
        <v>2.9132452189463827</v>
      </c>
      <c r="AH3" s="40">
        <f ca="1">IF(TODAY()-E3&gt;335,((S3+1+(LOG(O3)*4/3))*0.92),((S3+(((TODAY()-E3)^0.5)/(336^0.5))+(LOG(O3)*4/3))*0.92))</f>
        <v>14.854913046284974</v>
      </c>
      <c r="AI3" s="40">
        <f ca="1">IF(TODAY()-E3&gt;335,((S3+1+(LOG(O3)*4/3))*0.414),((S3+(((TODAY()-E3)^0.5)/(336^0.414))+(LOG(O3)*4/3))*0.414))</f>
        <v>6.908033383813474</v>
      </c>
      <c r="AJ3" s="40">
        <f ca="1">IF(TODAY()-E3&gt;335,((T3+1+(LOG(O3)*4/3))*0.167),((T3+(((TODAY()-E3)^0.5)/(336^0.5))+(LOG(O3)*4/3))*0.167))</f>
        <v>1.5458596507930327</v>
      </c>
      <c r="AK3" s="203">
        <f ca="1">IF(TODAY()-E3&gt;335,((U3+1+(LOG(O3)*4/3))*0.588),((U3+(((TODAY()-E3)^0.5)/(336^0.5))+(LOG(O3)*4/3))*0.588))</f>
        <v>7.7512270339299594</v>
      </c>
      <c r="AL3" s="40">
        <f ca="1">IF(TODAY()-E3&gt;335,((S3+1+(LOG(O3)*4/3))*0.4),((S3+(((TODAY()-E3)^0.5)/(336^0.5))+(LOG(O3)*4/3))*0.4))</f>
        <v>6.4586578462108584</v>
      </c>
      <c r="AM3" s="40">
        <f ca="1">IF(TODAY()-E3&gt;335,((T3+1+(LOG(O3)*4/3))*1),((T3+(((TODAY()-E3)^0.5)/(336^0.5))+(LOG(O3)*4/3))*1))</f>
        <v>9.2566446155271418</v>
      </c>
      <c r="AN3" s="40">
        <f ca="1">IF(TODAY()-E3&gt;335,((W3+1+(LOG(O3)*4/3))*0.21)+((V3+1+(LOG(O3)*4/3))*0.341),((W3+(((TODAY()-E3)^0.5)/(336^0.5))+(LOG(O3)*4/3))*0.21)+((V3+(((TODAY()-E3)^0.5)/(336^0.5))+(LOG(O3)*4/3))*0.341))</f>
        <v>4.008951183155455</v>
      </c>
      <c r="AO3" s="40">
        <f ca="1">IF(TODAY()-E3&gt;335,((T3+1+(LOG(O3)*4/3))*0.305),((T3+(((TODAY()-E3)^0.5)/(336^0.5))+(LOG(O3)*4/3))*0.305))</f>
        <v>2.823276607735778</v>
      </c>
      <c r="AP3" s="40">
        <f ca="1">IF(TODAY()-E3&gt;335,((U3+1+(LOG(O3)*4/3))*1)+((V3+1+(LOG(O3)*4/3))*0.286),((U3+(((TODAY()-E3)^0.5)/(336^0.5))+(LOG(O3)*4/3))*1)+((V3+(((TODAY()-E3)^0.5)/(336^0.5))+(LOG(O3)*4/3))*0.286))</f>
        <v>15.812599261282191</v>
      </c>
      <c r="AQ3" s="40">
        <f ca="1">IF(TODAY()-E3&gt;335,((T3+1+(LOG(O3)*4/3))*0.406),((T3+(((TODAY()-E3)^0.5)/(336^0.5))+(LOG(O3)*4/3))*0.406))</f>
        <v>3.7581977139040199</v>
      </c>
      <c r="AR3" s="40">
        <f ca="1">IF(Q3="TEC",IF(TODAY()-E3&gt;335,((V3+1+(LOG(O3)*4/3))*0.15)+((V3+1+(LOG(O3)*4/3))*0.324)+((W3+1+(LOG(O3)*4/3))*0.127),((U3+(((TODAY()-E3)^0.5)/(336^0.5))+(LOG(O3)*4/3))*0.15)+((V3+(((TODAY()-E3)^0.5)/(336^0.5))+(LOG(O3)*4/3))*0.324)+((W3+(((TODAY()-E3)^0.5)/(336^0.5))+(LOG(O3)*4/3))*0.127)),IF(TODAY()-E3&gt;335,((V3+1+(LOG(O3)*4/3))*0.144)+((W3+1+(LOG(O3)*4/3))*0.25)+((W3+1+(LOG(O3)*4/3))*0.127),((U3+(((TODAY()-E3)^0.5)/(336^0.5))+(LOG(O3)*4/3))*0.144)+((V3+(((TODAY()-E3)^0.5)/(336^0.5))+(LOG(O3)*4/3))*0.25)+((W3+(((TODAY()-E3)^0.5)/(336^0.5))+(LOG(O3)*4/3))*0.127)))</f>
        <v>5.4849605567889554</v>
      </c>
      <c r="AS3" s="40">
        <f ca="1">IF(Q3="TEC",IF(TODAY()-E3&gt;335,((V3+1+(LOG(O3)*4/3))*0.543)+((W3+1+(LOG(O3)*4/3))*0.583),((V3+(((TODAY()-E3)^0.5)/(336^0.5))+(LOG(O3)*4/3))*0.543)+((W3+(((TODAY()-E3)^0.5)/(336^0.5))+(LOG(O3)*4/3))*0.583)),IF(TODAY()-E3&gt;335,((V3+1+(LOG(O3)*4/3))*0.543)+((W3+1+(LOG(O3)*4/3))*0.583),((V3+(((TODAY()-E3)^0.5)/(336^0.5))+(LOG(O3)*4/3))*0.543)+((W3+(((TODAY()-E3)^0.5)/(336^0.5))+(LOG(O3)*4/3))*0.583)))</f>
        <v>7.4171018370835622</v>
      </c>
    </row>
    <row r="4" spans="1:45" s="98" customFormat="1" x14ac:dyDescent="0.25">
      <c r="A4" s="154" t="str">
        <f>PLANTILLA!D6</f>
        <v>Csaba Mező</v>
      </c>
      <c r="B4" s="73">
        <f t="shared" ca="1" si="0"/>
        <v>151510.31417624516</v>
      </c>
      <c r="C4" s="139">
        <v>29</v>
      </c>
      <c r="D4" s="139">
        <v>41</v>
      </c>
      <c r="E4" s="148">
        <f>PLANTILLA!M6</f>
        <v>42799</v>
      </c>
      <c r="F4" s="140">
        <v>2700000</v>
      </c>
      <c r="G4" s="139">
        <f>PLANTILLA!E6</f>
        <v>31</v>
      </c>
      <c r="H4" s="139">
        <f ca="1">PLANTILLA!F6</f>
        <v>85</v>
      </c>
      <c r="I4" s="49">
        <f ca="1">TODAY()</f>
        <v>43060</v>
      </c>
      <c r="J4" s="155">
        <v>2867000</v>
      </c>
      <c r="K4" s="40">
        <f t="shared" ca="1" si="2"/>
        <v>2.3303571428571428</v>
      </c>
      <c r="L4" s="74">
        <f t="shared" si="3"/>
        <v>167000</v>
      </c>
      <c r="M4" s="76">
        <f>PLANTILLA!V6</f>
        <v>13584</v>
      </c>
      <c r="N4" s="76">
        <f t="shared" ca="1" si="4"/>
        <v>520073.14285714284</v>
      </c>
      <c r="O4" s="142">
        <f>PLANTILLA!I6</f>
        <v>9.1</v>
      </c>
      <c r="P4" s="142">
        <f>PLANTILLA!H6</f>
        <v>3</v>
      </c>
      <c r="Q4" s="142"/>
      <c r="R4" s="144">
        <f>PLANTILLA!X6</f>
        <v>0</v>
      </c>
      <c r="S4" s="144">
        <f>PLANTILLA!Y6</f>
        <v>13.05</v>
      </c>
      <c r="T4" s="144">
        <f>PLANTILLA!Z6</f>
        <v>3.18</v>
      </c>
      <c r="U4" s="144">
        <f>PLANTILLA!AA6</f>
        <v>12.033333333333333</v>
      </c>
      <c r="V4" s="144">
        <f>PLANTILLA!AB6</f>
        <v>9.0399999999999991</v>
      </c>
      <c r="W4" s="144">
        <f>PLANTILLA!AC6</f>
        <v>4.01</v>
      </c>
      <c r="X4" s="144">
        <f>PLANTILLA!AD6</f>
        <v>10</v>
      </c>
      <c r="Y4" s="143">
        <f>PLANTILLA!AE6</f>
        <v>1507</v>
      </c>
      <c r="Z4" s="143">
        <f t="shared" si="5"/>
        <v>81.899999999999991</v>
      </c>
      <c r="AA4" s="9">
        <f t="shared" si="6"/>
        <v>4.2662499999999994</v>
      </c>
      <c r="AB4" s="9">
        <f t="shared" si="7"/>
        <v>8.2029999999999994</v>
      </c>
      <c r="AC4" s="9">
        <f t="shared" si="8"/>
        <v>0.50049999999999994</v>
      </c>
      <c r="AD4" s="9">
        <f t="shared" si="9"/>
        <v>0.82200000000000006</v>
      </c>
      <c r="AE4" s="40">
        <f t="shared" ca="1" si="10"/>
        <v>7.8079814928565101</v>
      </c>
      <c r="AF4" s="40">
        <f t="shared" ca="1" si="11"/>
        <v>15.210076333517629</v>
      </c>
      <c r="AG4" s="40">
        <f ca="1">IF(TODAY()-E4&gt;335,((T4+1+(LOG(O4)*4/3))*0.238),((T4+(((TODAY()-E4)^0.5)/(336^0.238))+(LOG(O4)*4/3))*0.238))</f>
        <v>2.0241806259552821</v>
      </c>
      <c r="AH4" s="40">
        <f ca="1">IF(TODAY()-E4&gt;335,((S4+1+(LOG(O4)*4/3))*0.92),((S4+(((TODAY()-E4)^0.5)/(336^0.5))+(LOG(O4)*4/3))*0.92))</f>
        <v>13.993270226836218</v>
      </c>
      <c r="AI4" s="40">
        <f ca="1">IF(TODAY()-E4&gt;335,((S4+1+(LOG(O4)*4/3))*0.414),((S4+(((TODAY()-E4)^0.5)/(336^0.414))+(LOG(O4)*4/3))*0.414))</f>
        <v>6.5338408970615207</v>
      </c>
      <c r="AJ4" s="40">
        <f ca="1">IF(TODAY()-E4&gt;335,((T4+1+(LOG(O4)*4/3))*0.167),((T4+(((TODAY()-E4)^0.5)/(336^0.5))+(LOG(O4)*4/3))*0.167))</f>
        <v>0.8917927476974441</v>
      </c>
      <c r="AK4" s="203">
        <f ca="1">IF(TODAY()-E4&gt;335,((U4+1+(LOG(O4)*4/3))*0.588),((U4+(((TODAY()-E4)^0.5)/(336^0.5))+(LOG(O4)*4/3))*0.588))</f>
        <v>8.345724884108364</v>
      </c>
      <c r="AL4" s="40">
        <f ca="1">IF(TODAY()-E4&gt;335,((S4+1+(LOG(O4)*4/3))*0.4),((S4+(((TODAY()-E4)^0.5)/(336^0.5))+(LOG(O4)*4/3))*0.4))</f>
        <v>6.0840305334070521</v>
      </c>
      <c r="AM4" s="40">
        <f ca="1">IF(TODAY()-E4&gt;335,((T4+1+(LOG(O4)*4/3))*1),((T4+(((TODAY()-E4)^0.5)/(336^0.5))+(LOG(O4)*4/3))*1))</f>
        <v>5.3400763335176293</v>
      </c>
      <c r="AN4" s="40">
        <f ca="1">IF(TODAY()-E4&gt;335,((W4+1+(LOG(O4)*4/3))*0.21)+((V4+1+(LOG(O4)*4/3))*0.341),((W4+(((TODAY()-E4)^0.5)/(336^0.5))+(LOG(O4)*4/3))*0.21)+((V4+(((TODAY()-E4)^0.5)/(336^0.5))+(LOG(O4)*4/3))*0.341))</f>
        <v>5.1149420597682136</v>
      </c>
      <c r="AO4" s="40">
        <f ca="1">IF(TODAY()-E4&gt;335,((T4+1+(LOG(O4)*4/3))*0.305),((T4+(((TODAY()-E4)^0.5)/(336^0.5))+(LOG(O4)*4/3))*0.305))</f>
        <v>1.6287232817228769</v>
      </c>
      <c r="AP4" s="40">
        <f ca="1">IF(TODAY()-E4&gt;335,((U4+1+(LOG(O4)*4/3))*1)+((V4+1+(LOG(O4)*4/3))*0.286),((U4+(((TODAY()-E4)^0.5)/(336^0.5))+(LOG(O4)*4/3))*1)+((V4+(((TODAY()-E4)^0.5)/(336^0.5))+(LOG(O4)*4/3))*0.286))</f>
        <v>17.396631498237003</v>
      </c>
      <c r="AQ4" s="40">
        <f ca="1">IF(TODAY()-E4&gt;335,((T4+1+(LOG(O4)*4/3))*0.406),((T4+(((TODAY()-E4)^0.5)/(336^0.5))+(LOG(O4)*4/3))*0.406))</f>
        <v>2.1680709914081575</v>
      </c>
      <c r="AR4" s="40">
        <f ca="1">IF(Q4="TEC",IF(TODAY()-E4&gt;335,((V4+1+(LOG(O4)*4/3))*0.15)+((V4+1+(LOG(O4)*4/3))*0.324)+((W4+1+(LOG(O4)*4/3))*0.127),((U4+(((TODAY()-E4)^0.5)/(336^0.5))+(LOG(O4)*4/3))*0.15)+((V4+(((TODAY()-E4)^0.5)/(336^0.5))+(LOG(O4)*4/3))*0.324)+((W4+(((TODAY()-E4)^0.5)/(336^0.5))+(LOG(O4)*4/3))*0.127)),IF(TODAY()-E4&gt;335,((V4+1+(LOG(O4)*4/3))*0.144)+((W4+1+(LOG(O4)*4/3))*0.25)+((W4+1+(LOG(O4)*4/3))*0.127),((U4+(((TODAY()-E4)^0.5)/(336^0.5))+(LOG(O4)*4/3))*0.144)+((V4+(((TODAY()-E4)^0.5)/(336^0.5))+(LOG(O4)*4/3))*0.25)+((W4+(((TODAY()-E4)^0.5)/(336^0.5))+(LOG(O4)*4/3))*0.127)))</f>
        <v>5.6274697697626843</v>
      </c>
      <c r="AS4" s="40">
        <f ca="1">IF(Q4="TEC",IF(TODAY()-E4&gt;335,((V4+1+(LOG(O4)*4/3))*0.543)+((W4+1+(LOG(O4)*4/3))*0.583),((V4+(((TODAY()-E4)^0.5)/(336^0.5))+(LOG(O4)*4/3))*0.543)+((W4+(((TODAY()-E4)^0.5)/(336^0.5))+(LOG(O4)*4/3))*0.583)),IF(TODAY()-E4&gt;335,((V4+1+(LOG(O4)*4/3))*0.543)+((W4+1+(LOG(O4)*4/3))*0.583),((V4+(((TODAY()-E4)^0.5)/(336^0.5))+(LOG(O4)*4/3))*0.543)+((W4+(((TODAY()-E4)^0.5)/(336^0.5))+(LOG(O4)*4/3))*0.583)))</f>
        <v>9.6787959515408488</v>
      </c>
    </row>
    <row r="5" spans="1:45" s="98" customFormat="1" x14ac:dyDescent="0.25">
      <c r="A5" s="154" t="str">
        <f>PLANTILLA!D7</f>
        <v>Mateuz Brzostowski</v>
      </c>
      <c r="B5" s="73">
        <f t="shared" ca="1" si="0"/>
        <v>-840623</v>
      </c>
      <c r="C5" s="139">
        <v>30</v>
      </c>
      <c r="D5" s="139">
        <v>29</v>
      </c>
      <c r="E5" s="148">
        <v>42948</v>
      </c>
      <c r="F5" s="140">
        <v>2678987</v>
      </c>
      <c r="G5" s="139">
        <f>PLANTILLA!E7</f>
        <v>31</v>
      </c>
      <c r="H5" s="139">
        <f ca="1">PLANTILLA!F7</f>
        <v>29</v>
      </c>
      <c r="I5" s="49">
        <f t="shared" ca="1" si="1"/>
        <v>43060</v>
      </c>
      <c r="J5" s="155">
        <v>3864250</v>
      </c>
      <c r="K5" s="40">
        <f t="shared" ca="1" si="2"/>
        <v>1</v>
      </c>
      <c r="L5" s="74">
        <f t="shared" si="3"/>
        <v>1185263</v>
      </c>
      <c r="M5" s="76">
        <f>PLANTILLA!V7</f>
        <v>21540</v>
      </c>
      <c r="N5" s="76">
        <f t="shared" ca="1" si="4"/>
        <v>344640</v>
      </c>
      <c r="O5" s="142">
        <f>PLANTILLA!I7</f>
        <v>8.9</v>
      </c>
      <c r="P5" s="142">
        <f>PLANTILLA!H7</f>
        <v>2</v>
      </c>
      <c r="Q5" s="142">
        <f>PLANTILLA!G7</f>
        <v>0</v>
      </c>
      <c r="R5" s="144">
        <f>PLANTILLA!X7</f>
        <v>0</v>
      </c>
      <c r="S5" s="144">
        <f>PLANTILLA!Y7</f>
        <v>14</v>
      </c>
      <c r="T5" s="144">
        <f>PLANTILLA!Z7</f>
        <v>5.0199999999999996</v>
      </c>
      <c r="U5" s="144">
        <f>PLANTILLA!AA7</f>
        <v>10.01</v>
      </c>
      <c r="V5" s="144">
        <f>PLANTILLA!AB7</f>
        <v>9.0399999999999991</v>
      </c>
      <c r="W5" s="144">
        <f>PLANTILLA!AC7</f>
        <v>1.01</v>
      </c>
      <c r="X5" s="144">
        <f>PLANTILLA!AD7</f>
        <v>13.2</v>
      </c>
      <c r="Y5" s="143">
        <f>PLANTILLA!AE7</f>
        <v>1551</v>
      </c>
      <c r="Z5" s="143">
        <f t="shared" ref="Z5" si="12">O5*P5*P5</f>
        <v>35.6</v>
      </c>
      <c r="AA5" s="9">
        <f t="shared" ref="AA5" si="13">((S5+1)+(V5+1)*2)/8</f>
        <v>4.3849999999999998</v>
      </c>
      <c r="AB5" s="9">
        <f t="shared" ref="AB5" si="14">X5*0.7+W5*0.3</f>
        <v>9.5429999999999993</v>
      </c>
      <c r="AC5" s="9">
        <f t="shared" ref="AC5" si="15">(0.5*W5+ 0.3*X5)/10</f>
        <v>0.44650000000000001</v>
      </c>
      <c r="AD5" s="9">
        <f t="shared" ref="AD5" si="16">(0.4*S5+0.3*X5)/10</f>
        <v>0.95600000000000007</v>
      </c>
      <c r="AE5" s="40">
        <f t="shared" ref="AE5" ca="1" si="17">IF(TODAY()-E5&gt;335,((S5+1+(LOG(O5)*4/3))*0.516),((S5+(((TODAY()-E5)^0.5)/(336^0.516))+(LOG(O5)*4/3))*0.516))</f>
        <v>8.1486164490094826</v>
      </c>
      <c r="AF5" s="40">
        <f t="shared" ref="AF5" ca="1" si="18">IF(TODAY()-E5&gt;335,((S5+1+(LOG(O5)*4/3))*1),((S5+(((TODAY()-E5)^0.5)/(336^0.5))+(LOG(O5)*4/3))*1))</f>
        <v>15.843203611382844</v>
      </c>
      <c r="AG5" s="40">
        <f ca="1">IF(TODAY()-E5&gt;335,((T5+1+(LOG(O5)*4/3))*0.238),((T5+(((TODAY()-E5)^0.5)/(336^0.238))+(LOG(O5)*4/3))*0.238))</f>
        <v>2.1268701864110469</v>
      </c>
      <c r="AH5" s="40">
        <f ca="1">IF(TODAY()-E5&gt;335,((S5+1+(LOG(O5)*4/3))*0.92),((S5+(((TODAY()-E5)^0.5)/(336^0.5))+(LOG(O5)*4/3))*0.92))</f>
        <v>14.575747322472218</v>
      </c>
      <c r="AI5" s="40">
        <f ca="1">IF(TODAY()-E5&gt;335,((S5+1+(LOG(O5)*4/3))*0.414),((S5+(((TODAY()-E5)^0.5)/(336^0.414))+(LOG(O5)*4/3))*0.414))</f>
        <v>6.7142526382552532</v>
      </c>
      <c r="AJ5" s="40">
        <f ca="1">IF(TODAY()-E5&gt;335,((T5+1+(LOG(O5)*4/3))*0.167),((T5+(((TODAY()-E5)^0.5)/(336^0.5))+(LOG(O5)*4/3))*0.167))</f>
        <v>1.1461550031009347</v>
      </c>
      <c r="AK5" s="203">
        <f ca="1">IF(TODAY()-E5&gt;335,((U5+1+(LOG(O5)*4/3))*0.588),((U5+(((TODAY()-E5)^0.5)/(336^0.5))+(LOG(O5)*4/3))*0.588))</f>
        <v>6.9696837234931115</v>
      </c>
      <c r="AL5" s="40">
        <f ca="1">IF(TODAY()-E5&gt;335,((S5+1+(LOG(O5)*4/3))*0.4),((S5+(((TODAY()-E5)^0.5)/(336^0.5))+(LOG(O5)*4/3))*0.4))</f>
        <v>6.3372814445531382</v>
      </c>
      <c r="AM5" s="40">
        <f ca="1">IF(TODAY()-E5&gt;335,((T5+1+(LOG(O5)*4/3))*1),((T5+(((TODAY()-E5)^0.5)/(336^0.5))+(LOG(O5)*4/3))*1))</f>
        <v>6.8632036113828425</v>
      </c>
      <c r="AN5" s="40">
        <f ca="1">IF(TODAY()-E5&gt;335,((W5+1+(LOG(O5)*4/3))*0.21)+((V5+1+(LOG(O5)*4/3))*0.341),((W5+(((TODAY()-E5)^0.5)/(336^0.5))+(LOG(O5)*4/3))*0.21)+((V5+(((TODAY()-E5)^0.5)/(336^0.5))+(LOG(O5)*4/3))*0.341))</f>
        <v>4.3103451898719465</v>
      </c>
      <c r="AO5" s="40">
        <f ca="1">IF(TODAY()-E5&gt;335,((T5+1+(LOG(O5)*4/3))*0.305),((T5+(((TODAY()-E5)^0.5)/(336^0.5))+(LOG(O5)*4/3))*0.305))</f>
        <v>2.093277101471767</v>
      </c>
      <c r="AP5" s="40">
        <f ca="1">IF(TODAY()-E5&gt;335,((U5+1+(LOG(O5)*4/3))*1)+((V5+1+(LOG(O5)*4/3))*0.286),((U5+(((TODAY()-E5)^0.5)/(336^0.5))+(LOG(O5)*4/3))*1)+((V5+(((TODAY()-E5)^0.5)/(336^0.5))+(LOG(O5)*4/3))*0.286))</f>
        <v>14.965799844238337</v>
      </c>
      <c r="AQ5" s="40">
        <f ca="1">IF(TODAY()-E5&gt;335,((T5+1+(LOG(O5)*4/3))*0.406),((T5+(((TODAY()-E5)^0.5)/(336^0.5))+(LOG(O5)*4/3))*0.406))</f>
        <v>2.7864606662214344</v>
      </c>
      <c r="AR5" s="40">
        <f ca="1">IF(Q5="TEC",IF(TODAY()-E5&gt;335,((V5+1+(LOG(O5)*4/3))*0.15)+((V5+1+(LOG(O5)*4/3))*0.324)+((W5+1+(LOG(O5)*4/3))*0.127),((U5+(((TODAY()-E5)^0.5)/(336^0.5))+(LOG(O5)*4/3))*0.15)+((V5+(((TODAY()-E5)^0.5)/(336^0.5))+(LOG(O5)*4/3))*0.324)+((W5+(((TODAY()-E5)^0.5)/(336^0.5))+(LOG(O5)*4/3))*0.127)),IF(TODAY()-E5&gt;335,((V5+1+(LOG(O5)*4/3))*0.144)+((W5+1+(LOG(O5)*4/3))*0.25)+((W5+1+(LOG(O5)*4/3))*0.127),((U5+(((TODAY()-E5)^0.5)/(336^0.5))+(LOG(O5)*4/3))*0.144)+((V5+(((TODAY()-E5)^0.5)/(336^0.5))+(LOG(O5)*4/3))*0.25)+((W5+(((TODAY()-E5)^0.5)/(336^0.5))+(LOG(O5)*4/3))*0.127)))</f>
        <v>4.7900190815304615</v>
      </c>
      <c r="AS5" s="40">
        <f ca="1">IF(Q5="TEC",IF(TODAY()-E5&gt;335,((V5+1+(LOG(O5)*4/3))*0.543)+((W5+1+(LOG(O5)*4/3))*0.583),((V5+(((TODAY()-E5)^0.5)/(336^0.5))+(LOG(O5)*4/3))*0.543)+((W5+(((TODAY()-E5)^0.5)/(336^0.5))+(LOG(O5)*4/3))*0.583)),IF(TODAY()-E5&gt;335,((V5+1+(LOG(O5)*4/3))*0.543)+((W5+1+(LOG(O5)*4/3))*0.583),((V5+(((TODAY()-E5)^0.5)/(336^0.5))+(LOG(O5)*4/3))*0.543)+((W5+(((TODAY()-E5)^0.5)/(336^0.5))+(LOG(O5)*4/3))*0.583)))</f>
        <v>7.5729972664170813</v>
      </c>
    </row>
    <row r="6" spans="1:45" s="98" customFormat="1" x14ac:dyDescent="0.25">
      <c r="A6" s="154" t="str">
        <f>PLANTILLA!D8</f>
        <v>Andrea Califano</v>
      </c>
      <c r="B6" s="73">
        <f t="shared" ref="B6" ca="1" si="19">(N6+F6-J6)/K6</f>
        <v>621603.5183246074</v>
      </c>
      <c r="C6" s="139">
        <v>29</v>
      </c>
      <c r="D6" s="139">
        <v>45</v>
      </c>
      <c r="E6" s="148">
        <v>42869</v>
      </c>
      <c r="F6" s="140">
        <v>2346000</v>
      </c>
      <c r="G6" s="139">
        <f>PLANTILLA!E8</f>
        <v>31</v>
      </c>
      <c r="H6" s="139">
        <f ca="1">PLANTILLA!F8</f>
        <v>12</v>
      </c>
      <c r="I6" s="49">
        <f t="shared" ref="I6" ca="1" si="20">E6+(H6-D6+(G6-C6)*112)</f>
        <v>43060</v>
      </c>
      <c r="J6" s="155">
        <v>1854360</v>
      </c>
      <c r="K6" s="40">
        <f t="shared" ref="K6" ca="1" si="21">(I6-E6)/112</f>
        <v>1.7053571428571428</v>
      </c>
      <c r="L6" s="74">
        <f t="shared" ref="L6" si="22">J6-F6</f>
        <v>-491640</v>
      </c>
      <c r="M6" s="76">
        <f>PLANTILLA!V8</f>
        <v>20832</v>
      </c>
      <c r="N6" s="76">
        <f t="shared" ref="N6" ca="1" si="23">((G6-C6)*M6*16)+(H6-D6)/7*M6</f>
        <v>568416</v>
      </c>
      <c r="O6" s="142">
        <f>PLANTILLA!I8</f>
        <v>8.3000000000000007</v>
      </c>
      <c r="P6" s="142">
        <f>PLANTILLA!H8</f>
        <v>3</v>
      </c>
      <c r="Q6" s="142">
        <f>PLANTILLA!G8</f>
        <v>0</v>
      </c>
      <c r="R6" s="144">
        <f>PLANTILLA!X8</f>
        <v>0</v>
      </c>
      <c r="S6" s="144">
        <f>PLANTILLA!Y8</f>
        <v>14</v>
      </c>
      <c r="T6" s="144">
        <f>PLANTILLA!Z8</f>
        <v>3.02</v>
      </c>
      <c r="U6" s="144">
        <f>PLANTILLA!AA8</f>
        <v>3.01</v>
      </c>
      <c r="V6" s="144">
        <f>PLANTILLA!AB8</f>
        <v>10.01</v>
      </c>
      <c r="W6" s="144">
        <f>PLANTILLA!AC8</f>
        <v>3</v>
      </c>
      <c r="X6" s="144">
        <f>PLANTILLA!AD8</f>
        <v>17</v>
      </c>
      <c r="Y6" s="143">
        <f>PLANTILLA!AE8</f>
        <v>1493</v>
      </c>
      <c r="Z6" s="143">
        <f t="shared" ref="Z6" si="24">O6*P6*P6</f>
        <v>74.7</v>
      </c>
      <c r="AA6" s="9">
        <f t="shared" ref="AA6" si="25">((S6+1)+(V6+1)*2)/8</f>
        <v>4.6274999999999995</v>
      </c>
      <c r="AB6" s="9">
        <f t="shared" ref="AB6" si="26">X6*0.7+W6*0.3</f>
        <v>12.799999999999999</v>
      </c>
      <c r="AC6" s="9">
        <f t="shared" ref="AC6" si="27">(0.5*W6+ 0.3*X6)/10</f>
        <v>0.65999999999999992</v>
      </c>
      <c r="AD6" s="9">
        <f t="shared" ref="AD6" si="28">(0.4*S6+0.3*X6)/10</f>
        <v>1.0699999999999998</v>
      </c>
      <c r="AE6" s="40">
        <f t="shared" ref="AE6" ca="1" si="29">IF(TODAY()-E6&gt;335,((S6+1+(LOG(O6)*4/3))*0.516),((S6+(((TODAY()-E6)^0.5)/(336^0.516))+(LOG(O6)*4/3))*0.516))</f>
        <v>8.2107923263629292</v>
      </c>
      <c r="AF6" s="40">
        <f t="shared" ref="AF6" ca="1" si="30">IF(TODAY()-E6&gt;335,((S6+1+(LOG(O6)*4/3))*1),((S6+(((TODAY()-E6)^0.5)/(336^0.5))+(LOG(O6)*4/3))*1))</f>
        <v>15.979395267623765</v>
      </c>
      <c r="AG6" s="40">
        <f ca="1">IF(TODAY()-E6&gt;335,((T6+1+(LOG(O6)*4/3))*0.238),((T6+(((TODAY()-E6)^0.5)/(336^0.238))+(LOG(O6)*4/3))*0.238))</f>
        <v>1.8342200045266426</v>
      </c>
      <c r="AH6" s="40">
        <f ca="1">IF(TODAY()-E6&gt;335,((S6+1+(LOG(O6)*4/3))*0.92),((S6+(((TODAY()-E6)^0.5)/(336^0.5))+(LOG(O6)*4/3))*0.92))</f>
        <v>14.701043646213865</v>
      </c>
      <c r="AI6" s="40">
        <f ca="1">IF(TODAY()-E6&gt;335,((S6+1+(LOG(O6)*4/3))*0.414),((S6+(((TODAY()-E6)^0.5)/(336^0.414))+(LOG(O6)*4/3))*0.414))</f>
        <v>6.8181003187033893</v>
      </c>
      <c r="AJ6" s="40">
        <f ca="1">IF(TODAY()-E6&gt;335,((T6+1+(LOG(O6)*4/3))*0.167),((T6+(((TODAY()-E6)^0.5)/(336^0.5))+(LOG(O6)*4/3))*0.167))</f>
        <v>0.83489900969316888</v>
      </c>
      <c r="AK6" s="203">
        <f ca="1">IF(TODAY()-E6&gt;335,((U6+1+(LOG(O6)*4/3))*0.588),((U6+(((TODAY()-E6)^0.5)/(336^0.5))+(LOG(O6)*4/3))*0.588))</f>
        <v>2.9337644173627742</v>
      </c>
      <c r="AL6" s="40">
        <f ca="1">IF(TODAY()-E6&gt;335,((S6+1+(LOG(O6)*4/3))*0.4),((S6+(((TODAY()-E6)^0.5)/(336^0.5))+(LOG(O6)*4/3))*0.4))</f>
        <v>6.3917581070495064</v>
      </c>
      <c r="AM6" s="40">
        <f ca="1">IF(TODAY()-E6&gt;335,((T6+1+(LOG(O6)*4/3))*1),((T6+(((TODAY()-E6)^0.5)/(336^0.5))+(LOG(O6)*4/3))*1))</f>
        <v>4.9993952676237656</v>
      </c>
      <c r="AN6" s="40">
        <f ca="1">IF(TODAY()-E6&gt;335,((W6+1+(LOG(O6)*4/3))*0.21)+((V6+1+(LOG(O6)*4/3))*0.341),((W6+(((TODAY()-E6)^0.5)/(336^0.5))+(LOG(O6)*4/3))*0.21)+((V6+(((TODAY()-E6)^0.5)/(336^0.5))+(LOG(O6)*4/3))*0.341))</f>
        <v>5.1340567924606946</v>
      </c>
      <c r="AO6" s="40">
        <f ca="1">IF(TODAY()-E6&gt;335,((T6+1+(LOG(O6)*4/3))*0.305),((T6+(((TODAY()-E6)^0.5)/(336^0.5))+(LOG(O6)*4/3))*0.305))</f>
        <v>1.5248155566252486</v>
      </c>
      <c r="AP6" s="40">
        <f ca="1">IF(TODAY()-E6&gt;335,((U6+1+(LOG(O6)*4/3))*1)+((V6+1+(LOG(O6)*4/3))*0.286),((U6+(((TODAY()-E6)^0.5)/(336^0.5))+(LOG(O6)*4/3))*1)+((V6+(((TODAY()-E6)^0.5)/(336^0.5))+(LOG(O6)*4/3))*0.286))</f>
        <v>8.4183623141641633</v>
      </c>
      <c r="AQ6" s="40">
        <f ca="1">IF(TODAY()-E6&gt;335,((T6+1+(LOG(O6)*4/3))*0.406),((T6+(((TODAY()-E6)^0.5)/(336^0.5))+(LOG(O6)*4/3))*0.406))</f>
        <v>2.0297544786552488</v>
      </c>
      <c r="AR6" s="40">
        <f ca="1">IF(Q6="TEC",IF(TODAY()-E6&gt;335,((V6+1+(LOG(O6)*4/3))*0.15)+((V6+1+(LOG(O6)*4/3))*0.324)+((W6+1+(LOG(O6)*4/3))*0.127),((U6+(((TODAY()-E6)^0.5)/(336^0.5))+(LOG(O6)*4/3))*0.15)+((V6+(((TODAY()-E6)^0.5)/(336^0.5))+(LOG(O6)*4/3))*0.324)+((W6+(((TODAY()-E6)^0.5)/(336^0.5))+(LOG(O6)*4/3))*0.127)),IF(TODAY()-E6&gt;335,((V6+1+(LOG(O6)*4/3))*0.144)+((W6+1+(LOG(O6)*4/3))*0.25)+((W6+1+(LOG(O6)*4/3))*0.127),((U6+(((TODAY()-E6)^0.5)/(336^0.5))+(LOG(O6)*4/3))*0.144)+((V6+(((TODAY()-E6)^0.5)/(336^0.5))+(LOG(O6)*4/3))*0.25)+((W6+(((TODAY()-E6)^0.5)/(336^0.5))+(LOG(O6)*4/3))*0.127)))</f>
        <v>4.3482049344319815</v>
      </c>
      <c r="AS6" s="40">
        <f ca="1">IF(Q6="TEC",IF(TODAY()-E6&gt;335,((V6+1+(LOG(O6)*4/3))*0.543)+((W6+1+(LOG(O6)*4/3))*0.583),((V6+(((TODAY()-E6)^0.5)/(336^0.5))+(LOG(O6)*4/3))*0.543)+((W6+(((TODAY()-E6)^0.5)/(336^0.5))+(LOG(O6)*4/3))*0.583)),IF(TODAY()-E6&gt;335,((V6+1+(LOG(O6)*4/3))*0.543)+((W6+1+(LOG(O6)*4/3))*0.583),((V6+(((TODAY()-E6)^0.5)/(336^0.5))+(LOG(O6)*4/3))*0.543)+((W6+(((TODAY()-E6)^0.5)/(336^0.5))+(LOG(O6)*4/3))*0.583)))</f>
        <v>9.4132290713443609</v>
      </c>
    </row>
    <row r="7" spans="1:45" s="98" customFormat="1" x14ac:dyDescent="0.25">
      <c r="A7" s="154" t="str">
        <f>PLANTILLA!D9</f>
        <v>Ibiur Altxakoa</v>
      </c>
      <c r="B7" s="73">
        <f t="shared" ca="1" si="0"/>
        <v>507032.9559748426</v>
      </c>
      <c r="C7" s="139">
        <v>29</v>
      </c>
      <c r="D7" s="139">
        <v>82</v>
      </c>
      <c r="E7" s="148">
        <f>PLANTILLA!M9</f>
        <v>42742</v>
      </c>
      <c r="F7" s="140">
        <v>3642000</v>
      </c>
      <c r="G7" s="139">
        <f>PLANTILLA!E9</f>
        <v>32</v>
      </c>
      <c r="H7" s="156">
        <f ca="1">PLANTILLA!F9</f>
        <v>64</v>
      </c>
      <c r="I7" s="49">
        <f t="shared" ca="1" si="1"/>
        <v>43060</v>
      </c>
      <c r="J7" s="155">
        <v>3200000</v>
      </c>
      <c r="K7" s="40">
        <f t="shared" ca="1" si="2"/>
        <v>2.8392857142857144</v>
      </c>
      <c r="L7" s="74">
        <f t="shared" si="3"/>
        <v>-442000</v>
      </c>
      <c r="M7" s="76">
        <f>PLANTILLA!V9</f>
        <v>21960</v>
      </c>
      <c r="N7" s="76">
        <f t="shared" ca="1" si="4"/>
        <v>997611.42857142852</v>
      </c>
      <c r="O7" s="142">
        <f>PLANTILLA!I9</f>
        <v>10.9</v>
      </c>
      <c r="P7" s="142">
        <f>PLANTILLA!H9</f>
        <v>3</v>
      </c>
      <c r="Q7" s="142" t="str">
        <f>PLANTILLA!G9</f>
        <v>CAB</v>
      </c>
      <c r="R7" s="144">
        <f>PLANTILLA!X9</f>
        <v>0</v>
      </c>
      <c r="S7" s="144">
        <f>PLANTILLA!Y9</f>
        <v>15.028571428571428</v>
      </c>
      <c r="T7" s="144">
        <f>PLANTILLA!Z9</f>
        <v>12</v>
      </c>
      <c r="U7" s="144">
        <f>PLANTILLA!AA9</f>
        <v>2.0099999999999998</v>
      </c>
      <c r="V7" s="144">
        <f>PLANTILLA!AB9</f>
        <v>7.1828571428571424</v>
      </c>
      <c r="W7" s="144">
        <f>PLANTILLA!AC9</f>
        <v>3.99</v>
      </c>
      <c r="X7" s="144">
        <f>PLANTILLA!AD9</f>
        <v>14.399999999999999</v>
      </c>
      <c r="Y7" s="143">
        <f>PLANTILLA!AE9</f>
        <v>1825</v>
      </c>
      <c r="Z7" s="143">
        <f t="shared" si="5"/>
        <v>98.100000000000009</v>
      </c>
      <c r="AA7" s="9">
        <f t="shared" si="6"/>
        <v>4.0492857142857144</v>
      </c>
      <c r="AB7" s="9">
        <f t="shared" si="7"/>
        <v>11.276999999999997</v>
      </c>
      <c r="AC7" s="9">
        <f t="shared" si="8"/>
        <v>0.63149999999999995</v>
      </c>
      <c r="AD7" s="9">
        <f t="shared" si="9"/>
        <v>1.0331428571428571</v>
      </c>
      <c r="AE7" s="40">
        <f t="shared" ca="1" si="10"/>
        <v>8.9258670476001996</v>
      </c>
      <c r="AF7" s="40">
        <f t="shared" ca="1" si="11"/>
        <v>17.384652364292943</v>
      </c>
      <c r="AG7" s="40">
        <f t="shared" ref="AG7:AG16" ca="1" si="31">IF(TODAY()-E7&gt;335,((T7+1+(LOG(O7)*4/3))*0.238),((T7+(((TODAY()-E7)^0.5)/(336^0.238))+(LOG(O7)*4/3))*0.238))</f>
        <v>4.2481818721314246</v>
      </c>
      <c r="AH7" s="40">
        <f t="shared" ref="AH7:AH16" ca="1" si="32">IF(TODAY()-E7&gt;335,((S7+1+(LOG(O7)*4/3))*0.92),((S7+(((TODAY()-E7)^0.5)/(336^0.5))+(LOG(O7)*4/3))*0.92))</f>
        <v>15.993880175149508</v>
      </c>
      <c r="AI7" s="40">
        <f t="shared" ref="AI7:AI16" ca="1" si="33">IF(TODAY()-E7&gt;335,((S7+1+(LOG(O7)*4/3))*0.414),((S7+(((TODAY()-E7)^0.5)/(336^0.414))+(LOG(O7)*4/3))*0.414))</f>
        <v>7.4587041624915562</v>
      </c>
      <c r="AJ7" s="40">
        <f t="shared" ref="AJ7:AJ16" ca="1" si="34">IF(TODAY()-E7&gt;335,((T7+1+(LOG(O7)*4/3))*0.167),((T7+(((TODAY()-E7)^0.5)/(336^0.5))+(LOG(O7)*4/3))*0.167))</f>
        <v>2.397465516265493</v>
      </c>
      <c r="AK7" s="203">
        <f t="shared" ref="AK7:AK16" ca="1" si="35">IF(TODAY()-E7&gt;335,((U7+1+(LOG(O7)*4/3))*0.588),((U7+(((TODAY()-E7)^0.5)/(336^0.5))+(LOG(O7)*4/3))*0.588))</f>
        <v>2.5672555902042506</v>
      </c>
      <c r="AL7" s="40">
        <f t="shared" ref="AL7:AL16" ca="1" si="36">IF(TODAY()-E7&gt;335,((S7+1+(LOG(O7)*4/3))*0.4),((S7+(((TODAY()-E7)^0.5)/(336^0.5))+(LOG(O7)*4/3))*0.4))</f>
        <v>6.9538609457171781</v>
      </c>
      <c r="AM7" s="40">
        <f t="shared" ref="AM7:AM16" ca="1" si="37">IF(TODAY()-E7&gt;335,((T7+1+(LOG(O7)*4/3))*1),((T7+(((TODAY()-E7)^0.5)/(336^0.5))+(LOG(O7)*4/3))*1))</f>
        <v>14.356080935721515</v>
      </c>
      <c r="AN7" s="40">
        <f t="shared" ref="AN7:AN16" ca="1" si="38">IF(TODAY()-E7&gt;335,((W7+1+(LOG(O7)*4/3))*0.21)+((V7+1+(LOG(O7)*4/3))*0.341),((W7+(((TODAY()-E7)^0.5)/(336^0.5))+(LOG(O7)*4/3))*0.21)+((V7+(((TODAY()-E7)^0.5)/(336^0.5))+(LOG(O7)*4/3))*0.341))</f>
        <v>4.5854548812968403</v>
      </c>
      <c r="AO7" s="40">
        <f t="shared" ref="AO7:AO16" ca="1" si="39">IF(TODAY()-E7&gt;335,((T7+1+(LOG(O7)*4/3))*0.305),((T7+(((TODAY()-E7)^0.5)/(336^0.5))+(LOG(O7)*4/3))*0.305))</f>
        <v>4.3786046853950618</v>
      </c>
      <c r="AP7" s="40">
        <f t="shared" ref="AP7:AP16" ca="1" si="40">IF(TODAY()-E7&gt;335,((U7+1+(LOG(O7)*4/3))*1)+((V7+1+(LOG(O7)*4/3))*0.286),((U7+(((TODAY()-E7)^0.5)/(336^0.5))+(LOG(O7)*4/3))*1)+((V7+(((TODAY()-E7)^0.5)/(336^0.5))+(LOG(O7)*4/3))*0.286))</f>
        <v>7.0942172261950098</v>
      </c>
      <c r="AQ7" s="40">
        <f t="shared" ref="AQ7:AQ16" ca="1" si="41">IF(TODAY()-E7&gt;335,((T7+1+(LOG(O7)*4/3))*0.406),((T7+(((TODAY()-E7)^0.5)/(336^0.5))+(LOG(O7)*4/3))*0.406))</f>
        <v>5.8285688599029353</v>
      </c>
      <c r="AR7" s="40">
        <f t="shared" ref="AR7:AR16" ca="1" si="42">IF(Q7="TEC",IF(TODAY()-E7&gt;335,((V7+1+(LOG(O7)*4/3))*0.15)+((V7+1+(LOG(O7)*4/3))*0.324)+((W7+1+(LOG(O7)*4/3))*0.127),((U7+(((TODAY()-E7)^0.5)/(336^0.5))+(LOG(O7)*4/3))*0.15)+((V7+(((TODAY()-E7)^0.5)/(336^0.5))+(LOG(O7)*4/3))*0.324)+((W7+(((TODAY()-E7)^0.5)/(336^0.5))+(LOG(O7)*4/3))*0.127)),IF(TODAY()-E7&gt;335,((V7+1+(LOG(O7)*4/3))*0.144)+((W7+1+(LOG(O7)*4/3))*0.25)+((W7+1+(LOG(O7)*4/3))*0.127),((U7+(((TODAY()-E7)^0.5)/(336^0.5))+(LOG(O7)*4/3))*0.144)+((V7+(((TODAY()-E7)^0.5)/(336^0.5))+(LOG(O7)*4/3))*0.25)+((W7+(((TODAY()-E7)^0.5)/(336^0.5))+(LOG(O7)*4/3))*0.127)))</f>
        <v>3.8194024532251944</v>
      </c>
      <c r="AS7" s="40">
        <f t="shared" ref="AS7:AS16" ca="1" si="43">IF(Q7="TEC",IF(TODAY()-E7&gt;335,((V7+1+(LOG(O7)*4/3))*0.543)+((W7+1+(LOG(O7)*4/3))*0.583),((V7+(((TODAY()-E7)^0.5)/(336^0.5))+(LOG(O7)*4/3))*0.543)+((W7+(((TODAY()-E7)^0.5)/(336^0.5))+(LOG(O7)*4/3))*0.583)),IF(TODAY()-E7&gt;335,((V7+1+(LOG(O7)*4/3))*0.543)+((W7+1+(LOG(O7)*4/3))*0.583),((V7+(((TODAY()-E7)^0.5)/(336^0.5))+(LOG(O7)*4/3))*0.543)+((W7+(((TODAY()-E7)^0.5)/(336^0.5))+(LOG(O7)*4/3))*0.583)))</f>
        <v>8.8794085621938539</v>
      </c>
    </row>
    <row r="8" spans="1:45" s="98" customFormat="1" x14ac:dyDescent="0.25">
      <c r="A8" s="154" t="str">
        <f>PLANTILLA!D10</f>
        <v>Jorge W. Whitaker</v>
      </c>
      <c r="B8" s="73">
        <f ca="1">(N8+F8-J8)/K8</f>
        <v>574863.58974358975</v>
      </c>
      <c r="C8" s="139">
        <v>30</v>
      </c>
      <c r="D8" s="139">
        <v>16</v>
      </c>
      <c r="E8" s="148">
        <f>PLANTILLA!M10</f>
        <v>42865</v>
      </c>
      <c r="F8" s="140">
        <v>3250000</v>
      </c>
      <c r="G8" s="139">
        <f>PLANTILLA!E10</f>
        <v>31</v>
      </c>
      <c r="H8" s="139">
        <f ca="1">PLANTILLA!F10</f>
        <v>99</v>
      </c>
      <c r="I8" s="49">
        <f ca="1">E8+(H8-D8+(G8-C8)*112)</f>
        <v>43060</v>
      </c>
      <c r="J8" s="155">
        <v>3160050</v>
      </c>
      <c r="K8" s="40">
        <f ca="1">(I8-E8)/112</f>
        <v>1.7410714285714286</v>
      </c>
      <c r="L8" s="74">
        <f>J8-F8</f>
        <v>-89950</v>
      </c>
      <c r="M8" s="76">
        <f>PLANTILLA!V10</f>
        <v>32700</v>
      </c>
      <c r="N8" s="76">
        <f ca="1">((G8-C8)*M8*16)+(H8-D8)/7*M8</f>
        <v>910928.57142857136</v>
      </c>
      <c r="O8" s="142">
        <f>PLANTILLA!I10</f>
        <v>9.1999999999999993</v>
      </c>
      <c r="P8" s="142">
        <f>PLANTILLA!H10</f>
        <v>2</v>
      </c>
      <c r="Q8" s="142" t="str">
        <f>PLANTILLA!G10</f>
        <v>POT</v>
      </c>
      <c r="R8" s="144">
        <f>PLANTILLA!X10</f>
        <v>0</v>
      </c>
      <c r="S8" s="144">
        <f>PLANTILLA!Y10</f>
        <v>12</v>
      </c>
      <c r="T8" s="144">
        <f>PLANTILLA!Z10</f>
        <v>15.04</v>
      </c>
      <c r="U8" s="144">
        <f>PLANTILLA!AA10</f>
        <v>2.0099999999999998</v>
      </c>
      <c r="V8" s="144">
        <f>PLANTILLA!AB10</f>
        <v>8.3488888888888884</v>
      </c>
      <c r="W8" s="144">
        <f>PLANTILLA!AC10</f>
        <v>2.1666666666666665</v>
      </c>
      <c r="X8" s="144">
        <f>PLANTILLA!AD10</f>
        <v>8.4</v>
      </c>
      <c r="Y8" s="143">
        <f>PLANTILLA!AE10</f>
        <v>1700</v>
      </c>
      <c r="Z8" s="143">
        <f>O8*P8*P8</f>
        <v>36.799999999999997</v>
      </c>
      <c r="AA8" s="9">
        <f>((S8+1)+(V8+1)*2)/8</f>
        <v>3.9622222222222221</v>
      </c>
      <c r="AB8" s="9">
        <f>X8*0.7+W8*0.3</f>
        <v>6.5299999999999994</v>
      </c>
      <c r="AC8" s="9">
        <f>(0.5*W8+ 0.3*X8)/10</f>
        <v>0.36033333333333334</v>
      </c>
      <c r="AD8" s="9">
        <f>(0.4*S8+0.3*X8)/10</f>
        <v>0.73199999999999998</v>
      </c>
      <c r="AE8" s="40">
        <f ca="1">IF(TODAY()-E8&gt;335,((S8+1+(LOG(O8)*4/3))*0.516),((S8+(((TODAY()-E8)^0.5)/(336^0.516))+(LOG(O8)*4/3))*0.516))</f>
        <v>7.213245084074261</v>
      </c>
      <c r="AF8" s="40">
        <f ca="1">IF(TODAY()-E8&gt;335,((S8+1+(LOG(O8)*4/3))*1),((S8+(((TODAY()-E8)^0.5)/(336^0.5))+(LOG(O8)*4/3))*1))</f>
        <v>14.046862186735794</v>
      </c>
      <c r="AG8" s="40">
        <f ca="1">IF(TODAY()-E8&gt;335,((T8+1+(LOG(O8)*4/3))*0.238),((T8+(((TODAY()-E8)^0.5)/(336^0.238))+(LOG(O8)*4/3))*0.238))</f>
        <v>4.7177494366991732</v>
      </c>
      <c r="AH8" s="40">
        <f ca="1">IF(TODAY()-E8&gt;335,((S8+1+(LOG(O8)*4/3))*0.92),((S8+(((TODAY()-E8)^0.5)/(336^0.5))+(LOG(O8)*4/3))*0.92))</f>
        <v>12.923113211796931</v>
      </c>
      <c r="AI8" s="40">
        <f ca="1">IF(TODAY()-E8&gt;335,((S8+1+(LOG(O8)*4/3))*0.414),((S8+(((TODAY()-E8)^0.5)/(336^0.414))+(LOG(O8)*4/3))*0.414))</f>
        <v>6.0201424164077499</v>
      </c>
      <c r="AJ8" s="40">
        <f ca="1">IF(TODAY()-E8&gt;335,((T8+1+(LOG(O8)*4/3))*0.167),((T8+(((TODAY()-E8)^0.5)/(336^0.5))+(LOG(O8)*4/3))*0.167))</f>
        <v>2.8535059851848774</v>
      </c>
      <c r="AK8" s="203">
        <f ca="1">IF(TODAY()-E8&gt;335,((U8+1+(LOG(O8)*4/3))*0.588),((U8+(((TODAY()-E8)^0.5)/(336^0.5))+(LOG(O8)*4/3))*0.588))</f>
        <v>2.3854349658006475</v>
      </c>
      <c r="AL8" s="40">
        <f ca="1">IF(TODAY()-E8&gt;335,((S8+1+(LOG(O8)*4/3))*0.4),((S8+(((TODAY()-E8)^0.5)/(336^0.5))+(LOG(O8)*4/3))*0.4))</f>
        <v>5.6187448746943183</v>
      </c>
      <c r="AM8" s="40">
        <f ca="1">IF(TODAY()-E8&gt;335,((T8+1+(LOG(O8)*4/3))*1),((T8+(((TODAY()-E8)^0.5)/(336^0.5))+(LOG(O8)*4/3))*1))</f>
        <v>17.086862186735793</v>
      </c>
      <c r="AN8" s="40">
        <f ca="1">IF(TODAY()-E8&gt;335,((W8+1+(LOG(O8)*4/3))*0.21)+((V8+1+(LOG(O8)*4/3))*0.341),((W8+(((TODAY()-E8)^0.5)/(336^0.5))+(LOG(O8)*4/3))*0.21)+((V8+(((TODAY()-E8)^0.5)/(336^0.5))+(LOG(O8)*4/3))*0.341))</f>
        <v>4.4297921760025334</v>
      </c>
      <c r="AO8" s="40">
        <f ca="1">IF(TODAY()-E8&gt;335,((T8+1+(LOG(O8)*4/3))*0.305),((T8+(((TODAY()-E8)^0.5)/(336^0.5))+(LOG(O8)*4/3))*0.305))</f>
        <v>5.2114929669544168</v>
      </c>
      <c r="AP8" s="40">
        <f ca="1">IF(TODAY()-E8&gt;335,((U8+1+(LOG(O8)*4/3))*1)+((V8+1+(LOG(O8)*4/3))*0.286),((U8+(((TODAY()-E8)^0.5)/(336^0.5))+(LOG(O8)*4/3))*1)+((V8+(((TODAY()-E8)^0.5)/(336^0.5))+(LOG(O8)*4/3))*0.286))</f>
        <v>7.0300469943644543</v>
      </c>
      <c r="AQ8" s="40">
        <f ca="1">IF(TODAY()-E8&gt;335,((T8+1+(LOG(O8)*4/3))*0.406),((T8+(((TODAY()-E8)^0.5)/(336^0.5))+(LOG(O8)*4/3))*0.406))</f>
        <v>6.9372660478147328</v>
      </c>
      <c r="AR8" s="40">
        <f ca="1">IF(Q8="TEC",IF(TODAY()-E8&gt;335,((V8+1+(LOG(O8)*4/3))*0.15)+((V8+1+(LOG(O8)*4/3))*0.324)+((W8+1+(LOG(O8)*4/3))*0.127),((U8+(((TODAY()-E8)^0.5)/(336^0.5))+(LOG(O8)*4/3))*0.15)+((V8+(((TODAY()-E8)^0.5)/(336^0.5))+(LOG(O8)*4/3))*0.324)+((W8+(((TODAY()-E8)^0.5)/(336^0.5))+(LOG(O8)*4/3))*0.127)),IF(TODAY()-E8&gt;335,((V8+1+(LOG(O8)*4/3))*0.144)+((W8+1+(LOG(O8)*4/3))*0.25)+((W8+1+(LOG(O8)*4/3))*0.127),((U8+(((TODAY()-E8)^0.5)/(336^0.5))+(LOG(O8)*4/3))*0.144)+((V8+(((TODAY()-E8)^0.5)/(336^0.5))+(LOG(O8)*4/3))*0.25)+((W8+(((TODAY()-E8)^0.5)/(336^0.5))+(LOG(O8)*4/3))*0.127)))</f>
        <v>3.7182440881782375</v>
      </c>
      <c r="AS8" s="40">
        <f ca="1">IF(Q8="TEC",IF(TODAY()-E8&gt;335,((V8+1+(LOG(O8)*4/3))*0.543)+((W8+1+(LOG(O8)*4/3))*0.583),((V8+(((TODAY()-E8)^0.5)/(336^0.5))+(LOG(O8)*4/3))*0.543)+((W8+(((TODAY()-E8)^0.5)/(336^0.5))+(LOG(O8)*4/3))*0.583)),IF(TODAY()-E8&gt;335,((V8+1+(LOG(O8)*4/3))*0.543)+((W8+1+(LOG(O8)*4/3))*0.583),((V8+(((TODAY()-E8)^0.5)/(336^0.5))+(LOG(O8)*4/3))*0.543)+((W8+(((TODAY()-E8)^0.5)/(336^0.5))+(LOG(O8)*4/3))*0.583)))</f>
        <v>8.1013801555978375</v>
      </c>
    </row>
    <row r="9" spans="1:45" s="98" customFormat="1" x14ac:dyDescent="0.25">
      <c r="A9" s="154" t="str">
        <f>PLANTILLA!D11</f>
        <v>Emilio Mochelato</v>
      </c>
      <c r="B9" s="73">
        <f t="shared" ca="1" si="0"/>
        <v>532324.17391304346</v>
      </c>
      <c r="C9" s="139">
        <v>29</v>
      </c>
      <c r="D9" s="139">
        <v>30</v>
      </c>
      <c r="E9" s="148">
        <f>PLANTILLA!M11</f>
        <v>42738</v>
      </c>
      <c r="F9" s="140">
        <v>2168000</v>
      </c>
      <c r="G9" s="139">
        <f>PLANTILLA!E11</f>
        <v>32</v>
      </c>
      <c r="H9" s="156">
        <f ca="1">PLANTILLA!F11</f>
        <v>16</v>
      </c>
      <c r="I9" s="49">
        <f t="shared" ca="1" si="1"/>
        <v>43060</v>
      </c>
      <c r="J9" s="155">
        <v>1640000</v>
      </c>
      <c r="K9" s="40">
        <f t="shared" ca="1" si="2"/>
        <v>2.875</v>
      </c>
      <c r="L9" s="74">
        <f t="shared" si="3"/>
        <v>-528000</v>
      </c>
      <c r="M9" s="76">
        <f>PLANTILLA!V11</f>
        <v>21792</v>
      </c>
      <c r="N9" s="76">
        <f t="shared" ca="1" si="4"/>
        <v>1002432</v>
      </c>
      <c r="O9" s="142">
        <f>PLANTILLA!I11</f>
        <v>10.5</v>
      </c>
      <c r="P9" s="142">
        <f>PLANTILLA!H11</f>
        <v>1</v>
      </c>
      <c r="Q9" s="142" t="str">
        <f>PLANTILLA!G11</f>
        <v>RAP</v>
      </c>
      <c r="R9" s="144">
        <f>PLANTILLA!X11</f>
        <v>0</v>
      </c>
      <c r="S9" s="144">
        <f>PLANTILLA!Y11</f>
        <v>5.0196078431372548</v>
      </c>
      <c r="T9" s="144">
        <f>PLANTILLA!Z11</f>
        <v>14.210000000000003</v>
      </c>
      <c r="U9" s="144">
        <f>PLANTILLA!AA11</f>
        <v>5</v>
      </c>
      <c r="V9" s="144">
        <f>PLANTILLA!AB11</f>
        <v>12.487301587301586</v>
      </c>
      <c r="W9" s="144">
        <f>PLANTILLA!AC11</f>
        <v>3.41</v>
      </c>
      <c r="X9" s="144">
        <f>PLANTILLA!AD11</f>
        <v>15.333333333333332</v>
      </c>
      <c r="Y9" s="143">
        <f>PLANTILLA!AE11</f>
        <v>1571</v>
      </c>
      <c r="Z9" s="143">
        <f t="shared" si="5"/>
        <v>10.5</v>
      </c>
      <c r="AA9" s="9">
        <f t="shared" si="6"/>
        <v>4.1242763772175532</v>
      </c>
      <c r="AB9" s="9">
        <f t="shared" si="7"/>
        <v>11.756333333333332</v>
      </c>
      <c r="AC9" s="9">
        <f t="shared" si="8"/>
        <v>0.63049999999999995</v>
      </c>
      <c r="AD9" s="9">
        <f t="shared" si="9"/>
        <v>0.66078431372549018</v>
      </c>
      <c r="AE9" s="40">
        <f t="shared" ca="1" si="10"/>
        <v>3.752938226138363</v>
      </c>
      <c r="AF9" s="40">
        <f t="shared" ca="1" si="11"/>
        <v>7.3601385856030666</v>
      </c>
      <c r="AG9" s="40">
        <f t="shared" ca="1" si="31"/>
        <v>4.7756737333749406</v>
      </c>
      <c r="AH9" s="40">
        <f t="shared" ca="1" si="32"/>
        <v>6.7713274987548218</v>
      </c>
      <c r="AI9" s="40">
        <f t="shared" ca="1" si="33"/>
        <v>3.3101947098069258</v>
      </c>
      <c r="AJ9" s="40">
        <f t="shared" ca="1" si="34"/>
        <v>2.7639386339917911</v>
      </c>
      <c r="AK9" s="203">
        <f t="shared" ca="1" si="35"/>
        <v>4.3162320765698974</v>
      </c>
      <c r="AL9" s="40">
        <f t="shared" ca="1" si="36"/>
        <v>2.9440554342412266</v>
      </c>
      <c r="AM9" s="40">
        <f t="shared" ca="1" si="37"/>
        <v>16.550530742465813</v>
      </c>
      <c r="AN9" s="40">
        <f t="shared" ca="1" si="38"/>
        <v>6.2639022803685034</v>
      </c>
      <c r="AO9" s="40">
        <f t="shared" ca="1" si="39"/>
        <v>5.0479118764520727</v>
      </c>
      <c r="AP9" s="40">
        <f t="shared" ca="1" si="40"/>
        <v>11.581290788779286</v>
      </c>
      <c r="AQ9" s="40">
        <f t="shared" ca="1" si="41"/>
        <v>6.7195154814411211</v>
      </c>
      <c r="AR9" s="40">
        <f t="shared" ca="1" si="42"/>
        <v>5.4943119136500842</v>
      </c>
      <c r="AS9" s="40">
        <f t="shared" ca="1" si="43"/>
        <v>11.404072377921263</v>
      </c>
    </row>
    <row r="10" spans="1:45" s="98" customFormat="1" x14ac:dyDescent="0.25">
      <c r="A10" s="154" t="str">
        <f>PLANTILLA!D12</f>
        <v>Cezary Pauch</v>
      </c>
      <c r="B10" s="73">
        <f t="shared" ca="1" si="0"/>
        <v>9551.0588235293253</v>
      </c>
      <c r="C10" s="139">
        <v>29</v>
      </c>
      <c r="D10" s="139">
        <v>24</v>
      </c>
      <c r="E10" s="148">
        <v>42975</v>
      </c>
      <c r="F10" s="140">
        <v>3850000</v>
      </c>
      <c r="G10" s="139">
        <f>PLANTILLA!E12</f>
        <v>29</v>
      </c>
      <c r="H10" s="156">
        <f ca="1">PLANTILLA!F12</f>
        <v>109</v>
      </c>
      <c r="I10" s="49">
        <f t="shared" ca="1" si="1"/>
        <v>43060</v>
      </c>
      <c r="J10" s="155">
        <v>4125000</v>
      </c>
      <c r="K10" s="40">
        <f t="shared" ca="1" si="2"/>
        <v>0.7589285714285714</v>
      </c>
      <c r="L10" s="74">
        <f t="shared" si="3"/>
        <v>275000</v>
      </c>
      <c r="M10" s="76">
        <f>PLANTILLA!V12</f>
        <v>23244</v>
      </c>
      <c r="N10" s="76">
        <f t="shared" ca="1" si="4"/>
        <v>282248.57142857142</v>
      </c>
      <c r="O10" s="142">
        <f>PLANTILLA!I12</f>
        <v>6.1</v>
      </c>
      <c r="P10" s="142">
        <f>PLANTILLA!H12</f>
        <v>2</v>
      </c>
      <c r="Q10" s="142" t="str">
        <f>PLANTILLA!G12</f>
        <v>RAP</v>
      </c>
      <c r="R10" s="144">
        <f>PLANTILLA!X12</f>
        <v>0</v>
      </c>
      <c r="S10" s="144">
        <f>PLANTILLA!Y12</f>
        <v>2</v>
      </c>
      <c r="T10" s="144">
        <f>PLANTILLA!Z12</f>
        <v>13.022727272727273</v>
      </c>
      <c r="U10" s="144">
        <f>PLANTILLA!AA12</f>
        <v>14.00679012345679</v>
      </c>
      <c r="V10" s="144">
        <f>PLANTILLA!AB12</f>
        <v>6.9986111111111118</v>
      </c>
      <c r="W10" s="144">
        <f>PLANTILLA!AC12</f>
        <v>5.01</v>
      </c>
      <c r="X10" s="144">
        <f>PLANTILLA!AD12</f>
        <v>0.14444444444444443</v>
      </c>
      <c r="Y10" s="143">
        <f>PLANTILLA!AE12</f>
        <v>1396</v>
      </c>
      <c r="Z10" s="143">
        <f t="shared" si="5"/>
        <v>24.4</v>
      </c>
      <c r="AA10" s="9">
        <f t="shared" si="6"/>
        <v>2.3746527777777779</v>
      </c>
      <c r="AB10" s="9">
        <f t="shared" si="7"/>
        <v>1.604111111111111</v>
      </c>
      <c r="AC10" s="9">
        <f t="shared" si="8"/>
        <v>0.25483333333333336</v>
      </c>
      <c r="AD10" s="9">
        <f t="shared" si="9"/>
        <v>8.4333333333333343E-2</v>
      </c>
      <c r="AE10" s="40">
        <f t="shared" ca="1" si="10"/>
        <v>1.8087725956249256</v>
      </c>
      <c r="AF10" s="40">
        <f t="shared" ca="1" si="11"/>
        <v>3.5500738317828704</v>
      </c>
      <c r="AG10" s="40">
        <f t="shared" ca="1" si="31"/>
        <v>3.8981836609223759</v>
      </c>
      <c r="AH10" s="40">
        <f t="shared" ca="1" si="32"/>
        <v>3.2660679252402409</v>
      </c>
      <c r="AI10" s="40">
        <f t="shared" ca="1" si="33"/>
        <v>1.6049060638526731</v>
      </c>
      <c r="AJ10" s="40">
        <f t="shared" ca="1" si="34"/>
        <v>2.4336577844531941</v>
      </c>
      <c r="AK10" s="203">
        <f t="shared" ca="1" si="35"/>
        <v>9.1474360056809196</v>
      </c>
      <c r="AL10" s="40">
        <f t="shared" ca="1" si="36"/>
        <v>1.4200295327131482</v>
      </c>
      <c r="AM10" s="40">
        <f t="shared" ca="1" si="37"/>
        <v>14.572801104510143</v>
      </c>
      <c r="AN10" s="40">
        <f t="shared" ca="1" si="38"/>
        <v>4.2927170702012516</v>
      </c>
      <c r="AO10" s="40">
        <f t="shared" ca="1" si="39"/>
        <v>4.4447043368755939</v>
      </c>
      <c r="AP10" s="40">
        <f t="shared" ca="1" si="40"/>
        <v>18.001787848907338</v>
      </c>
      <c r="AQ10" s="40">
        <f t="shared" ca="1" si="41"/>
        <v>5.9165572484311184</v>
      </c>
      <c r="AR10" s="40">
        <f t="shared" ca="1" si="42"/>
        <v>5.210489021914432</v>
      </c>
      <c r="AS10" s="40">
        <f t="shared" ca="1" si="43"/>
        <v>8.4664589679208468</v>
      </c>
    </row>
    <row r="11" spans="1:45" s="98" customFormat="1" x14ac:dyDescent="0.25">
      <c r="A11" s="154" t="str">
        <f>PLANTILLA!D13</f>
        <v>Iyad Chaabo</v>
      </c>
      <c r="B11" s="73">
        <f t="shared" ca="1" si="0"/>
        <v>-150333.2765957446</v>
      </c>
      <c r="C11" s="139">
        <v>30</v>
      </c>
      <c r="D11" s="139">
        <v>4</v>
      </c>
      <c r="E11" s="148">
        <f>PLANTILLA!M13</f>
        <v>42872</v>
      </c>
      <c r="F11" s="140">
        <v>2410000</v>
      </c>
      <c r="G11" s="139">
        <f>PLANTILLA!E13</f>
        <v>31</v>
      </c>
      <c r="H11" s="156">
        <f ca="1">PLANTILLA!F13</f>
        <v>80</v>
      </c>
      <c r="I11" s="49">
        <f t="shared" ca="1" si="1"/>
        <v>43060</v>
      </c>
      <c r="J11" s="155">
        <v>3110000</v>
      </c>
      <c r="K11" s="40">
        <f t="shared" ca="1" si="2"/>
        <v>1.6785714285714286</v>
      </c>
      <c r="L11" s="74">
        <f t="shared" si="3"/>
        <v>700000</v>
      </c>
      <c r="M11" s="76">
        <f>PLANTILLA!V13</f>
        <v>16668</v>
      </c>
      <c r="N11" s="76">
        <f t="shared" ca="1" si="4"/>
        <v>447654.85714285716</v>
      </c>
      <c r="O11" s="142">
        <f>PLANTILLA!I13</f>
        <v>8.6999999999999993</v>
      </c>
      <c r="P11" s="142">
        <f>PLANTILLA!H13</f>
        <v>2</v>
      </c>
      <c r="Q11" s="142">
        <f>PLANTILLA!G13</f>
        <v>0</v>
      </c>
      <c r="R11" s="144">
        <f>PLANTILLA!X13</f>
        <v>0</v>
      </c>
      <c r="S11" s="144">
        <f>PLANTILLA!Y13</f>
        <v>4</v>
      </c>
      <c r="T11" s="144">
        <f>PLANTILLA!Z13</f>
        <v>12.022727272727273</v>
      </c>
      <c r="U11" s="144">
        <f>PLANTILLA!AA13</f>
        <v>14.066666666666666</v>
      </c>
      <c r="V11" s="144">
        <f>PLANTILLA!AB13</f>
        <v>8.5999999999999979</v>
      </c>
      <c r="W11" s="144">
        <f>PLANTILLA!AC13</f>
        <v>3.01</v>
      </c>
      <c r="X11" s="144">
        <f>PLANTILLA!AD13</f>
        <v>5.5</v>
      </c>
      <c r="Y11" s="143">
        <f>PLANTILLA!AE13</f>
        <v>1364</v>
      </c>
      <c r="Z11" s="143">
        <f t="shared" si="5"/>
        <v>34.799999999999997</v>
      </c>
      <c r="AA11" s="9">
        <f t="shared" si="6"/>
        <v>3.0249999999999995</v>
      </c>
      <c r="AB11" s="9">
        <f t="shared" si="7"/>
        <v>4.7529999999999992</v>
      </c>
      <c r="AC11" s="9">
        <f t="shared" si="8"/>
        <v>0.3155</v>
      </c>
      <c r="AD11" s="9">
        <f t="shared" si="9"/>
        <v>0.32500000000000001</v>
      </c>
      <c r="AE11" s="40">
        <f t="shared" ca="1" si="10"/>
        <v>3.0620610577808192</v>
      </c>
      <c r="AF11" s="40">
        <f t="shared" ca="1" si="11"/>
        <v>6.0007055783679206</v>
      </c>
      <c r="AG11" s="40">
        <f t="shared" ca="1" si="31"/>
        <v>3.9768604711954203</v>
      </c>
      <c r="AH11" s="40">
        <f t="shared" ca="1" si="32"/>
        <v>5.5206491320984874</v>
      </c>
      <c r="AI11" s="40">
        <f t="shared" ca="1" si="33"/>
        <v>2.6853251486693872</v>
      </c>
      <c r="AJ11" s="40">
        <f t="shared" ca="1" si="34"/>
        <v>2.3419132861328977</v>
      </c>
      <c r="AK11" s="203">
        <f t="shared" ca="1" si="35"/>
        <v>9.4476148800803372</v>
      </c>
      <c r="AL11" s="40">
        <f t="shared" ca="1" si="36"/>
        <v>2.4002822313471683</v>
      </c>
      <c r="AM11" s="40">
        <f t="shared" ca="1" si="37"/>
        <v>14.023432851095194</v>
      </c>
      <c r="AN11" s="40">
        <f t="shared" ca="1" si="38"/>
        <v>4.6670887736807236</v>
      </c>
      <c r="AO11" s="40">
        <f t="shared" ca="1" si="39"/>
        <v>4.2771470195840342</v>
      </c>
      <c r="AP11" s="40">
        <f t="shared" ca="1" si="40"/>
        <v>19.09917404044781</v>
      </c>
      <c r="AQ11" s="40">
        <f t="shared" ca="1" si="41"/>
        <v>5.6935137375446487</v>
      </c>
      <c r="AR11" s="40">
        <f t="shared" ca="1" si="42"/>
        <v>5.6002376063296859</v>
      </c>
      <c r="AS11" s="40">
        <f t="shared" ca="1" si="43"/>
        <v>8.6774244812422765</v>
      </c>
    </row>
    <row r="12" spans="1:45" s="98" customFormat="1" x14ac:dyDescent="0.25">
      <c r="A12" s="154" t="str">
        <f>PLANTILLA!D14</f>
        <v>Morgan Thomas</v>
      </c>
      <c r="B12" s="73">
        <f t="shared" ref="B12" ca="1" si="44">(N12+F12-J12)/K12</f>
        <v>299354.11494252871</v>
      </c>
      <c r="C12" s="139">
        <v>29</v>
      </c>
      <c r="D12" s="139">
        <v>93</v>
      </c>
      <c r="E12" s="148">
        <f>PLANTILLA!M14</f>
        <v>42712</v>
      </c>
      <c r="F12" s="140">
        <v>3049000</v>
      </c>
      <c r="G12" s="139">
        <f>PLANTILLA!E14</f>
        <v>32</v>
      </c>
      <c r="H12" s="156">
        <f ca="1">PLANTILLA!F14</f>
        <v>105</v>
      </c>
      <c r="I12" s="49">
        <f t="shared" ref="I12" ca="1" si="45">E12+(H12-D12+(G12-C12)*112)</f>
        <v>43060</v>
      </c>
      <c r="J12" s="155">
        <v>3000000</v>
      </c>
      <c r="K12" s="40">
        <f t="shared" ref="K12" ca="1" si="46">(I12-E12)/112</f>
        <v>3.1071428571428572</v>
      </c>
      <c r="L12" s="74">
        <f t="shared" ref="L12" si="47">J12-F12</f>
        <v>-49000</v>
      </c>
      <c r="M12" s="76">
        <f>PLANTILLA!V14</f>
        <v>17724</v>
      </c>
      <c r="N12" s="76">
        <f t="shared" ref="N12" ca="1" si="48">((G12-C12)*M12*16)+(H12-D12)/7*M12</f>
        <v>881136</v>
      </c>
      <c r="O12" s="142">
        <f>PLANTILLA!I14</f>
        <v>10.199999999999999</v>
      </c>
      <c r="P12" s="142">
        <f>PLANTILLA!H14</f>
        <v>1</v>
      </c>
      <c r="Q12" s="142" t="str">
        <f>PLANTILLA!G14</f>
        <v>CAB</v>
      </c>
      <c r="R12" s="144">
        <f>PLANTILLA!X14</f>
        <v>0</v>
      </c>
      <c r="S12" s="144">
        <f>PLANTILLA!Y14</f>
        <v>1.037037037037037</v>
      </c>
      <c r="T12" s="144">
        <f>PLANTILLA!Z14</f>
        <v>13.230909090909091</v>
      </c>
      <c r="U12" s="144">
        <f>PLANTILLA!AA14</f>
        <v>14.058518518518518</v>
      </c>
      <c r="V12" s="144">
        <f>PLANTILLA!AB14</f>
        <v>10.936666666666666</v>
      </c>
      <c r="W12" s="144">
        <f>PLANTILLA!AC14</f>
        <v>3.0399999999999996</v>
      </c>
      <c r="X12" s="144">
        <f>PLANTILLA!AD14</f>
        <v>10</v>
      </c>
      <c r="Y12" s="143">
        <f>PLANTILLA!AE14</f>
        <v>1524</v>
      </c>
      <c r="Z12" s="143">
        <f t="shared" ref="Z12" si="49">O12*P12*P12</f>
        <v>10.199999999999999</v>
      </c>
      <c r="AA12" s="9">
        <f t="shared" ref="AA12" si="50">((S12+1)+(V12+1)*2)/8</f>
        <v>3.2387962962962962</v>
      </c>
      <c r="AB12" s="9">
        <f t="shared" ref="AB12" si="51">X12*0.7+W12*0.3</f>
        <v>7.9119999999999999</v>
      </c>
      <c r="AC12" s="9">
        <f t="shared" ref="AC12" si="52">(0.5*W12+ 0.3*X12)/10</f>
        <v>0.45199999999999996</v>
      </c>
      <c r="AD12" s="9">
        <f t="shared" ref="AD12" si="53">(0.4*S12+0.3*X12)/10</f>
        <v>0.3414814814814815</v>
      </c>
      <c r="AE12" s="40">
        <f t="shared" ref="AE12" ca="1" si="54">IF(TODAY()-E12&gt;335,((S12+1+(LOG(O12)*4/3))*0.516),((S12+(((TODAY()-E12)^0.5)/(336^0.516))+(LOG(O12)*4/3))*0.516))</f>
        <v>1.7450280292833105</v>
      </c>
      <c r="AF12" s="40">
        <f t="shared" ref="AF12" ca="1" si="55">IF(TODAY()-E12&gt;335,((S12+1+(LOG(O12)*4/3))*1),((S12+(((TODAY()-E12)^0.5)/(336^0.5))+(LOG(O12)*4/3))*1))</f>
        <v>3.3818372660529272</v>
      </c>
      <c r="AG12" s="40">
        <f t="shared" ref="AG12" ca="1" si="56">IF(TODAY()-E12&gt;335,((T12+1+(LOG(O12)*4/3))*0.238),((T12+(((TODAY()-E12)^0.5)/(336^0.238))+(LOG(O12)*4/3))*0.238))</f>
        <v>3.7070188181421453</v>
      </c>
      <c r="AH12" s="40">
        <f t="shared" ref="AH12" ca="1" si="57">IF(TODAY()-E12&gt;335,((S12+1+(LOG(O12)*4/3))*0.92),((S12+(((TODAY()-E12)^0.5)/(336^0.5))+(LOG(O12)*4/3))*0.92))</f>
        <v>3.1112902847686934</v>
      </c>
      <c r="AI12" s="40">
        <f t="shared" ref="AI12" ca="1" si="58">IF(TODAY()-E12&gt;335,((S12+1+(LOG(O12)*4/3))*0.414),((S12+(((TODAY()-E12)^0.5)/(336^0.414))+(LOG(O12)*4/3))*0.414))</f>
        <v>1.4000806281459117</v>
      </c>
      <c r="AJ12" s="40">
        <f t="shared" ref="AJ12" ca="1" si="59">IF(TODAY()-E12&gt;335,((T12+1+(LOG(O12)*4/3))*0.167),((T12+(((TODAY()-E12)^0.5)/(336^0.5))+(LOG(O12)*4/3))*0.167))</f>
        <v>2.6011434564274718</v>
      </c>
      <c r="AK12" s="203">
        <f t="shared" ref="AK12" ca="1" si="60">IF(TODAY()-E12&gt;335,((U12+1+(LOG(O12)*4/3))*0.588),((U12+(((TODAY()-E12)^0.5)/(336^0.5))+(LOG(O12)*4/3))*0.588))</f>
        <v>9.6451514235502298</v>
      </c>
      <c r="AL12" s="40">
        <f t="shared" ref="AL12" ca="1" si="61">IF(TODAY()-E12&gt;335,((S12+1+(LOG(O12)*4/3))*0.4),((S12+(((TODAY()-E12)^0.5)/(336^0.5))+(LOG(O12)*4/3))*0.4))</f>
        <v>1.3527349064211709</v>
      </c>
      <c r="AM12" s="40">
        <f t="shared" ref="AM12" ca="1" si="62">IF(TODAY()-E12&gt;335,((T12+1+(LOG(O12)*4/3))*1),((T12+(((TODAY()-E12)^0.5)/(336^0.5))+(LOG(O12)*4/3))*1))</f>
        <v>15.575709319924981</v>
      </c>
      <c r="AN12" s="40">
        <f t="shared" ref="AN12" ca="1" si="63">IF(TODAY()-E12&gt;335,((W12+1+(LOG(O12)*4/3))*0.21)+((V12+1+(LOG(O12)*4/3))*0.341),((W12+(((TODAY()-E12)^0.5)/(336^0.5))+(LOG(O12)*4/3))*0.21)+((V12+(((TODAY()-E12)^0.5)/(336^0.5))+(LOG(O12)*4/3))*0.341))</f>
        <v>5.659788259521088</v>
      </c>
      <c r="AO12" s="40">
        <f t="shared" ref="AO12" ca="1" si="64">IF(TODAY()-E12&gt;335,((T12+1+(LOG(O12)*4/3))*0.305),((T12+(((TODAY()-E12)^0.5)/(336^0.5))+(LOG(O12)*4/3))*0.305))</f>
        <v>4.7505913425771187</v>
      </c>
      <c r="AP12" s="40">
        <f t="shared" ref="AP12" ca="1" si="65">IF(TODAY()-E12&gt;335,((U12+1+(LOG(O12)*4/3))*1)+((V12+1+(LOG(O12)*4/3))*0.286),((U12+(((TODAY()-E12)^0.5)/(336^0.5))+(LOG(O12)*4/3))*1)+((V12+(((TODAY()-E12)^0.5)/(336^0.5))+(LOG(O12)*4/3))*0.286))</f>
        <v>20.201818279699616</v>
      </c>
      <c r="AQ12" s="40">
        <f t="shared" ref="AQ12" ca="1" si="66">IF(TODAY()-E12&gt;335,((T12+1+(LOG(O12)*4/3))*0.406),((T12+(((TODAY()-E12)^0.5)/(336^0.5))+(LOG(O12)*4/3))*0.406))</f>
        <v>6.3237379838895427</v>
      </c>
      <c r="AR12" s="40">
        <f t="shared" ref="AR12" ca="1" si="67">IF(Q12="TEC",IF(TODAY()-E12&gt;335,((V12+1+(LOG(O12)*4/3))*0.15)+((V12+1+(LOG(O12)*4/3))*0.324)+((W12+1+(LOG(O12)*4/3))*0.127),((U12+(((TODAY()-E12)^0.5)/(336^0.5))+(LOG(O12)*4/3))*0.15)+((V12+(((TODAY()-E12)^0.5)/(336^0.5))+(LOG(O12)*4/3))*0.324)+((W12+(((TODAY()-E12)^0.5)/(336^0.5))+(LOG(O12)*4/3))*0.127)),IF(TODAY()-E12&gt;335,((V12+1+(LOG(O12)*4/3))*0.144)+((W12+1+(LOG(O12)*4/3))*0.25)+((W12+1+(LOG(O12)*4/3))*0.127),((U12+(((TODAY()-E12)^0.5)/(336^0.5))+(LOG(O12)*4/3))*0.144)+((V12+(((TODAY()-E12)^0.5)/(336^0.5))+(LOG(O12)*4/3))*0.25)+((W12+(((TODAY()-E12)^0.5)/(336^0.5))+(LOG(O12)*4/3))*0.127)))</f>
        <v>3.9426009193172784</v>
      </c>
      <c r="AS12" s="40">
        <f t="shared" ref="AS12" ca="1" si="68">IF(Q12="TEC",IF(TODAY()-E12&gt;335,((V12+1+(LOG(O12)*4/3))*0.543)+((W12+1+(LOG(O12)*4/3))*0.583),((V12+(((TODAY()-E12)^0.5)/(336^0.5))+(LOG(O12)*4/3))*0.543)+((W12+(((TODAY()-E12)^0.5)/(336^0.5))+(LOG(O12)*4/3))*0.583)),IF(TODAY()-E12&gt;335,((V12+1+(LOG(O12)*4/3))*0.543)+((W12+1+(LOG(O12)*4/3))*0.583),((V12+(((TODAY()-E12)^0.5)/(336^0.5))+(LOG(O12)*4/3))*0.543)+((W12+(((TODAY()-E12)^0.5)/(336^0.5))+(LOG(O12)*4/3))*0.583)))</f>
        <v>10.351175057871892</v>
      </c>
    </row>
    <row r="13" spans="1:45" s="98" customFormat="1" x14ac:dyDescent="0.25">
      <c r="A13" s="154" t="str">
        <f>PLANTILLA!D15</f>
        <v>Gianfranco Rezza</v>
      </c>
      <c r="B13" s="73">
        <f t="shared" ca="1" si="0"/>
        <v>-113.5038520801692</v>
      </c>
      <c r="C13" s="139">
        <v>24</v>
      </c>
      <c r="D13" s="139">
        <v>30</v>
      </c>
      <c r="E13" s="148">
        <f>PLANTILLA!M15</f>
        <v>42411</v>
      </c>
      <c r="F13" s="140">
        <v>2399000</v>
      </c>
      <c r="G13" s="139">
        <f>PLANTILLA!E15</f>
        <v>30</v>
      </c>
      <c r="H13" s="156">
        <f ca="1">PLANTILLA!F15</f>
        <v>7</v>
      </c>
      <c r="I13" s="49">
        <f t="shared" ca="1" si="1"/>
        <v>43060</v>
      </c>
      <c r="J13" s="155">
        <v>5200000</v>
      </c>
      <c r="K13" s="40">
        <f t="shared" ca="1" si="2"/>
        <v>5.7946428571428568</v>
      </c>
      <c r="L13" s="74">
        <f t="shared" si="3"/>
        <v>2801000</v>
      </c>
      <c r="M13" s="76">
        <f>PLANTILLA!V15</f>
        <v>30204</v>
      </c>
      <c r="N13" s="76">
        <f t="shared" ca="1" si="4"/>
        <v>2800342.2857142859</v>
      </c>
      <c r="O13" s="142">
        <f>PLANTILLA!I15</f>
        <v>9.3000000000000007</v>
      </c>
      <c r="P13" s="142">
        <f>PLANTILLA!H15</f>
        <v>4</v>
      </c>
      <c r="Q13" s="142" t="str">
        <f>PLANTILLA!G15</f>
        <v>CAB</v>
      </c>
      <c r="R13" s="144">
        <f>PLANTILLA!X15</f>
        <v>0</v>
      </c>
      <c r="S13" s="144">
        <f>PLANTILLA!Y15</f>
        <v>2</v>
      </c>
      <c r="T13" s="144">
        <f>PLANTILLA!Z15</f>
        <v>14.066666666666666</v>
      </c>
      <c r="U13" s="144">
        <f>PLANTILLA!AA15</f>
        <v>2.125</v>
      </c>
      <c r="V13" s="144">
        <f>PLANTILLA!AB15</f>
        <v>14.460000000000004</v>
      </c>
      <c r="W13" s="144">
        <f>PLANTILLA!AC15</f>
        <v>8.1057777777777762</v>
      </c>
      <c r="X13" s="144">
        <f>PLANTILLA!AD15</f>
        <v>14</v>
      </c>
      <c r="Y13" s="143">
        <f>PLANTILLA!AE15</f>
        <v>1756</v>
      </c>
      <c r="Z13" s="143">
        <f t="shared" si="5"/>
        <v>148.80000000000001</v>
      </c>
      <c r="AA13" s="9">
        <f t="shared" si="6"/>
        <v>4.2400000000000011</v>
      </c>
      <c r="AB13" s="9">
        <f t="shared" si="7"/>
        <v>12.231733333333331</v>
      </c>
      <c r="AC13" s="9">
        <f t="shared" si="8"/>
        <v>0.82528888888888885</v>
      </c>
      <c r="AD13" s="9">
        <f t="shared" si="9"/>
        <v>0.5</v>
      </c>
      <c r="AE13" s="40">
        <f t="shared" ca="1" si="10"/>
        <v>2.2143162686051072</v>
      </c>
      <c r="AF13" s="40">
        <f t="shared" ca="1" si="11"/>
        <v>4.2913105980719131</v>
      </c>
      <c r="AG13" s="40">
        <f t="shared" ca="1" si="31"/>
        <v>3.8931985890077816</v>
      </c>
      <c r="AH13" s="40">
        <f t="shared" ca="1" si="32"/>
        <v>3.9480057502261601</v>
      </c>
      <c r="AI13" s="40">
        <f t="shared" ca="1" si="33"/>
        <v>1.7766025876017719</v>
      </c>
      <c r="AJ13" s="40">
        <f t="shared" ca="1" si="34"/>
        <v>2.7317822032113428</v>
      </c>
      <c r="AK13" s="203">
        <f t="shared" ca="1" si="35"/>
        <v>2.5967906316662845</v>
      </c>
      <c r="AL13" s="40">
        <f t="shared" ca="1" si="36"/>
        <v>1.7165242392287654</v>
      </c>
      <c r="AM13" s="40">
        <f t="shared" ca="1" si="37"/>
        <v>16.357977264738579</v>
      </c>
      <c r="AN13" s="40">
        <f t="shared" ca="1" si="38"/>
        <v>7.8955854728709589</v>
      </c>
      <c r="AO13" s="40">
        <f t="shared" ca="1" si="39"/>
        <v>4.9891830657452667</v>
      </c>
      <c r="AP13" s="40">
        <f t="shared" ca="1" si="40"/>
        <v>9.2071854291204822</v>
      </c>
      <c r="AQ13" s="40">
        <f t="shared" ca="1" si="41"/>
        <v>6.6413387694838635</v>
      </c>
      <c r="AR13" s="40">
        <f t="shared" ca="1" si="42"/>
        <v>6.3318910438176887</v>
      </c>
      <c r="AS13" s="40">
        <f t="shared" ca="1" si="43"/>
        <v>15.157464177873422</v>
      </c>
    </row>
    <row r="14" spans="1:45" s="98" customFormat="1" x14ac:dyDescent="0.25">
      <c r="A14" s="154" t="str">
        <f>PLANTILLA!D16</f>
        <v>Saul Piña</v>
      </c>
      <c r="B14" s="73">
        <f t="shared" ca="1" si="0"/>
        <v>148816.14678899082</v>
      </c>
      <c r="C14" s="139">
        <v>22</v>
      </c>
      <c r="D14" s="139">
        <v>91</v>
      </c>
      <c r="E14" s="148">
        <f>PLANTILLA!M16</f>
        <v>42297</v>
      </c>
      <c r="F14" s="140">
        <v>2862000</v>
      </c>
      <c r="G14" s="139">
        <f>PLANTILLA!E16</f>
        <v>29</v>
      </c>
      <c r="H14" s="156">
        <f ca="1">PLANTILLA!F16</f>
        <v>70</v>
      </c>
      <c r="I14" s="49">
        <f t="shared" ca="1" si="1"/>
        <v>43060</v>
      </c>
      <c r="J14" s="155">
        <v>4910000</v>
      </c>
      <c r="K14" s="40">
        <f t="shared" ca="1" si="2"/>
        <v>6.8125</v>
      </c>
      <c r="L14" s="74">
        <f t="shared" si="3"/>
        <v>2048000</v>
      </c>
      <c r="M14" s="76">
        <f>PLANTILLA!V16</f>
        <v>28090</v>
      </c>
      <c r="N14" s="76">
        <f t="shared" ca="1" si="4"/>
        <v>3061810</v>
      </c>
      <c r="O14" s="142">
        <f>PLANTILLA!I16</f>
        <v>8.4</v>
      </c>
      <c r="P14" s="142">
        <f>PLANTILLA!H16</f>
        <v>6</v>
      </c>
      <c r="Q14" s="142" t="str">
        <f>PLANTILLA!G16</f>
        <v>TEC</v>
      </c>
      <c r="R14" s="144">
        <f>PLANTILLA!X16</f>
        <v>0</v>
      </c>
      <c r="S14" s="144">
        <f>PLANTILLA!Y16</f>
        <v>2.2000000000000002</v>
      </c>
      <c r="T14" s="144">
        <f>PLANTILLA!Z16</f>
        <v>14.399999999999999</v>
      </c>
      <c r="U14" s="144">
        <f>PLANTILLA!AA16</f>
        <v>1.33</v>
      </c>
      <c r="V14" s="144">
        <f>PLANTILLA!AB16</f>
        <v>14.142888888888882</v>
      </c>
      <c r="W14" s="144">
        <f>PLANTILLA!AC16</f>
        <v>9.3399999999999981</v>
      </c>
      <c r="X14" s="144">
        <f>PLANTILLA!AD16</f>
        <v>15.2</v>
      </c>
      <c r="Y14" s="143">
        <f>PLANTILLA!AE16</f>
        <v>1829</v>
      </c>
      <c r="Z14" s="143">
        <f t="shared" si="5"/>
        <v>302.40000000000003</v>
      </c>
      <c r="AA14" s="9">
        <f t="shared" si="6"/>
        <v>4.1857222222222203</v>
      </c>
      <c r="AB14" s="9">
        <f t="shared" si="7"/>
        <v>13.441999999999998</v>
      </c>
      <c r="AC14" s="9">
        <f t="shared" si="8"/>
        <v>0.92299999999999982</v>
      </c>
      <c r="AD14" s="9">
        <f t="shared" si="9"/>
        <v>0.54399999999999993</v>
      </c>
      <c r="AE14" s="40">
        <f t="shared" ca="1" si="10"/>
        <v>2.2871041488105743</v>
      </c>
      <c r="AF14" s="40">
        <f t="shared" ca="1" si="11"/>
        <v>4.432372381415842</v>
      </c>
      <c r="AG14" s="40">
        <f t="shared" ca="1" si="31"/>
        <v>3.9585046267769699</v>
      </c>
      <c r="AH14" s="40">
        <f t="shared" ca="1" si="32"/>
        <v>4.0777825909025749</v>
      </c>
      <c r="AI14" s="40">
        <f t="shared" ca="1" si="33"/>
        <v>1.8350021659061584</v>
      </c>
      <c r="AJ14" s="40">
        <f t="shared" ca="1" si="34"/>
        <v>2.7776061876964455</v>
      </c>
      <c r="AK14" s="203">
        <f t="shared" ca="1" si="35"/>
        <v>2.0946749602725152</v>
      </c>
      <c r="AL14" s="40">
        <f t="shared" ca="1" si="36"/>
        <v>1.7729489525663369</v>
      </c>
      <c r="AM14" s="40">
        <f t="shared" ca="1" si="37"/>
        <v>16.632372381415841</v>
      </c>
      <c r="AN14" s="40">
        <f t="shared" ca="1" si="38"/>
        <v>8.0141622932712373</v>
      </c>
      <c r="AO14" s="40">
        <f t="shared" ca="1" si="39"/>
        <v>5.0728735763318316</v>
      </c>
      <c r="AP14" s="40">
        <f t="shared" ca="1" si="40"/>
        <v>8.2456971047229928</v>
      </c>
      <c r="AQ14" s="40">
        <f t="shared" ca="1" si="41"/>
        <v>6.7527431868548318</v>
      </c>
      <c r="AR14" s="40">
        <f t="shared" ca="1" si="42"/>
        <v>9.2315651345642511</v>
      </c>
      <c r="AS14" s="40">
        <f t="shared" ca="1" si="43"/>
        <v>15.6384599681409</v>
      </c>
    </row>
    <row r="15" spans="1:45" s="98" customFormat="1" x14ac:dyDescent="0.25">
      <c r="A15" s="154" t="str">
        <f>PLANTILLA!D17</f>
        <v>Adam Moss</v>
      </c>
      <c r="B15" s="73">
        <f t="shared" ca="1" si="0"/>
        <v>156389.81074168798</v>
      </c>
      <c r="C15" s="139">
        <v>23</v>
      </c>
      <c r="D15" s="139">
        <v>11</v>
      </c>
      <c r="E15" s="148">
        <f>PLANTILLA!M17</f>
        <v>42278</v>
      </c>
      <c r="F15" s="140">
        <v>2540000</v>
      </c>
      <c r="G15" s="139">
        <f>PLANTILLA!E17</f>
        <v>30</v>
      </c>
      <c r="H15" s="156">
        <f ca="1">PLANTILLA!F17</f>
        <v>9</v>
      </c>
      <c r="I15" s="49">
        <f t="shared" ca="1" si="1"/>
        <v>43060</v>
      </c>
      <c r="J15" s="155">
        <v>4910760</v>
      </c>
      <c r="K15" s="40">
        <f t="shared" ca="1" si="2"/>
        <v>6.9821428571428568</v>
      </c>
      <c r="L15" s="74">
        <f t="shared" si="3"/>
        <v>2370760</v>
      </c>
      <c r="M15" s="76">
        <f>PLANTILLA!V17</f>
        <v>30996</v>
      </c>
      <c r="N15" s="76">
        <f t="shared" ca="1" si="4"/>
        <v>3462696</v>
      </c>
      <c r="O15" s="142">
        <f>PLANTILLA!I17</f>
        <v>9.8000000000000007</v>
      </c>
      <c r="P15" s="142">
        <f>PLANTILLA!H17</f>
        <v>1</v>
      </c>
      <c r="Q15" s="142" t="str">
        <f>PLANTILLA!G17</f>
        <v>RAP</v>
      </c>
      <c r="R15" s="144">
        <f>PLANTILLA!X17</f>
        <v>0</v>
      </c>
      <c r="S15" s="144">
        <f>PLANTILLA!Y17</f>
        <v>3.2</v>
      </c>
      <c r="T15" s="144">
        <f>PLANTILLA!Z17</f>
        <v>14.399999999999999</v>
      </c>
      <c r="U15" s="144">
        <f>PLANTILLA!AA17</f>
        <v>2.2999999999999998</v>
      </c>
      <c r="V15" s="144">
        <f>PLANTILLA!AB17</f>
        <v>14.266</v>
      </c>
      <c r="W15" s="144">
        <f>PLANTILLA!AC17</f>
        <v>9.0999999999999961</v>
      </c>
      <c r="X15" s="144">
        <f>PLANTILLA!AD17</f>
        <v>15.7</v>
      </c>
      <c r="Y15" s="143">
        <f>PLANTILLA!AE17</f>
        <v>1855</v>
      </c>
      <c r="Z15" s="143">
        <f t="shared" si="5"/>
        <v>9.8000000000000007</v>
      </c>
      <c r="AA15" s="9">
        <f t="shared" si="6"/>
        <v>4.3414999999999999</v>
      </c>
      <c r="AB15" s="9">
        <f t="shared" si="7"/>
        <v>13.719999999999997</v>
      </c>
      <c r="AC15" s="9">
        <f t="shared" si="8"/>
        <v>0.92599999999999982</v>
      </c>
      <c r="AD15" s="9">
        <f t="shared" si="9"/>
        <v>0.59899999999999998</v>
      </c>
      <c r="AE15" s="40">
        <f t="shared" ca="1" si="10"/>
        <v>2.8491635400764364</v>
      </c>
      <c r="AF15" s="40">
        <f t="shared" ca="1" si="11"/>
        <v>5.5216347675899931</v>
      </c>
      <c r="AG15" s="40">
        <f t="shared" ca="1" si="31"/>
        <v>3.9797490746864184</v>
      </c>
      <c r="AH15" s="40">
        <f t="shared" ca="1" si="32"/>
        <v>5.0799039861827939</v>
      </c>
      <c r="AI15" s="40">
        <f t="shared" ca="1" si="33"/>
        <v>2.2859567937822569</v>
      </c>
      <c r="AJ15" s="40">
        <f t="shared" ca="1" si="34"/>
        <v>2.7925130061875292</v>
      </c>
      <c r="AK15" s="203">
        <f t="shared" ca="1" si="35"/>
        <v>2.7175212433429157</v>
      </c>
      <c r="AL15" s="40">
        <f t="shared" ca="1" si="36"/>
        <v>2.2086539070359974</v>
      </c>
      <c r="AM15" s="40">
        <f t="shared" ca="1" si="37"/>
        <v>16.721634767589993</v>
      </c>
      <c r="AN15" s="40">
        <f t="shared" ca="1" si="38"/>
        <v>8.0549267569420842</v>
      </c>
      <c r="AO15" s="40">
        <f t="shared" ca="1" si="39"/>
        <v>5.1000986041149474</v>
      </c>
      <c r="AP15" s="40">
        <f t="shared" ca="1" si="40"/>
        <v>9.365698311120731</v>
      </c>
      <c r="AQ15" s="40">
        <f t="shared" ca="1" si="41"/>
        <v>6.788983715641538</v>
      </c>
      <c r="AR15" s="40">
        <f t="shared" ca="1" si="42"/>
        <v>6.694575713914384</v>
      </c>
      <c r="AS15" s="40">
        <f t="shared" ca="1" si="43"/>
        <v>15.665898748306329</v>
      </c>
    </row>
    <row r="16" spans="1:45" s="98" customFormat="1" x14ac:dyDescent="0.25">
      <c r="A16" s="154" t="str">
        <f>PLANTILLA!D18</f>
        <v>Rasheed Da'na</v>
      </c>
      <c r="B16" s="73">
        <f t="shared" ca="1" si="0"/>
        <v>-121729.93694829768</v>
      </c>
      <c r="C16" s="139">
        <v>22</v>
      </c>
      <c r="D16" s="139">
        <v>57</v>
      </c>
      <c r="E16" s="148">
        <f>PLANTILLA!M18</f>
        <v>42267</v>
      </c>
      <c r="F16" s="140">
        <v>2652000</v>
      </c>
      <c r="G16" s="139">
        <f>PLANTILLA!E18</f>
        <v>29</v>
      </c>
      <c r="H16" s="156">
        <f ca="1">PLANTILLA!F18</f>
        <v>66</v>
      </c>
      <c r="I16" s="49">
        <f t="shared" ca="1" si="1"/>
        <v>43060</v>
      </c>
      <c r="J16" s="155">
        <v>7062000</v>
      </c>
      <c r="K16" s="40">
        <f t="shared" ca="1" si="2"/>
        <v>7.0803571428571432</v>
      </c>
      <c r="L16" s="74">
        <f t="shared" si="3"/>
        <v>4410000</v>
      </c>
      <c r="M16" s="76">
        <f>PLANTILLA!V18</f>
        <v>31320</v>
      </c>
      <c r="N16" s="76">
        <f t="shared" ca="1" si="4"/>
        <v>3548108.5714285714</v>
      </c>
      <c r="O16" s="142">
        <f>PLANTILLA!I18</f>
        <v>9.5</v>
      </c>
      <c r="P16" s="142">
        <f>PLANTILLA!H18</f>
        <v>1</v>
      </c>
      <c r="Q16" s="142" t="str">
        <f>PLANTILLA!G18</f>
        <v>RAP</v>
      </c>
      <c r="R16" s="144">
        <f>PLANTILLA!X18</f>
        <v>0</v>
      </c>
      <c r="S16" s="144">
        <f>PLANTILLA!Y18</f>
        <v>2.0384615384615383</v>
      </c>
      <c r="T16" s="144">
        <f>PLANTILLA!Z18</f>
        <v>13.499999999999998</v>
      </c>
      <c r="U16" s="144">
        <f>PLANTILLA!AA18</f>
        <v>4.0999999999999996</v>
      </c>
      <c r="V16" s="144">
        <f>PLANTILLA!AB18</f>
        <v>14.352222222222222</v>
      </c>
      <c r="W16" s="144">
        <f>PLANTILLA!AC18</f>
        <v>10.095333333333334</v>
      </c>
      <c r="X16" s="144">
        <f>PLANTILLA!AD18</f>
        <v>14.599999999999998</v>
      </c>
      <c r="Y16" s="143">
        <f>PLANTILLA!AE18</f>
        <v>1804</v>
      </c>
      <c r="Z16" s="143">
        <f t="shared" si="5"/>
        <v>9.5</v>
      </c>
      <c r="AA16" s="9">
        <f t="shared" si="6"/>
        <v>4.2178632478632476</v>
      </c>
      <c r="AB16" s="9">
        <f t="shared" si="7"/>
        <v>13.248599999999998</v>
      </c>
      <c r="AC16" s="9">
        <f t="shared" si="8"/>
        <v>0.94276666666666675</v>
      </c>
      <c r="AD16" s="9">
        <f t="shared" si="9"/>
        <v>0.51953846153846139</v>
      </c>
      <c r="AE16" s="40">
        <f t="shared" ca="1" si="10"/>
        <v>2.240519994284881</v>
      </c>
      <c r="AF16" s="40">
        <f t="shared" ca="1" si="11"/>
        <v>4.3420930121800021</v>
      </c>
      <c r="AG16" s="40">
        <f t="shared" ca="1" si="31"/>
        <v>3.7612642907449936</v>
      </c>
      <c r="AH16" s="40">
        <f t="shared" ca="1" si="32"/>
        <v>3.9947255712056022</v>
      </c>
      <c r="AI16" s="40">
        <f t="shared" ca="1" si="33"/>
        <v>1.7976265070425208</v>
      </c>
      <c r="AJ16" s="40">
        <f t="shared" ca="1" si="34"/>
        <v>2.6392064561109834</v>
      </c>
      <c r="AK16" s="203">
        <f t="shared" ca="1" si="35"/>
        <v>3.7653353065464561</v>
      </c>
      <c r="AL16" s="40">
        <f t="shared" ca="1" si="36"/>
        <v>1.7368372048720009</v>
      </c>
      <c r="AM16" s="40">
        <f t="shared" ca="1" si="37"/>
        <v>15.803631473718461</v>
      </c>
      <c r="AN16" s="40">
        <f t="shared" ca="1" si="38"/>
        <v>8.2834287197966514</v>
      </c>
      <c r="AO16" s="40">
        <f t="shared" ca="1" si="39"/>
        <v>4.8201075994841309</v>
      </c>
      <c r="AP16" s="40">
        <f t="shared" ca="1" si="40"/>
        <v>11.167205630757499</v>
      </c>
      <c r="AQ16" s="40">
        <f t="shared" ca="1" si="41"/>
        <v>6.416274378329696</v>
      </c>
      <c r="AR16" s="40">
        <f t="shared" ca="1" si="42"/>
        <v>7.0728526644739853</v>
      </c>
      <c r="AS16" s="40">
        <f t="shared" ca="1" si="43"/>
        <v>16.272725039406989</v>
      </c>
    </row>
    <row r="17" spans="1:45" x14ac:dyDescent="0.25">
      <c r="O17"/>
      <c r="P17"/>
      <c r="Q17"/>
      <c r="AE17" t="s">
        <v>199</v>
      </c>
      <c r="AH17" t="s">
        <v>200</v>
      </c>
      <c r="AL17" t="s">
        <v>82</v>
      </c>
      <c r="AM17" s="40"/>
      <c r="AN17" s="40"/>
      <c r="AO17" t="s">
        <v>84</v>
      </c>
      <c r="AP17" s="40"/>
      <c r="AQ17" t="s">
        <v>86</v>
      </c>
      <c r="AR17" s="40"/>
      <c r="AS17" s="40"/>
    </row>
    <row r="18" spans="1:45" x14ac:dyDescent="0.25">
      <c r="O18"/>
      <c r="P18"/>
      <c r="Q18"/>
      <c r="AE18" s="48" t="s">
        <v>97</v>
      </c>
      <c r="AF18" s="48" t="s">
        <v>98</v>
      </c>
      <c r="AG18" s="48" t="s">
        <v>99</v>
      </c>
      <c r="AH18" s="202" t="s">
        <v>97</v>
      </c>
      <c r="AI18" s="202" t="s">
        <v>98</v>
      </c>
      <c r="AJ18" s="202" t="s">
        <v>99</v>
      </c>
      <c r="AK18" s="202" t="s">
        <v>100</v>
      </c>
      <c r="AL18" s="47" t="s">
        <v>98</v>
      </c>
      <c r="AM18" s="47" t="s">
        <v>99</v>
      </c>
      <c r="AN18" s="47" t="s">
        <v>101</v>
      </c>
      <c r="AO18" s="47" t="s">
        <v>99</v>
      </c>
      <c r="AP18" s="47" t="s">
        <v>100</v>
      </c>
      <c r="AQ18" s="48" t="s">
        <v>99</v>
      </c>
      <c r="AR18" s="48" t="s">
        <v>100</v>
      </c>
      <c r="AS18" s="48" t="s">
        <v>101</v>
      </c>
    </row>
    <row r="19" spans="1:45" x14ac:dyDescent="0.25">
      <c r="A19" s="154"/>
      <c r="B19" s="73">
        <f t="shared" ref="B19:B28" si="69">(N19+F19-J19)/K19</f>
        <v>-59090.909090909088</v>
      </c>
      <c r="E19" s="148">
        <v>42826</v>
      </c>
      <c r="G19" s="139">
        <v>33</v>
      </c>
      <c r="H19" s="139">
        <v>0</v>
      </c>
      <c r="I19" s="49">
        <f t="shared" ref="I19:I28" si="70">E19+(H19-D19+(G19-C19)*112)</f>
        <v>46522</v>
      </c>
      <c r="J19" s="76">
        <v>1950000</v>
      </c>
      <c r="K19" s="40">
        <f t="shared" ref="K19:K28" si="71">(I19-E19)/112</f>
        <v>33</v>
      </c>
      <c r="L19" s="74">
        <f t="shared" ref="L19:L28" si="72">J19-F19</f>
        <v>1950000</v>
      </c>
      <c r="M19" s="76"/>
      <c r="N19" s="76">
        <f t="shared" ref="N19:N28" si="73">((G19-C19)*M19*16)+(H19-D19)/7*M19</f>
        <v>0</v>
      </c>
      <c r="O19" s="142"/>
      <c r="P19" s="142"/>
      <c r="Q19" s="142"/>
      <c r="R19" s="144"/>
      <c r="S19" s="144"/>
      <c r="T19" s="144"/>
      <c r="U19" s="144"/>
      <c r="V19" s="144"/>
      <c r="W19" s="144"/>
      <c r="X19" s="144"/>
      <c r="Y19" s="143"/>
      <c r="Z19" s="143">
        <f t="shared" ref="Z19:Z28" si="74">O19*P19*P19</f>
        <v>0</v>
      </c>
      <c r="AA19" s="9">
        <f t="shared" ref="AA19:AA28" si="75">((S19+1)+(V19+1)*2)/8</f>
        <v>0.375</v>
      </c>
      <c r="AB19" s="9">
        <f t="shared" ref="AB19:AB28" si="76">X19*0.7+W19*0.3</f>
        <v>0</v>
      </c>
      <c r="AC19" s="9">
        <f t="shared" ref="AC19:AC28" si="77">(0.5*W19+ 0.3*X19)/10</f>
        <v>0</v>
      </c>
      <c r="AD19" s="9">
        <f t="shared" ref="AD19:AD28" si="78">(0.4*S19+0.3*X19)/10</f>
        <v>0</v>
      </c>
      <c r="AE19" s="40" t="e">
        <f t="shared" ref="AE19:AE28" ca="1" si="79">IF(TODAY()-E19&gt;335,((S19+1+(LOG(O19)*4/3))*0.516),((S19+(((TODAY()-E19)^0.5)/(336^0.516))+(LOG(O19)*4/3))*0.516))</f>
        <v>#NUM!</v>
      </c>
      <c r="AF19" s="40" t="e">
        <f t="shared" ref="AF19:AF28" ca="1" si="80">IF(TODAY()-E19&gt;335,((S19+1+(LOG(O19)*4/3))*1),((S19+(((TODAY()-E19)^0.5)/(336^0.5))+(LOG(O19)*4/3))*1))</f>
        <v>#NUM!</v>
      </c>
      <c r="AG19" s="40" t="e">
        <f t="shared" ref="AG19:AG28" ca="1" si="81">IF(TODAY()-E19&gt;335,((T19+1+(LOG(O19)*4/3))*0.238),((T19+(((TODAY()-E19)^0.5)/(336^0.238))+(LOG(O19)*4/3))*0.238))</f>
        <v>#NUM!</v>
      </c>
      <c r="AH19" s="40" t="e">
        <f t="shared" ref="AH19:AH28" ca="1" si="82">IF(TODAY()-E19&gt;335,((S19+1+(LOG(O19)*4/3))*0.92),((S19+(((TODAY()-E19)^0.5)/(336^0.5))+(LOG(O19)*4/3))*0.92))</f>
        <v>#NUM!</v>
      </c>
      <c r="AI19" s="40" t="e">
        <f t="shared" ref="AI19:AI28" ca="1" si="83">IF(TODAY()-E19&gt;335,((S19+1+(LOG(O19)*4/3))*0.414),((S19+(((TODAY()-E19)^0.5)/(336^0.414))+(LOG(O19)*4/3))*0.414))</f>
        <v>#NUM!</v>
      </c>
      <c r="AJ19" s="40" t="e">
        <f t="shared" ref="AJ19:AJ28" ca="1" si="84">IF(TODAY()-E19&gt;335,((T19+1+(LOG(O19)*4/3))*0.167),((T19+(((TODAY()-E19)^0.5)/(336^0.5))+(LOG(O19)*4/3))*0.167))</f>
        <v>#NUM!</v>
      </c>
      <c r="AK19" s="203" t="e">
        <f t="shared" ref="AK19:AK28" ca="1" si="85">IF(TODAY()-E19&gt;335,((U19+1+(LOG(O19)*4/3))*0.588),((U19+(((TODAY()-E19)^0.5)/(336^0.5))+(LOG(O19)*4/3))*0.588))</f>
        <v>#NUM!</v>
      </c>
      <c r="AL19" s="40" t="e">
        <f t="shared" ref="AL19:AL28" ca="1" si="86">IF(TODAY()-E19&gt;335,((S19+1+(LOG(O19)*4/3))*0.4),((S19+(((TODAY()-E19)^0.5)/(336^0.5))+(LOG(O19)*4/3))*0.4))</f>
        <v>#NUM!</v>
      </c>
      <c r="AM19" s="40" t="e">
        <f t="shared" ref="AM19:AM28" ca="1" si="87">IF(TODAY()-E19&gt;335,((T19+1+(LOG(O19)*4/3))*1),((T19+(((TODAY()-E19)^0.5)/(336^0.5))+(LOG(O19)*4/3))*1))</f>
        <v>#NUM!</v>
      </c>
      <c r="AN19" s="40" t="e">
        <f t="shared" ref="AN19:AN28" ca="1" si="88">IF(TODAY()-E19&gt;335,((W19+1+(LOG(O19)*4/3))*0.21)+((V19+1+(LOG(O19)*4/3))*0.341),((W19+(((TODAY()-E19)^0.5)/(336^0.5))+(LOG(O19)*4/3))*0.21)+((V19+(((TODAY()-E19)^0.5)/(336^0.5))+(LOG(O19)*4/3))*0.341))</f>
        <v>#NUM!</v>
      </c>
      <c r="AO19" s="40" t="e">
        <f t="shared" ref="AO19:AO28" ca="1" si="89">IF(TODAY()-E19&gt;335,((T19+1+(LOG(O19)*4/3))*0.305),((T19+(((TODAY()-E19)^0.5)/(336^0.5))+(LOG(O19)*4/3))*0.305))</f>
        <v>#NUM!</v>
      </c>
      <c r="AP19" s="40" t="e">
        <f t="shared" ref="AP19:AP28" ca="1" si="90">IF(TODAY()-E19&gt;335,((U19+1+(LOG(O19)*4/3))*1)+((V19+1+(LOG(O19)*4/3))*0.286),((U19+(((TODAY()-E19)^0.5)/(336^0.5))+(LOG(O19)*4/3))*1)+((V19+(((TODAY()-E19)^0.5)/(336^0.5))+(LOG(O19)*4/3))*0.286))</f>
        <v>#NUM!</v>
      </c>
      <c r="AQ19" s="40" t="e">
        <f t="shared" ref="AQ19:AQ28" ca="1" si="91">IF(TODAY()-E19&gt;335,((T19+1+(LOG(O19)*4/3))*0.406),((T19+(((TODAY()-E19)^0.5)/(336^0.5))+(LOG(O19)*4/3))*0.406))</f>
        <v>#NUM!</v>
      </c>
      <c r="AR19" s="40" t="e">
        <f t="shared" ref="AR19:AR28" ca="1" si="92">IF(Q19="TEC",IF(TODAY()-E19&gt;335,((V19+1+(LOG(O19)*4/3))*0.15)+((V19+1+(LOG(O19)*4/3))*0.324)+((W19+1+(LOG(O19)*4/3))*0.127),((U19+(((TODAY()-E19)^0.5)/(336^0.5))+(LOG(O19)*4/3))*0.15)+((V19+(((TODAY()-E19)^0.5)/(336^0.5))+(LOG(O19)*4/3))*0.324)+((W19+(((TODAY()-E19)^0.5)/(336^0.5))+(LOG(O19)*4/3))*0.127)),IF(TODAY()-E19&gt;335,((V19+1+(LOG(O19)*4/3))*0.144)+((W19+1+(LOG(O19)*4/3))*0.25)+((W19+1+(LOG(O19)*4/3))*0.127),((U19+(((TODAY()-E19)^0.5)/(336^0.5))+(LOG(O19)*4/3))*0.144)+((V19+(((TODAY()-E19)^0.5)/(336^0.5))+(LOG(O19)*4/3))*0.25)+((W19+(((TODAY()-E19)^0.5)/(336^0.5))+(LOG(O19)*4/3))*0.127)))</f>
        <v>#NUM!</v>
      </c>
      <c r="AS19" s="40" t="e">
        <f t="shared" ref="AS19:AS28" ca="1" si="93">IF(Q19="TEC",IF(TODAY()-E19&gt;335,((V19+1+(LOG(O19)*4/3))*0.543)+((W19+1+(LOG(O19)*4/3))*0.583),((V19+(((TODAY()-E19)^0.5)/(336^0.5))+(LOG(O19)*4/3))*0.543)+((W19+(((TODAY()-E19)^0.5)/(336^0.5))+(LOG(O19)*4/3))*0.583)),IF(TODAY()-E19&gt;335,((V19+1+(LOG(O19)*4/3))*0.543)+((W19+1+(LOG(O19)*4/3))*0.583),((V19+(((TODAY()-E19)^0.5)/(336^0.5))+(LOG(O19)*4/3))*0.543)+((W19+(((TODAY()-E19)^0.5)/(336^0.5))+(LOG(O19)*4/3))*0.583)))</f>
        <v>#NUM!</v>
      </c>
    </row>
    <row r="20" spans="1:45" x14ac:dyDescent="0.25">
      <c r="A20" s="154"/>
      <c r="B20" s="73">
        <f t="shared" si="69"/>
        <v>-59090.909090909088</v>
      </c>
      <c r="E20" s="148">
        <v>42826</v>
      </c>
      <c r="G20" s="139">
        <v>33</v>
      </c>
      <c r="H20" s="139">
        <v>0</v>
      </c>
      <c r="I20" s="49">
        <f t="shared" si="70"/>
        <v>46522</v>
      </c>
      <c r="J20" s="76">
        <v>1950000</v>
      </c>
      <c r="K20" s="40">
        <f t="shared" si="71"/>
        <v>33</v>
      </c>
      <c r="L20" s="74">
        <f t="shared" si="72"/>
        <v>1950000</v>
      </c>
      <c r="M20" s="76"/>
      <c r="N20" s="76">
        <f t="shared" si="73"/>
        <v>0</v>
      </c>
      <c r="O20" s="142"/>
      <c r="P20" s="142"/>
      <c r="Q20" s="142"/>
      <c r="R20" s="144"/>
      <c r="S20" s="144"/>
      <c r="T20" s="144"/>
      <c r="U20" s="144"/>
      <c r="V20" s="144"/>
      <c r="W20" s="144"/>
      <c r="X20" s="144"/>
      <c r="Y20" s="143"/>
      <c r="Z20" s="143">
        <f t="shared" si="74"/>
        <v>0</v>
      </c>
      <c r="AA20" s="9">
        <f t="shared" si="75"/>
        <v>0.375</v>
      </c>
      <c r="AB20" s="9">
        <f t="shared" si="76"/>
        <v>0</v>
      </c>
      <c r="AC20" s="9">
        <f t="shared" si="77"/>
        <v>0</v>
      </c>
      <c r="AD20" s="9">
        <f t="shared" si="78"/>
        <v>0</v>
      </c>
      <c r="AE20" s="40" t="e">
        <f t="shared" ca="1" si="79"/>
        <v>#NUM!</v>
      </c>
      <c r="AF20" s="40" t="e">
        <f t="shared" ca="1" si="80"/>
        <v>#NUM!</v>
      </c>
      <c r="AG20" s="40" t="e">
        <f t="shared" ca="1" si="81"/>
        <v>#NUM!</v>
      </c>
      <c r="AH20" s="40" t="e">
        <f t="shared" ca="1" si="82"/>
        <v>#NUM!</v>
      </c>
      <c r="AI20" s="40" t="e">
        <f t="shared" ca="1" si="83"/>
        <v>#NUM!</v>
      </c>
      <c r="AJ20" s="40" t="e">
        <f t="shared" ca="1" si="84"/>
        <v>#NUM!</v>
      </c>
      <c r="AK20" s="203" t="e">
        <f t="shared" ca="1" si="85"/>
        <v>#NUM!</v>
      </c>
      <c r="AL20" s="40" t="e">
        <f t="shared" ca="1" si="86"/>
        <v>#NUM!</v>
      </c>
      <c r="AM20" s="40" t="e">
        <f t="shared" ca="1" si="87"/>
        <v>#NUM!</v>
      </c>
      <c r="AN20" s="40" t="e">
        <f t="shared" ca="1" si="88"/>
        <v>#NUM!</v>
      </c>
      <c r="AO20" s="40" t="e">
        <f t="shared" ca="1" si="89"/>
        <v>#NUM!</v>
      </c>
      <c r="AP20" s="40" t="e">
        <f t="shared" ca="1" si="90"/>
        <v>#NUM!</v>
      </c>
      <c r="AQ20" s="40" t="e">
        <f t="shared" ca="1" si="91"/>
        <v>#NUM!</v>
      </c>
      <c r="AR20" s="40" t="e">
        <f t="shared" ca="1" si="92"/>
        <v>#NUM!</v>
      </c>
      <c r="AS20" s="40" t="e">
        <f t="shared" ca="1" si="93"/>
        <v>#NUM!</v>
      </c>
    </row>
    <row r="21" spans="1:45" x14ac:dyDescent="0.25">
      <c r="A21" s="154"/>
      <c r="B21" s="73">
        <f t="shared" si="69"/>
        <v>-59090.909090909088</v>
      </c>
      <c r="E21" s="148">
        <v>42826</v>
      </c>
      <c r="G21" s="139">
        <v>33</v>
      </c>
      <c r="H21" s="139">
        <v>0</v>
      </c>
      <c r="I21" s="49">
        <f t="shared" si="70"/>
        <v>46522</v>
      </c>
      <c r="J21" s="76">
        <v>1950000</v>
      </c>
      <c r="K21" s="40">
        <f t="shared" si="71"/>
        <v>33</v>
      </c>
      <c r="L21" s="74">
        <f t="shared" si="72"/>
        <v>1950000</v>
      </c>
      <c r="M21" s="76"/>
      <c r="N21" s="76">
        <f t="shared" si="73"/>
        <v>0</v>
      </c>
      <c r="O21" s="142"/>
      <c r="P21" s="142"/>
      <c r="Q21" s="142"/>
      <c r="R21" s="144"/>
      <c r="S21" s="144"/>
      <c r="T21" s="144"/>
      <c r="U21" s="144"/>
      <c r="V21" s="144"/>
      <c r="W21" s="144"/>
      <c r="X21" s="144"/>
      <c r="Y21" s="143"/>
      <c r="Z21" s="143">
        <f t="shared" si="74"/>
        <v>0</v>
      </c>
      <c r="AA21" s="9">
        <f t="shared" si="75"/>
        <v>0.375</v>
      </c>
      <c r="AB21" s="9">
        <f t="shared" si="76"/>
        <v>0</v>
      </c>
      <c r="AC21" s="9">
        <f t="shared" si="77"/>
        <v>0</v>
      </c>
      <c r="AD21" s="9">
        <f t="shared" si="78"/>
        <v>0</v>
      </c>
      <c r="AE21" s="40" t="e">
        <f t="shared" ca="1" si="79"/>
        <v>#NUM!</v>
      </c>
      <c r="AF21" s="40" t="e">
        <f t="shared" ca="1" si="80"/>
        <v>#NUM!</v>
      </c>
      <c r="AG21" s="40" t="e">
        <f t="shared" ca="1" si="81"/>
        <v>#NUM!</v>
      </c>
      <c r="AH21" s="40" t="e">
        <f t="shared" ca="1" si="82"/>
        <v>#NUM!</v>
      </c>
      <c r="AI21" s="40" t="e">
        <f t="shared" ca="1" si="83"/>
        <v>#NUM!</v>
      </c>
      <c r="AJ21" s="40" t="e">
        <f t="shared" ca="1" si="84"/>
        <v>#NUM!</v>
      </c>
      <c r="AK21" s="203" t="e">
        <f t="shared" ca="1" si="85"/>
        <v>#NUM!</v>
      </c>
      <c r="AL21" s="40" t="e">
        <f t="shared" ca="1" si="86"/>
        <v>#NUM!</v>
      </c>
      <c r="AM21" s="40" t="e">
        <f t="shared" ca="1" si="87"/>
        <v>#NUM!</v>
      </c>
      <c r="AN21" s="40" t="e">
        <f t="shared" ca="1" si="88"/>
        <v>#NUM!</v>
      </c>
      <c r="AO21" s="40" t="e">
        <f t="shared" ca="1" si="89"/>
        <v>#NUM!</v>
      </c>
      <c r="AP21" s="40" t="e">
        <f t="shared" ca="1" si="90"/>
        <v>#NUM!</v>
      </c>
      <c r="AQ21" s="40" t="e">
        <f t="shared" ca="1" si="91"/>
        <v>#NUM!</v>
      </c>
      <c r="AR21" s="40" t="e">
        <f t="shared" ca="1" si="92"/>
        <v>#NUM!</v>
      </c>
      <c r="AS21" s="40" t="e">
        <f t="shared" ca="1" si="93"/>
        <v>#NUM!</v>
      </c>
    </row>
    <row r="22" spans="1:45" x14ac:dyDescent="0.25">
      <c r="A22" s="154"/>
      <c r="B22" s="73">
        <f t="shared" si="69"/>
        <v>-59090.909090909088</v>
      </c>
      <c r="E22" s="148">
        <v>42826</v>
      </c>
      <c r="G22" s="139">
        <v>33</v>
      </c>
      <c r="H22" s="139">
        <v>0</v>
      </c>
      <c r="I22" s="49">
        <f t="shared" si="70"/>
        <v>46522</v>
      </c>
      <c r="J22" s="76">
        <v>1950000</v>
      </c>
      <c r="K22" s="40">
        <f t="shared" si="71"/>
        <v>33</v>
      </c>
      <c r="L22" s="74">
        <f t="shared" si="72"/>
        <v>1950000</v>
      </c>
      <c r="M22" s="76"/>
      <c r="N22" s="76">
        <f t="shared" si="73"/>
        <v>0</v>
      </c>
      <c r="O22" s="142"/>
      <c r="P22" s="142"/>
      <c r="Q22" s="142"/>
      <c r="R22" s="144"/>
      <c r="S22" s="144"/>
      <c r="T22" s="144"/>
      <c r="U22" s="144"/>
      <c r="V22" s="144"/>
      <c r="W22" s="144"/>
      <c r="X22" s="144"/>
      <c r="Y22" s="143"/>
      <c r="Z22" s="143">
        <f t="shared" si="74"/>
        <v>0</v>
      </c>
      <c r="AA22" s="9">
        <f t="shared" si="75"/>
        <v>0.375</v>
      </c>
      <c r="AB22" s="9">
        <f t="shared" si="76"/>
        <v>0</v>
      </c>
      <c r="AC22" s="9">
        <f t="shared" si="77"/>
        <v>0</v>
      </c>
      <c r="AD22" s="9">
        <f t="shared" si="78"/>
        <v>0</v>
      </c>
      <c r="AE22" s="40" t="e">
        <f t="shared" ca="1" si="79"/>
        <v>#NUM!</v>
      </c>
      <c r="AF22" s="40" t="e">
        <f t="shared" ca="1" si="80"/>
        <v>#NUM!</v>
      </c>
      <c r="AG22" s="40" t="e">
        <f t="shared" ca="1" si="81"/>
        <v>#NUM!</v>
      </c>
      <c r="AH22" s="40" t="e">
        <f t="shared" ca="1" si="82"/>
        <v>#NUM!</v>
      </c>
      <c r="AI22" s="40" t="e">
        <f t="shared" ca="1" si="83"/>
        <v>#NUM!</v>
      </c>
      <c r="AJ22" s="40" t="e">
        <f t="shared" ca="1" si="84"/>
        <v>#NUM!</v>
      </c>
      <c r="AK22" s="203" t="e">
        <f t="shared" ca="1" si="85"/>
        <v>#NUM!</v>
      </c>
      <c r="AL22" s="40" t="e">
        <f t="shared" ca="1" si="86"/>
        <v>#NUM!</v>
      </c>
      <c r="AM22" s="40" t="e">
        <f t="shared" ca="1" si="87"/>
        <v>#NUM!</v>
      </c>
      <c r="AN22" s="40" t="e">
        <f t="shared" ca="1" si="88"/>
        <v>#NUM!</v>
      </c>
      <c r="AO22" s="40" t="e">
        <f t="shared" ca="1" si="89"/>
        <v>#NUM!</v>
      </c>
      <c r="AP22" s="40" t="e">
        <f t="shared" ca="1" si="90"/>
        <v>#NUM!</v>
      </c>
      <c r="AQ22" s="40" t="e">
        <f t="shared" ca="1" si="91"/>
        <v>#NUM!</v>
      </c>
      <c r="AR22" s="40" t="e">
        <f t="shared" ca="1" si="92"/>
        <v>#NUM!</v>
      </c>
      <c r="AS22" s="40" t="e">
        <f t="shared" ca="1" si="93"/>
        <v>#NUM!</v>
      </c>
    </row>
    <row r="23" spans="1:45" x14ac:dyDescent="0.25">
      <c r="A23" s="154"/>
      <c r="B23" s="73">
        <f t="shared" si="69"/>
        <v>-59090.909090909088</v>
      </c>
      <c r="E23" s="148">
        <v>42826</v>
      </c>
      <c r="G23" s="139">
        <v>33</v>
      </c>
      <c r="H23" s="139">
        <v>0</v>
      </c>
      <c r="I23" s="49">
        <f t="shared" si="70"/>
        <v>46522</v>
      </c>
      <c r="J23" s="76">
        <v>1950000</v>
      </c>
      <c r="K23" s="40">
        <f t="shared" si="71"/>
        <v>33</v>
      </c>
      <c r="L23" s="74">
        <f t="shared" si="72"/>
        <v>1950000</v>
      </c>
      <c r="M23" s="76"/>
      <c r="N23" s="76">
        <f t="shared" si="73"/>
        <v>0</v>
      </c>
      <c r="O23" s="142"/>
      <c r="P23" s="142"/>
      <c r="Q23" s="142"/>
      <c r="R23" s="144"/>
      <c r="S23" s="144"/>
      <c r="T23" s="144"/>
      <c r="U23" s="144"/>
      <c r="V23" s="144"/>
      <c r="W23" s="144"/>
      <c r="X23" s="144"/>
      <c r="Y23" s="143"/>
      <c r="Z23" s="143">
        <f t="shared" si="74"/>
        <v>0</v>
      </c>
      <c r="AA23" s="9">
        <f t="shared" si="75"/>
        <v>0.375</v>
      </c>
      <c r="AB23" s="9">
        <f t="shared" si="76"/>
        <v>0</v>
      </c>
      <c r="AC23" s="9">
        <f t="shared" si="77"/>
        <v>0</v>
      </c>
      <c r="AD23" s="9">
        <f t="shared" si="78"/>
        <v>0</v>
      </c>
      <c r="AE23" s="40" t="e">
        <f t="shared" ca="1" si="79"/>
        <v>#NUM!</v>
      </c>
      <c r="AF23" s="40" t="e">
        <f t="shared" ca="1" si="80"/>
        <v>#NUM!</v>
      </c>
      <c r="AG23" s="40" t="e">
        <f t="shared" ca="1" si="81"/>
        <v>#NUM!</v>
      </c>
      <c r="AH23" s="40" t="e">
        <f t="shared" ca="1" si="82"/>
        <v>#NUM!</v>
      </c>
      <c r="AI23" s="40" t="e">
        <f t="shared" ca="1" si="83"/>
        <v>#NUM!</v>
      </c>
      <c r="AJ23" s="40" t="e">
        <f t="shared" ca="1" si="84"/>
        <v>#NUM!</v>
      </c>
      <c r="AK23" s="203" t="e">
        <f t="shared" ca="1" si="85"/>
        <v>#NUM!</v>
      </c>
      <c r="AL23" s="40" t="e">
        <f t="shared" ca="1" si="86"/>
        <v>#NUM!</v>
      </c>
      <c r="AM23" s="40" t="e">
        <f t="shared" ca="1" si="87"/>
        <v>#NUM!</v>
      </c>
      <c r="AN23" s="40" t="e">
        <f t="shared" ca="1" si="88"/>
        <v>#NUM!</v>
      </c>
      <c r="AO23" s="40" t="e">
        <f t="shared" ca="1" si="89"/>
        <v>#NUM!</v>
      </c>
      <c r="AP23" s="40" t="e">
        <f t="shared" ca="1" si="90"/>
        <v>#NUM!</v>
      </c>
      <c r="AQ23" s="40" t="e">
        <f t="shared" ca="1" si="91"/>
        <v>#NUM!</v>
      </c>
      <c r="AR23" s="40" t="e">
        <f t="shared" ca="1" si="92"/>
        <v>#NUM!</v>
      </c>
      <c r="AS23" s="40" t="e">
        <f t="shared" ca="1" si="93"/>
        <v>#NUM!</v>
      </c>
    </row>
    <row r="24" spans="1:45" x14ac:dyDescent="0.25">
      <c r="A24" s="154"/>
      <c r="B24" s="73">
        <f t="shared" si="69"/>
        <v>-59090.909090909088</v>
      </c>
      <c r="E24" s="148">
        <v>42826</v>
      </c>
      <c r="G24" s="139">
        <v>33</v>
      </c>
      <c r="H24" s="139">
        <v>0</v>
      </c>
      <c r="I24" s="49">
        <f t="shared" si="70"/>
        <v>46522</v>
      </c>
      <c r="J24" s="76">
        <v>1950000</v>
      </c>
      <c r="K24" s="40">
        <f t="shared" si="71"/>
        <v>33</v>
      </c>
      <c r="L24" s="74">
        <f t="shared" si="72"/>
        <v>1950000</v>
      </c>
      <c r="M24" s="76"/>
      <c r="N24" s="76">
        <f t="shared" si="73"/>
        <v>0</v>
      </c>
      <c r="O24" s="142"/>
      <c r="P24" s="142"/>
      <c r="Q24" s="142"/>
      <c r="R24" s="144"/>
      <c r="S24" s="144"/>
      <c r="T24" s="144"/>
      <c r="U24" s="144"/>
      <c r="V24" s="144"/>
      <c r="W24" s="144"/>
      <c r="X24" s="144"/>
      <c r="Y24" s="143"/>
      <c r="Z24" s="143">
        <f t="shared" si="74"/>
        <v>0</v>
      </c>
      <c r="AA24" s="9">
        <f t="shared" si="75"/>
        <v>0.375</v>
      </c>
      <c r="AB24" s="9">
        <f t="shared" si="76"/>
        <v>0</v>
      </c>
      <c r="AC24" s="9">
        <f t="shared" si="77"/>
        <v>0</v>
      </c>
      <c r="AD24" s="9">
        <f t="shared" si="78"/>
        <v>0</v>
      </c>
      <c r="AE24" s="40" t="e">
        <f t="shared" ca="1" si="79"/>
        <v>#NUM!</v>
      </c>
      <c r="AF24" s="40" t="e">
        <f t="shared" ca="1" si="80"/>
        <v>#NUM!</v>
      </c>
      <c r="AG24" s="40" t="e">
        <f t="shared" ca="1" si="81"/>
        <v>#NUM!</v>
      </c>
      <c r="AH24" s="40" t="e">
        <f t="shared" ca="1" si="82"/>
        <v>#NUM!</v>
      </c>
      <c r="AI24" s="40" t="e">
        <f t="shared" ca="1" si="83"/>
        <v>#NUM!</v>
      </c>
      <c r="AJ24" s="40" t="e">
        <f t="shared" ca="1" si="84"/>
        <v>#NUM!</v>
      </c>
      <c r="AK24" s="203" t="e">
        <f t="shared" ca="1" si="85"/>
        <v>#NUM!</v>
      </c>
      <c r="AL24" s="40" t="e">
        <f t="shared" ca="1" si="86"/>
        <v>#NUM!</v>
      </c>
      <c r="AM24" s="40" t="e">
        <f t="shared" ca="1" si="87"/>
        <v>#NUM!</v>
      </c>
      <c r="AN24" s="40" t="e">
        <f t="shared" ca="1" si="88"/>
        <v>#NUM!</v>
      </c>
      <c r="AO24" s="40" t="e">
        <f t="shared" ca="1" si="89"/>
        <v>#NUM!</v>
      </c>
      <c r="AP24" s="40" t="e">
        <f t="shared" ca="1" si="90"/>
        <v>#NUM!</v>
      </c>
      <c r="AQ24" s="40" t="e">
        <f t="shared" ca="1" si="91"/>
        <v>#NUM!</v>
      </c>
      <c r="AR24" s="40" t="e">
        <f t="shared" ca="1" si="92"/>
        <v>#NUM!</v>
      </c>
      <c r="AS24" s="40" t="e">
        <f t="shared" ca="1" si="93"/>
        <v>#NUM!</v>
      </c>
    </row>
    <row r="25" spans="1:45" x14ac:dyDescent="0.25">
      <c r="A25" s="154"/>
      <c r="B25" s="73">
        <f t="shared" si="69"/>
        <v>-59090.909090909088</v>
      </c>
      <c r="E25" s="148">
        <v>42826</v>
      </c>
      <c r="G25" s="139">
        <v>33</v>
      </c>
      <c r="H25" s="139">
        <v>0</v>
      </c>
      <c r="I25" s="49">
        <f t="shared" si="70"/>
        <v>46522</v>
      </c>
      <c r="J25" s="76">
        <v>1950000</v>
      </c>
      <c r="K25" s="40">
        <f t="shared" si="71"/>
        <v>33</v>
      </c>
      <c r="L25" s="74">
        <f t="shared" si="72"/>
        <v>1950000</v>
      </c>
      <c r="M25" s="76"/>
      <c r="N25" s="76">
        <f t="shared" si="73"/>
        <v>0</v>
      </c>
      <c r="O25" s="142"/>
      <c r="P25" s="142"/>
      <c r="Q25" s="142"/>
      <c r="R25" s="144"/>
      <c r="S25" s="144"/>
      <c r="T25" s="144"/>
      <c r="U25" s="144"/>
      <c r="V25" s="144"/>
      <c r="W25" s="144"/>
      <c r="X25" s="144"/>
      <c r="Y25" s="143"/>
      <c r="Z25" s="143">
        <f t="shared" si="74"/>
        <v>0</v>
      </c>
      <c r="AA25" s="9">
        <f t="shared" si="75"/>
        <v>0.375</v>
      </c>
      <c r="AB25" s="9">
        <f t="shared" si="76"/>
        <v>0</v>
      </c>
      <c r="AC25" s="9">
        <f t="shared" si="77"/>
        <v>0</v>
      </c>
      <c r="AD25" s="9">
        <f t="shared" si="78"/>
        <v>0</v>
      </c>
      <c r="AE25" s="40" t="e">
        <f t="shared" ca="1" si="79"/>
        <v>#NUM!</v>
      </c>
      <c r="AF25" s="40" t="e">
        <f t="shared" ca="1" si="80"/>
        <v>#NUM!</v>
      </c>
      <c r="AG25" s="40" t="e">
        <f t="shared" ca="1" si="81"/>
        <v>#NUM!</v>
      </c>
      <c r="AH25" s="40" t="e">
        <f t="shared" ca="1" si="82"/>
        <v>#NUM!</v>
      </c>
      <c r="AI25" s="40" t="e">
        <f t="shared" ca="1" si="83"/>
        <v>#NUM!</v>
      </c>
      <c r="AJ25" s="40" t="e">
        <f t="shared" ca="1" si="84"/>
        <v>#NUM!</v>
      </c>
      <c r="AK25" s="203" t="e">
        <f t="shared" ca="1" si="85"/>
        <v>#NUM!</v>
      </c>
      <c r="AL25" s="40" t="e">
        <f t="shared" ca="1" si="86"/>
        <v>#NUM!</v>
      </c>
      <c r="AM25" s="40" t="e">
        <f t="shared" ca="1" si="87"/>
        <v>#NUM!</v>
      </c>
      <c r="AN25" s="40" t="e">
        <f t="shared" ca="1" si="88"/>
        <v>#NUM!</v>
      </c>
      <c r="AO25" s="40" t="e">
        <f t="shared" ca="1" si="89"/>
        <v>#NUM!</v>
      </c>
      <c r="AP25" s="40" t="e">
        <f t="shared" ca="1" si="90"/>
        <v>#NUM!</v>
      </c>
      <c r="AQ25" s="40" t="e">
        <f t="shared" ca="1" si="91"/>
        <v>#NUM!</v>
      </c>
      <c r="AR25" s="40" t="e">
        <f t="shared" ca="1" si="92"/>
        <v>#NUM!</v>
      </c>
      <c r="AS25" s="40" t="e">
        <f t="shared" ca="1" si="93"/>
        <v>#NUM!</v>
      </c>
    </row>
    <row r="26" spans="1:45" x14ac:dyDescent="0.25">
      <c r="A26" s="154"/>
      <c r="B26" s="73">
        <f t="shared" si="69"/>
        <v>-59090.909090909088</v>
      </c>
      <c r="E26" s="148">
        <v>42826</v>
      </c>
      <c r="G26" s="139">
        <v>33</v>
      </c>
      <c r="H26" s="139">
        <v>0</v>
      </c>
      <c r="I26" s="49">
        <f t="shared" si="70"/>
        <v>46522</v>
      </c>
      <c r="J26" s="76">
        <v>1950000</v>
      </c>
      <c r="K26" s="40">
        <f t="shared" si="71"/>
        <v>33</v>
      </c>
      <c r="L26" s="74">
        <f t="shared" si="72"/>
        <v>1950000</v>
      </c>
      <c r="M26" s="76"/>
      <c r="N26" s="76">
        <f t="shared" si="73"/>
        <v>0</v>
      </c>
      <c r="O26" s="142"/>
      <c r="P26" s="142"/>
      <c r="Q26" s="142"/>
      <c r="R26" s="144"/>
      <c r="S26" s="144"/>
      <c r="T26" s="144"/>
      <c r="U26" s="144"/>
      <c r="V26" s="144"/>
      <c r="W26" s="144"/>
      <c r="X26" s="144"/>
      <c r="Y26" s="143"/>
      <c r="Z26" s="143">
        <f t="shared" si="74"/>
        <v>0</v>
      </c>
      <c r="AA26" s="9">
        <f t="shared" si="75"/>
        <v>0.375</v>
      </c>
      <c r="AB26" s="9">
        <f t="shared" si="76"/>
        <v>0</v>
      </c>
      <c r="AC26" s="9">
        <f t="shared" si="77"/>
        <v>0</v>
      </c>
      <c r="AD26" s="9">
        <f t="shared" si="78"/>
        <v>0</v>
      </c>
      <c r="AE26" s="40" t="e">
        <f t="shared" ca="1" si="79"/>
        <v>#NUM!</v>
      </c>
      <c r="AF26" s="40" t="e">
        <f t="shared" ca="1" si="80"/>
        <v>#NUM!</v>
      </c>
      <c r="AG26" s="40" t="e">
        <f t="shared" ca="1" si="81"/>
        <v>#NUM!</v>
      </c>
      <c r="AH26" s="40" t="e">
        <f t="shared" ca="1" si="82"/>
        <v>#NUM!</v>
      </c>
      <c r="AI26" s="40" t="e">
        <f t="shared" ca="1" si="83"/>
        <v>#NUM!</v>
      </c>
      <c r="AJ26" s="40" t="e">
        <f t="shared" ca="1" si="84"/>
        <v>#NUM!</v>
      </c>
      <c r="AK26" s="203" t="e">
        <f t="shared" ca="1" si="85"/>
        <v>#NUM!</v>
      </c>
      <c r="AL26" s="40" t="e">
        <f t="shared" ca="1" si="86"/>
        <v>#NUM!</v>
      </c>
      <c r="AM26" s="40" t="e">
        <f t="shared" ca="1" si="87"/>
        <v>#NUM!</v>
      </c>
      <c r="AN26" s="40" t="e">
        <f t="shared" ca="1" si="88"/>
        <v>#NUM!</v>
      </c>
      <c r="AO26" s="40" t="e">
        <f t="shared" ca="1" si="89"/>
        <v>#NUM!</v>
      </c>
      <c r="AP26" s="40" t="e">
        <f t="shared" ca="1" si="90"/>
        <v>#NUM!</v>
      </c>
      <c r="AQ26" s="40" t="e">
        <f t="shared" ca="1" si="91"/>
        <v>#NUM!</v>
      </c>
      <c r="AR26" s="40" t="e">
        <f t="shared" ca="1" si="92"/>
        <v>#NUM!</v>
      </c>
      <c r="AS26" s="40" t="e">
        <f t="shared" ca="1" si="93"/>
        <v>#NUM!</v>
      </c>
    </row>
    <row r="27" spans="1:45" x14ac:dyDescent="0.25">
      <c r="A27" s="154"/>
      <c r="B27" s="73">
        <f t="shared" si="69"/>
        <v>-59090.909090909088</v>
      </c>
      <c r="E27" s="148">
        <v>42826</v>
      </c>
      <c r="G27" s="139">
        <v>33</v>
      </c>
      <c r="H27" s="139">
        <v>0</v>
      </c>
      <c r="I27" s="49">
        <f t="shared" si="70"/>
        <v>46522</v>
      </c>
      <c r="J27" s="76">
        <v>1950000</v>
      </c>
      <c r="K27" s="40">
        <f t="shared" si="71"/>
        <v>33</v>
      </c>
      <c r="L27" s="74">
        <f t="shared" si="72"/>
        <v>1950000</v>
      </c>
      <c r="M27" s="76"/>
      <c r="N27" s="76">
        <f t="shared" si="73"/>
        <v>0</v>
      </c>
      <c r="O27" s="142"/>
      <c r="P27" s="142"/>
      <c r="Q27" s="142"/>
      <c r="R27" s="144"/>
      <c r="S27" s="144"/>
      <c r="T27" s="144"/>
      <c r="U27" s="144"/>
      <c r="V27" s="144"/>
      <c r="W27" s="144"/>
      <c r="X27" s="144"/>
      <c r="Y27" s="143"/>
      <c r="Z27" s="143">
        <f t="shared" si="74"/>
        <v>0</v>
      </c>
      <c r="AA27" s="9">
        <f t="shared" si="75"/>
        <v>0.375</v>
      </c>
      <c r="AB27" s="9">
        <f t="shared" si="76"/>
        <v>0</v>
      </c>
      <c r="AC27" s="9">
        <f t="shared" si="77"/>
        <v>0</v>
      </c>
      <c r="AD27" s="9">
        <f t="shared" si="78"/>
        <v>0</v>
      </c>
      <c r="AE27" s="40" t="e">
        <f t="shared" ca="1" si="79"/>
        <v>#NUM!</v>
      </c>
      <c r="AF27" s="40" t="e">
        <f t="shared" ca="1" si="80"/>
        <v>#NUM!</v>
      </c>
      <c r="AG27" s="40" t="e">
        <f t="shared" ca="1" si="81"/>
        <v>#NUM!</v>
      </c>
      <c r="AH27" s="40" t="e">
        <f t="shared" ca="1" si="82"/>
        <v>#NUM!</v>
      </c>
      <c r="AI27" s="40" t="e">
        <f t="shared" ca="1" si="83"/>
        <v>#NUM!</v>
      </c>
      <c r="AJ27" s="40" t="e">
        <f t="shared" ca="1" si="84"/>
        <v>#NUM!</v>
      </c>
      <c r="AK27" s="203" t="e">
        <f t="shared" ca="1" si="85"/>
        <v>#NUM!</v>
      </c>
      <c r="AL27" s="40" t="e">
        <f t="shared" ca="1" si="86"/>
        <v>#NUM!</v>
      </c>
      <c r="AM27" s="40" t="e">
        <f t="shared" ca="1" si="87"/>
        <v>#NUM!</v>
      </c>
      <c r="AN27" s="40" t="e">
        <f t="shared" ca="1" si="88"/>
        <v>#NUM!</v>
      </c>
      <c r="AO27" s="40" t="e">
        <f t="shared" ca="1" si="89"/>
        <v>#NUM!</v>
      </c>
      <c r="AP27" s="40" t="e">
        <f t="shared" ca="1" si="90"/>
        <v>#NUM!</v>
      </c>
      <c r="AQ27" s="40" t="e">
        <f t="shared" ca="1" si="91"/>
        <v>#NUM!</v>
      </c>
      <c r="AR27" s="40" t="e">
        <f t="shared" ca="1" si="92"/>
        <v>#NUM!</v>
      </c>
      <c r="AS27" s="40" t="e">
        <f t="shared" ca="1" si="93"/>
        <v>#NUM!</v>
      </c>
    </row>
    <row r="28" spans="1:45" x14ac:dyDescent="0.25">
      <c r="A28" s="154"/>
      <c r="B28" s="73">
        <f t="shared" si="69"/>
        <v>-59090.909090909088</v>
      </c>
      <c r="E28" s="148">
        <v>42826</v>
      </c>
      <c r="G28" s="139">
        <v>33</v>
      </c>
      <c r="H28" s="139">
        <v>0</v>
      </c>
      <c r="I28" s="49">
        <f t="shared" si="70"/>
        <v>46522</v>
      </c>
      <c r="J28" s="76">
        <v>1950000</v>
      </c>
      <c r="K28" s="40">
        <f t="shared" si="71"/>
        <v>33</v>
      </c>
      <c r="L28" s="74">
        <f t="shared" si="72"/>
        <v>1950000</v>
      </c>
      <c r="M28" s="76"/>
      <c r="N28" s="76">
        <f t="shared" si="73"/>
        <v>0</v>
      </c>
      <c r="O28" s="142"/>
      <c r="P28" s="142"/>
      <c r="Q28" s="142"/>
      <c r="R28" s="144"/>
      <c r="S28" s="144"/>
      <c r="T28" s="144"/>
      <c r="U28" s="144"/>
      <c r="V28" s="144"/>
      <c r="W28" s="144"/>
      <c r="X28" s="144"/>
      <c r="Y28" s="143"/>
      <c r="Z28" s="143">
        <f t="shared" si="74"/>
        <v>0</v>
      </c>
      <c r="AA28" s="9">
        <f t="shared" si="75"/>
        <v>0.375</v>
      </c>
      <c r="AB28" s="9">
        <f t="shared" si="76"/>
        <v>0</v>
      </c>
      <c r="AC28" s="9">
        <f t="shared" si="77"/>
        <v>0</v>
      </c>
      <c r="AD28" s="9">
        <f t="shared" si="78"/>
        <v>0</v>
      </c>
      <c r="AE28" s="40" t="e">
        <f t="shared" ca="1" si="79"/>
        <v>#NUM!</v>
      </c>
      <c r="AF28" s="40" t="e">
        <f t="shared" ca="1" si="80"/>
        <v>#NUM!</v>
      </c>
      <c r="AG28" s="40" t="e">
        <f t="shared" ca="1" si="81"/>
        <v>#NUM!</v>
      </c>
      <c r="AH28" s="40" t="e">
        <f t="shared" ca="1" si="82"/>
        <v>#NUM!</v>
      </c>
      <c r="AI28" s="40" t="e">
        <f t="shared" ca="1" si="83"/>
        <v>#NUM!</v>
      </c>
      <c r="AJ28" s="40" t="e">
        <f t="shared" ca="1" si="84"/>
        <v>#NUM!</v>
      </c>
      <c r="AK28" s="203" t="e">
        <f t="shared" ca="1" si="85"/>
        <v>#NUM!</v>
      </c>
      <c r="AL28" s="40" t="e">
        <f t="shared" ca="1" si="86"/>
        <v>#NUM!</v>
      </c>
      <c r="AM28" s="40" t="e">
        <f t="shared" ca="1" si="87"/>
        <v>#NUM!</v>
      </c>
      <c r="AN28" s="40" t="e">
        <f t="shared" ca="1" si="88"/>
        <v>#NUM!</v>
      </c>
      <c r="AO28" s="40" t="e">
        <f t="shared" ca="1" si="89"/>
        <v>#NUM!</v>
      </c>
      <c r="AP28" s="40" t="e">
        <f t="shared" ca="1" si="90"/>
        <v>#NUM!</v>
      </c>
      <c r="AQ28" s="40" t="e">
        <f t="shared" ca="1" si="91"/>
        <v>#NUM!</v>
      </c>
      <c r="AR28" s="40" t="e">
        <f t="shared" ca="1" si="92"/>
        <v>#NUM!</v>
      </c>
      <c r="AS28" s="40" t="e">
        <f t="shared" ca="1" si="93"/>
        <v>#NUM!</v>
      </c>
    </row>
    <row r="29" spans="1:45" x14ac:dyDescent="0.25">
      <c r="A29" s="154"/>
      <c r="B29" s="73">
        <f t="shared" ref="B29:B92" si="94">(N29+F29-J29)/K29</f>
        <v>-59090.909090909088</v>
      </c>
      <c r="E29" s="148">
        <v>42826</v>
      </c>
      <c r="G29" s="139">
        <v>33</v>
      </c>
      <c r="H29" s="139">
        <v>0</v>
      </c>
      <c r="I29" s="49">
        <f t="shared" ref="I29:I92" si="95">E29+(H29-D29+(G29-C29)*112)</f>
        <v>46522</v>
      </c>
      <c r="J29" s="76">
        <v>1950000</v>
      </c>
      <c r="K29" s="40">
        <f t="shared" ref="K29:K92" si="96">(I29-E29)/112</f>
        <v>33</v>
      </c>
      <c r="L29" s="74">
        <f t="shared" ref="L29:L92" si="97">J29-F29</f>
        <v>1950000</v>
      </c>
      <c r="M29" s="76"/>
      <c r="N29" s="76">
        <f t="shared" ref="N29:N92" si="98">((G29-C29)*M29*16)+(H29-D29)/7*M29</f>
        <v>0</v>
      </c>
      <c r="O29" s="142"/>
      <c r="P29" s="142"/>
      <c r="Q29" s="142"/>
      <c r="R29" s="144"/>
      <c r="S29" s="144"/>
      <c r="T29" s="144"/>
      <c r="U29" s="144"/>
      <c r="V29" s="144"/>
      <c r="W29" s="144"/>
      <c r="X29" s="144"/>
      <c r="Y29" s="143"/>
      <c r="Z29" s="143">
        <f t="shared" ref="Z29:Z92" si="99">O29*P29*P29</f>
        <v>0</v>
      </c>
      <c r="AA29" s="9">
        <f t="shared" ref="AA29:AA92" si="100">((S29+1)+(V29+1)*2)/8</f>
        <v>0.375</v>
      </c>
      <c r="AB29" s="9">
        <f t="shared" ref="AB29:AB92" si="101">X29*0.7+W29*0.3</f>
        <v>0</v>
      </c>
      <c r="AC29" s="9">
        <f t="shared" ref="AC29:AC92" si="102">(0.5*W29+ 0.3*X29)/10</f>
        <v>0</v>
      </c>
      <c r="AD29" s="9">
        <f t="shared" ref="AD29:AD92" si="103">(0.4*S29+0.3*X29)/10</f>
        <v>0</v>
      </c>
      <c r="AE29" s="40" t="e">
        <f t="shared" ref="AE29:AE92" ca="1" si="104">IF(TODAY()-E29&gt;335,((S29+1+(LOG(O29)*4/3))*0.516),((S29+(((TODAY()-E29)^0.5)/(336^0.516))+(LOG(O29)*4/3))*0.516))</f>
        <v>#NUM!</v>
      </c>
      <c r="AF29" s="40" t="e">
        <f t="shared" ref="AF29:AF92" ca="1" si="105">IF(TODAY()-E29&gt;335,((S29+1+(LOG(O29)*4/3))*1),((S29+(((TODAY()-E29)^0.5)/(336^0.5))+(LOG(O29)*4/3))*1))</f>
        <v>#NUM!</v>
      </c>
      <c r="AG29" s="40" t="e">
        <f t="shared" ref="AG29:AG92" ca="1" si="106">IF(TODAY()-E29&gt;335,((T29+1+(LOG(O29)*4/3))*0.238),((T29+(((TODAY()-E29)^0.5)/(336^0.238))+(LOG(O29)*4/3))*0.238))</f>
        <v>#NUM!</v>
      </c>
      <c r="AH29" s="40" t="e">
        <f t="shared" ref="AH29:AH92" ca="1" si="107">IF(TODAY()-E29&gt;335,((S29+1+(LOG(O29)*4/3))*0.92),((S29+(((TODAY()-E29)^0.5)/(336^0.5))+(LOG(O29)*4/3))*0.92))</f>
        <v>#NUM!</v>
      </c>
      <c r="AI29" s="40" t="e">
        <f t="shared" ref="AI29:AI92" ca="1" si="108">IF(TODAY()-E29&gt;335,((S29+1+(LOG(O29)*4/3))*0.414),((S29+(((TODAY()-E29)^0.5)/(336^0.414))+(LOG(O29)*4/3))*0.414))</f>
        <v>#NUM!</v>
      </c>
      <c r="AJ29" s="40" t="e">
        <f t="shared" ref="AJ29:AJ92" ca="1" si="109">IF(TODAY()-E29&gt;335,((T29+1+(LOG(O29)*4/3))*0.167),((T29+(((TODAY()-E29)^0.5)/(336^0.5))+(LOG(O29)*4/3))*0.167))</f>
        <v>#NUM!</v>
      </c>
      <c r="AK29" s="203" t="e">
        <f t="shared" ref="AK29:AK92" ca="1" si="110">IF(TODAY()-E29&gt;335,((U29+1+(LOG(O29)*4/3))*0.588),((U29+(((TODAY()-E29)^0.5)/(336^0.5))+(LOG(O29)*4/3))*0.588))</f>
        <v>#NUM!</v>
      </c>
      <c r="AL29" s="40" t="e">
        <f t="shared" ref="AL29:AL92" ca="1" si="111">IF(TODAY()-E29&gt;335,((S29+1+(LOG(O29)*4/3))*0.4),((S29+(((TODAY()-E29)^0.5)/(336^0.5))+(LOG(O29)*4/3))*0.4))</f>
        <v>#NUM!</v>
      </c>
      <c r="AM29" s="40" t="e">
        <f t="shared" ref="AM29:AM92" ca="1" si="112">IF(TODAY()-E29&gt;335,((T29+1+(LOG(O29)*4/3))*1),((T29+(((TODAY()-E29)^0.5)/(336^0.5))+(LOG(O29)*4/3))*1))</f>
        <v>#NUM!</v>
      </c>
      <c r="AN29" s="40" t="e">
        <f t="shared" ref="AN29:AN92" ca="1" si="113">IF(TODAY()-E29&gt;335,((W29+1+(LOG(O29)*4/3))*0.21)+((V29+1+(LOG(O29)*4/3))*0.341),((W29+(((TODAY()-E29)^0.5)/(336^0.5))+(LOG(O29)*4/3))*0.21)+((V29+(((TODAY()-E29)^0.5)/(336^0.5))+(LOG(O29)*4/3))*0.341))</f>
        <v>#NUM!</v>
      </c>
      <c r="AO29" s="40" t="e">
        <f t="shared" ref="AO29:AO92" ca="1" si="114">IF(TODAY()-E29&gt;335,((T29+1+(LOG(O29)*4/3))*0.305),((T29+(((TODAY()-E29)^0.5)/(336^0.5))+(LOG(O29)*4/3))*0.305))</f>
        <v>#NUM!</v>
      </c>
      <c r="AP29" s="40" t="e">
        <f t="shared" ref="AP29:AP92" ca="1" si="115">IF(TODAY()-E29&gt;335,((U29+1+(LOG(O29)*4/3))*1)+((V29+1+(LOG(O29)*4/3))*0.286),((U29+(((TODAY()-E29)^0.5)/(336^0.5))+(LOG(O29)*4/3))*1)+((V29+(((TODAY()-E29)^0.5)/(336^0.5))+(LOG(O29)*4/3))*0.286))</f>
        <v>#NUM!</v>
      </c>
      <c r="AQ29" s="40" t="e">
        <f t="shared" ref="AQ29:AQ92" ca="1" si="116">IF(TODAY()-E29&gt;335,((T29+1+(LOG(O29)*4/3))*0.406),((T29+(((TODAY()-E29)^0.5)/(336^0.5))+(LOG(O29)*4/3))*0.406))</f>
        <v>#NUM!</v>
      </c>
      <c r="AR29" s="40" t="e">
        <f t="shared" ref="AR29:AR92" ca="1" si="117">IF(Q29="TEC",IF(TODAY()-E29&gt;335,((V29+1+(LOG(O29)*4/3))*0.15)+((V29+1+(LOG(O29)*4/3))*0.324)+((W29+1+(LOG(O29)*4/3))*0.127),((U29+(((TODAY()-E29)^0.5)/(336^0.5))+(LOG(O29)*4/3))*0.15)+((V29+(((TODAY()-E29)^0.5)/(336^0.5))+(LOG(O29)*4/3))*0.324)+((W29+(((TODAY()-E29)^0.5)/(336^0.5))+(LOG(O29)*4/3))*0.127)),IF(TODAY()-E29&gt;335,((V29+1+(LOG(O29)*4/3))*0.144)+((W29+1+(LOG(O29)*4/3))*0.25)+((W29+1+(LOG(O29)*4/3))*0.127),((U29+(((TODAY()-E29)^0.5)/(336^0.5))+(LOG(O29)*4/3))*0.144)+((V29+(((TODAY()-E29)^0.5)/(336^0.5))+(LOG(O29)*4/3))*0.25)+((W29+(((TODAY()-E29)^0.5)/(336^0.5))+(LOG(O29)*4/3))*0.127)))</f>
        <v>#NUM!</v>
      </c>
      <c r="AS29" s="40" t="e">
        <f t="shared" ref="AS29:AS92" ca="1" si="118">IF(Q29="TEC",IF(TODAY()-E29&gt;335,((V29+1+(LOG(O29)*4/3))*0.543)+((W29+1+(LOG(O29)*4/3))*0.583),((V29+(((TODAY()-E29)^0.5)/(336^0.5))+(LOG(O29)*4/3))*0.543)+((W29+(((TODAY()-E29)^0.5)/(336^0.5))+(LOG(O29)*4/3))*0.583)),IF(TODAY()-E29&gt;335,((V29+1+(LOG(O29)*4/3))*0.543)+((W29+1+(LOG(O29)*4/3))*0.583),((V29+(((TODAY()-E29)^0.5)/(336^0.5))+(LOG(O29)*4/3))*0.543)+((W29+(((TODAY()-E29)^0.5)/(336^0.5))+(LOG(O29)*4/3))*0.583)))</f>
        <v>#NUM!</v>
      </c>
    </row>
    <row r="30" spans="1:45" x14ac:dyDescent="0.25">
      <c r="A30" s="154"/>
      <c r="B30" s="73">
        <f t="shared" si="94"/>
        <v>-59090.909090909088</v>
      </c>
      <c r="E30" s="148">
        <v>42826</v>
      </c>
      <c r="G30" s="139">
        <v>33</v>
      </c>
      <c r="H30" s="139">
        <v>0</v>
      </c>
      <c r="I30" s="49">
        <f t="shared" si="95"/>
        <v>46522</v>
      </c>
      <c r="J30" s="76">
        <v>1950000</v>
      </c>
      <c r="K30" s="40">
        <f t="shared" si="96"/>
        <v>33</v>
      </c>
      <c r="L30" s="74">
        <f t="shared" si="97"/>
        <v>1950000</v>
      </c>
      <c r="M30" s="76"/>
      <c r="N30" s="76">
        <f t="shared" si="98"/>
        <v>0</v>
      </c>
      <c r="O30" s="142"/>
      <c r="P30" s="142"/>
      <c r="Q30" s="142"/>
      <c r="R30" s="144"/>
      <c r="S30" s="144"/>
      <c r="T30" s="144"/>
      <c r="U30" s="144"/>
      <c r="V30" s="144"/>
      <c r="W30" s="144"/>
      <c r="X30" s="144"/>
      <c r="Y30" s="143"/>
      <c r="Z30" s="143">
        <f t="shared" si="99"/>
        <v>0</v>
      </c>
      <c r="AA30" s="9">
        <f t="shared" si="100"/>
        <v>0.375</v>
      </c>
      <c r="AB30" s="9">
        <f t="shared" si="101"/>
        <v>0</v>
      </c>
      <c r="AC30" s="9">
        <f t="shared" si="102"/>
        <v>0</v>
      </c>
      <c r="AD30" s="9">
        <f t="shared" si="103"/>
        <v>0</v>
      </c>
      <c r="AE30" s="40" t="e">
        <f t="shared" ca="1" si="104"/>
        <v>#NUM!</v>
      </c>
      <c r="AF30" s="40" t="e">
        <f t="shared" ca="1" si="105"/>
        <v>#NUM!</v>
      </c>
      <c r="AG30" s="40" t="e">
        <f t="shared" ca="1" si="106"/>
        <v>#NUM!</v>
      </c>
      <c r="AH30" s="40" t="e">
        <f t="shared" ca="1" si="107"/>
        <v>#NUM!</v>
      </c>
      <c r="AI30" s="40" t="e">
        <f t="shared" ca="1" si="108"/>
        <v>#NUM!</v>
      </c>
      <c r="AJ30" s="40" t="e">
        <f t="shared" ca="1" si="109"/>
        <v>#NUM!</v>
      </c>
      <c r="AK30" s="203" t="e">
        <f t="shared" ca="1" si="110"/>
        <v>#NUM!</v>
      </c>
      <c r="AL30" s="40" t="e">
        <f t="shared" ca="1" si="111"/>
        <v>#NUM!</v>
      </c>
      <c r="AM30" s="40" t="e">
        <f t="shared" ca="1" si="112"/>
        <v>#NUM!</v>
      </c>
      <c r="AN30" s="40" t="e">
        <f t="shared" ca="1" si="113"/>
        <v>#NUM!</v>
      </c>
      <c r="AO30" s="40" t="e">
        <f t="shared" ca="1" si="114"/>
        <v>#NUM!</v>
      </c>
      <c r="AP30" s="40" t="e">
        <f t="shared" ca="1" si="115"/>
        <v>#NUM!</v>
      </c>
      <c r="AQ30" s="40" t="e">
        <f t="shared" ca="1" si="116"/>
        <v>#NUM!</v>
      </c>
      <c r="AR30" s="40" t="e">
        <f t="shared" ca="1" si="117"/>
        <v>#NUM!</v>
      </c>
      <c r="AS30" s="40" t="e">
        <f t="shared" ca="1" si="118"/>
        <v>#NUM!</v>
      </c>
    </row>
    <row r="31" spans="1:45" x14ac:dyDescent="0.25">
      <c r="A31" s="154"/>
      <c r="B31" s="73">
        <f t="shared" si="94"/>
        <v>-59090.909090909088</v>
      </c>
      <c r="E31" s="148">
        <v>42826</v>
      </c>
      <c r="G31" s="139">
        <v>33</v>
      </c>
      <c r="H31" s="139">
        <v>0</v>
      </c>
      <c r="I31" s="49">
        <f t="shared" si="95"/>
        <v>46522</v>
      </c>
      <c r="J31" s="76">
        <v>1950000</v>
      </c>
      <c r="K31" s="40">
        <f t="shared" si="96"/>
        <v>33</v>
      </c>
      <c r="L31" s="74">
        <f t="shared" si="97"/>
        <v>1950000</v>
      </c>
      <c r="M31" s="76"/>
      <c r="N31" s="76">
        <f t="shared" si="98"/>
        <v>0</v>
      </c>
      <c r="O31" s="142"/>
      <c r="P31" s="142"/>
      <c r="Q31" s="142"/>
      <c r="R31" s="144"/>
      <c r="S31" s="144"/>
      <c r="T31" s="144"/>
      <c r="U31" s="144"/>
      <c r="V31" s="144"/>
      <c r="W31" s="144"/>
      <c r="X31" s="144"/>
      <c r="Y31" s="143"/>
      <c r="Z31" s="143">
        <f t="shared" si="99"/>
        <v>0</v>
      </c>
      <c r="AA31" s="9">
        <f t="shared" si="100"/>
        <v>0.375</v>
      </c>
      <c r="AB31" s="9">
        <f t="shared" si="101"/>
        <v>0</v>
      </c>
      <c r="AC31" s="9">
        <f t="shared" si="102"/>
        <v>0</v>
      </c>
      <c r="AD31" s="9">
        <f t="shared" si="103"/>
        <v>0</v>
      </c>
      <c r="AE31" s="40" t="e">
        <f t="shared" ca="1" si="104"/>
        <v>#NUM!</v>
      </c>
      <c r="AF31" s="40" t="e">
        <f t="shared" ca="1" si="105"/>
        <v>#NUM!</v>
      </c>
      <c r="AG31" s="40" t="e">
        <f t="shared" ca="1" si="106"/>
        <v>#NUM!</v>
      </c>
      <c r="AH31" s="40" t="e">
        <f t="shared" ca="1" si="107"/>
        <v>#NUM!</v>
      </c>
      <c r="AI31" s="40" t="e">
        <f t="shared" ca="1" si="108"/>
        <v>#NUM!</v>
      </c>
      <c r="AJ31" s="40" t="e">
        <f t="shared" ca="1" si="109"/>
        <v>#NUM!</v>
      </c>
      <c r="AK31" s="203" t="e">
        <f t="shared" ca="1" si="110"/>
        <v>#NUM!</v>
      </c>
      <c r="AL31" s="40" t="e">
        <f t="shared" ca="1" si="111"/>
        <v>#NUM!</v>
      </c>
      <c r="AM31" s="40" t="e">
        <f t="shared" ca="1" si="112"/>
        <v>#NUM!</v>
      </c>
      <c r="AN31" s="40" t="e">
        <f t="shared" ca="1" si="113"/>
        <v>#NUM!</v>
      </c>
      <c r="AO31" s="40" t="e">
        <f t="shared" ca="1" si="114"/>
        <v>#NUM!</v>
      </c>
      <c r="AP31" s="40" t="e">
        <f t="shared" ca="1" si="115"/>
        <v>#NUM!</v>
      </c>
      <c r="AQ31" s="40" t="e">
        <f t="shared" ca="1" si="116"/>
        <v>#NUM!</v>
      </c>
      <c r="AR31" s="40" t="e">
        <f t="shared" ca="1" si="117"/>
        <v>#NUM!</v>
      </c>
      <c r="AS31" s="40" t="e">
        <f t="shared" ca="1" si="118"/>
        <v>#NUM!</v>
      </c>
    </row>
    <row r="32" spans="1:45" x14ac:dyDescent="0.25">
      <c r="A32" s="154"/>
      <c r="B32" s="73">
        <f t="shared" si="94"/>
        <v>-59090.909090909088</v>
      </c>
      <c r="E32" s="148">
        <v>42826</v>
      </c>
      <c r="G32" s="139">
        <v>33</v>
      </c>
      <c r="H32" s="139">
        <v>0</v>
      </c>
      <c r="I32" s="49">
        <f t="shared" si="95"/>
        <v>46522</v>
      </c>
      <c r="J32" s="76">
        <v>1950000</v>
      </c>
      <c r="K32" s="40">
        <f t="shared" si="96"/>
        <v>33</v>
      </c>
      <c r="L32" s="74">
        <f t="shared" si="97"/>
        <v>1950000</v>
      </c>
      <c r="M32" s="76"/>
      <c r="N32" s="76">
        <f t="shared" si="98"/>
        <v>0</v>
      </c>
      <c r="O32" s="142"/>
      <c r="P32" s="142"/>
      <c r="Q32" s="142"/>
      <c r="R32" s="144"/>
      <c r="S32" s="144"/>
      <c r="T32" s="144"/>
      <c r="U32" s="144"/>
      <c r="V32" s="144"/>
      <c r="W32" s="144"/>
      <c r="X32" s="144"/>
      <c r="Y32" s="143"/>
      <c r="Z32" s="143">
        <f t="shared" si="99"/>
        <v>0</v>
      </c>
      <c r="AA32" s="9">
        <f t="shared" si="100"/>
        <v>0.375</v>
      </c>
      <c r="AB32" s="9">
        <f t="shared" si="101"/>
        <v>0</v>
      </c>
      <c r="AC32" s="9">
        <f t="shared" si="102"/>
        <v>0</v>
      </c>
      <c r="AD32" s="9">
        <f t="shared" si="103"/>
        <v>0</v>
      </c>
      <c r="AE32" s="40" t="e">
        <f t="shared" ca="1" si="104"/>
        <v>#NUM!</v>
      </c>
      <c r="AF32" s="40" t="e">
        <f t="shared" ca="1" si="105"/>
        <v>#NUM!</v>
      </c>
      <c r="AG32" s="40" t="e">
        <f t="shared" ca="1" si="106"/>
        <v>#NUM!</v>
      </c>
      <c r="AH32" s="40" t="e">
        <f t="shared" ca="1" si="107"/>
        <v>#NUM!</v>
      </c>
      <c r="AI32" s="40" t="e">
        <f t="shared" ca="1" si="108"/>
        <v>#NUM!</v>
      </c>
      <c r="AJ32" s="40" t="e">
        <f t="shared" ca="1" si="109"/>
        <v>#NUM!</v>
      </c>
      <c r="AK32" s="203" t="e">
        <f t="shared" ca="1" si="110"/>
        <v>#NUM!</v>
      </c>
      <c r="AL32" s="40" t="e">
        <f t="shared" ca="1" si="111"/>
        <v>#NUM!</v>
      </c>
      <c r="AM32" s="40" t="e">
        <f t="shared" ca="1" si="112"/>
        <v>#NUM!</v>
      </c>
      <c r="AN32" s="40" t="e">
        <f t="shared" ca="1" si="113"/>
        <v>#NUM!</v>
      </c>
      <c r="AO32" s="40" t="e">
        <f t="shared" ca="1" si="114"/>
        <v>#NUM!</v>
      </c>
      <c r="AP32" s="40" t="e">
        <f t="shared" ca="1" si="115"/>
        <v>#NUM!</v>
      </c>
      <c r="AQ32" s="40" t="e">
        <f t="shared" ca="1" si="116"/>
        <v>#NUM!</v>
      </c>
      <c r="AR32" s="40" t="e">
        <f t="shared" ca="1" si="117"/>
        <v>#NUM!</v>
      </c>
      <c r="AS32" s="40" t="e">
        <f t="shared" ca="1" si="118"/>
        <v>#NUM!</v>
      </c>
    </row>
    <row r="33" spans="1:45" x14ac:dyDescent="0.25">
      <c r="A33" s="154"/>
      <c r="B33" s="73">
        <f t="shared" si="94"/>
        <v>-59090.909090909088</v>
      </c>
      <c r="E33" s="148">
        <v>42826</v>
      </c>
      <c r="G33" s="139">
        <v>33</v>
      </c>
      <c r="H33" s="139">
        <v>0</v>
      </c>
      <c r="I33" s="49">
        <f t="shared" si="95"/>
        <v>46522</v>
      </c>
      <c r="J33" s="76">
        <v>1950000</v>
      </c>
      <c r="K33" s="40">
        <f t="shared" si="96"/>
        <v>33</v>
      </c>
      <c r="L33" s="74">
        <f t="shared" si="97"/>
        <v>1950000</v>
      </c>
      <c r="M33" s="76"/>
      <c r="N33" s="76">
        <f t="shared" si="98"/>
        <v>0</v>
      </c>
      <c r="O33" s="142"/>
      <c r="P33" s="142"/>
      <c r="Q33" s="142"/>
      <c r="R33" s="144"/>
      <c r="S33" s="144"/>
      <c r="T33" s="144"/>
      <c r="U33" s="144"/>
      <c r="V33" s="144"/>
      <c r="W33" s="144"/>
      <c r="X33" s="144"/>
      <c r="Y33" s="143"/>
      <c r="Z33" s="143">
        <f t="shared" si="99"/>
        <v>0</v>
      </c>
      <c r="AA33" s="9">
        <f t="shared" si="100"/>
        <v>0.375</v>
      </c>
      <c r="AB33" s="9">
        <f t="shared" si="101"/>
        <v>0</v>
      </c>
      <c r="AC33" s="9">
        <f t="shared" si="102"/>
        <v>0</v>
      </c>
      <c r="AD33" s="9">
        <f t="shared" si="103"/>
        <v>0</v>
      </c>
      <c r="AE33" s="40" t="e">
        <f t="shared" ca="1" si="104"/>
        <v>#NUM!</v>
      </c>
      <c r="AF33" s="40" t="e">
        <f t="shared" ca="1" si="105"/>
        <v>#NUM!</v>
      </c>
      <c r="AG33" s="40" t="e">
        <f t="shared" ca="1" si="106"/>
        <v>#NUM!</v>
      </c>
      <c r="AH33" s="40" t="e">
        <f t="shared" ca="1" si="107"/>
        <v>#NUM!</v>
      </c>
      <c r="AI33" s="40" t="e">
        <f t="shared" ca="1" si="108"/>
        <v>#NUM!</v>
      </c>
      <c r="AJ33" s="40" t="e">
        <f t="shared" ca="1" si="109"/>
        <v>#NUM!</v>
      </c>
      <c r="AK33" s="203" t="e">
        <f t="shared" ca="1" si="110"/>
        <v>#NUM!</v>
      </c>
      <c r="AL33" s="40" t="e">
        <f t="shared" ca="1" si="111"/>
        <v>#NUM!</v>
      </c>
      <c r="AM33" s="40" t="e">
        <f t="shared" ca="1" si="112"/>
        <v>#NUM!</v>
      </c>
      <c r="AN33" s="40" t="e">
        <f t="shared" ca="1" si="113"/>
        <v>#NUM!</v>
      </c>
      <c r="AO33" s="40" t="e">
        <f t="shared" ca="1" si="114"/>
        <v>#NUM!</v>
      </c>
      <c r="AP33" s="40" t="e">
        <f t="shared" ca="1" si="115"/>
        <v>#NUM!</v>
      </c>
      <c r="AQ33" s="40" t="e">
        <f t="shared" ca="1" si="116"/>
        <v>#NUM!</v>
      </c>
      <c r="AR33" s="40" t="e">
        <f t="shared" ca="1" si="117"/>
        <v>#NUM!</v>
      </c>
      <c r="AS33" s="40" t="e">
        <f t="shared" ca="1" si="118"/>
        <v>#NUM!</v>
      </c>
    </row>
    <row r="34" spans="1:45" x14ac:dyDescent="0.25">
      <c r="A34" s="154"/>
      <c r="B34" s="73">
        <f t="shared" si="94"/>
        <v>-59090.909090909088</v>
      </c>
      <c r="E34" s="148">
        <v>42826</v>
      </c>
      <c r="G34" s="139">
        <v>33</v>
      </c>
      <c r="H34" s="139">
        <v>0</v>
      </c>
      <c r="I34" s="49">
        <f t="shared" si="95"/>
        <v>46522</v>
      </c>
      <c r="J34" s="76">
        <v>1950000</v>
      </c>
      <c r="K34" s="40">
        <f t="shared" si="96"/>
        <v>33</v>
      </c>
      <c r="L34" s="74">
        <f t="shared" si="97"/>
        <v>1950000</v>
      </c>
      <c r="M34" s="76"/>
      <c r="N34" s="76">
        <f t="shared" si="98"/>
        <v>0</v>
      </c>
      <c r="O34" s="142"/>
      <c r="P34" s="142"/>
      <c r="Q34" s="142"/>
      <c r="R34" s="144"/>
      <c r="S34" s="144"/>
      <c r="T34" s="144"/>
      <c r="U34" s="144"/>
      <c r="V34" s="144"/>
      <c r="W34" s="144"/>
      <c r="X34" s="144"/>
      <c r="Y34" s="143"/>
      <c r="Z34" s="143">
        <f t="shared" si="99"/>
        <v>0</v>
      </c>
      <c r="AA34" s="9">
        <f t="shared" si="100"/>
        <v>0.375</v>
      </c>
      <c r="AB34" s="9">
        <f t="shared" si="101"/>
        <v>0</v>
      </c>
      <c r="AC34" s="9">
        <f t="shared" si="102"/>
        <v>0</v>
      </c>
      <c r="AD34" s="9">
        <f t="shared" si="103"/>
        <v>0</v>
      </c>
      <c r="AE34" s="40" t="e">
        <f t="shared" ca="1" si="104"/>
        <v>#NUM!</v>
      </c>
      <c r="AF34" s="40" t="e">
        <f t="shared" ca="1" si="105"/>
        <v>#NUM!</v>
      </c>
      <c r="AG34" s="40" t="e">
        <f t="shared" ca="1" si="106"/>
        <v>#NUM!</v>
      </c>
      <c r="AH34" s="40" t="e">
        <f t="shared" ca="1" si="107"/>
        <v>#NUM!</v>
      </c>
      <c r="AI34" s="40" t="e">
        <f t="shared" ca="1" si="108"/>
        <v>#NUM!</v>
      </c>
      <c r="AJ34" s="40" t="e">
        <f t="shared" ca="1" si="109"/>
        <v>#NUM!</v>
      </c>
      <c r="AK34" s="203" t="e">
        <f t="shared" ca="1" si="110"/>
        <v>#NUM!</v>
      </c>
      <c r="AL34" s="40" t="e">
        <f t="shared" ca="1" si="111"/>
        <v>#NUM!</v>
      </c>
      <c r="AM34" s="40" t="e">
        <f t="shared" ca="1" si="112"/>
        <v>#NUM!</v>
      </c>
      <c r="AN34" s="40" t="e">
        <f t="shared" ca="1" si="113"/>
        <v>#NUM!</v>
      </c>
      <c r="AO34" s="40" t="e">
        <f t="shared" ca="1" si="114"/>
        <v>#NUM!</v>
      </c>
      <c r="AP34" s="40" t="e">
        <f t="shared" ca="1" si="115"/>
        <v>#NUM!</v>
      </c>
      <c r="AQ34" s="40" t="e">
        <f t="shared" ca="1" si="116"/>
        <v>#NUM!</v>
      </c>
      <c r="AR34" s="40" t="e">
        <f t="shared" ca="1" si="117"/>
        <v>#NUM!</v>
      </c>
      <c r="AS34" s="40" t="e">
        <f t="shared" ca="1" si="118"/>
        <v>#NUM!</v>
      </c>
    </row>
    <row r="35" spans="1:45" x14ac:dyDescent="0.25">
      <c r="A35" s="154"/>
      <c r="B35" s="73">
        <f t="shared" si="94"/>
        <v>-59090.909090909088</v>
      </c>
      <c r="E35" s="148">
        <v>42826</v>
      </c>
      <c r="G35" s="139">
        <v>33</v>
      </c>
      <c r="H35" s="139">
        <v>0</v>
      </c>
      <c r="I35" s="49">
        <f t="shared" si="95"/>
        <v>46522</v>
      </c>
      <c r="J35" s="76">
        <v>1950000</v>
      </c>
      <c r="K35" s="40">
        <f t="shared" si="96"/>
        <v>33</v>
      </c>
      <c r="L35" s="74">
        <f t="shared" si="97"/>
        <v>1950000</v>
      </c>
      <c r="M35" s="76"/>
      <c r="N35" s="76">
        <f t="shared" si="98"/>
        <v>0</v>
      </c>
      <c r="O35" s="142"/>
      <c r="P35" s="142"/>
      <c r="Q35" s="142"/>
      <c r="R35" s="144"/>
      <c r="S35" s="144"/>
      <c r="T35" s="144"/>
      <c r="U35" s="144"/>
      <c r="V35" s="144"/>
      <c r="W35" s="144"/>
      <c r="X35" s="144"/>
      <c r="Y35" s="143"/>
      <c r="Z35" s="143">
        <f t="shared" si="99"/>
        <v>0</v>
      </c>
      <c r="AA35" s="9">
        <f t="shared" si="100"/>
        <v>0.375</v>
      </c>
      <c r="AB35" s="9">
        <f t="shared" si="101"/>
        <v>0</v>
      </c>
      <c r="AC35" s="9">
        <f t="shared" si="102"/>
        <v>0</v>
      </c>
      <c r="AD35" s="9">
        <f t="shared" si="103"/>
        <v>0</v>
      </c>
      <c r="AE35" s="40" t="e">
        <f t="shared" ca="1" si="104"/>
        <v>#NUM!</v>
      </c>
      <c r="AF35" s="40" t="e">
        <f t="shared" ca="1" si="105"/>
        <v>#NUM!</v>
      </c>
      <c r="AG35" s="40" t="e">
        <f t="shared" ca="1" si="106"/>
        <v>#NUM!</v>
      </c>
      <c r="AH35" s="40" t="e">
        <f t="shared" ca="1" si="107"/>
        <v>#NUM!</v>
      </c>
      <c r="AI35" s="40" t="e">
        <f t="shared" ca="1" si="108"/>
        <v>#NUM!</v>
      </c>
      <c r="AJ35" s="40" t="e">
        <f t="shared" ca="1" si="109"/>
        <v>#NUM!</v>
      </c>
      <c r="AK35" s="203" t="e">
        <f t="shared" ca="1" si="110"/>
        <v>#NUM!</v>
      </c>
      <c r="AL35" s="40" t="e">
        <f t="shared" ca="1" si="111"/>
        <v>#NUM!</v>
      </c>
      <c r="AM35" s="40" t="e">
        <f t="shared" ca="1" si="112"/>
        <v>#NUM!</v>
      </c>
      <c r="AN35" s="40" t="e">
        <f t="shared" ca="1" si="113"/>
        <v>#NUM!</v>
      </c>
      <c r="AO35" s="40" t="e">
        <f t="shared" ca="1" si="114"/>
        <v>#NUM!</v>
      </c>
      <c r="AP35" s="40" t="e">
        <f t="shared" ca="1" si="115"/>
        <v>#NUM!</v>
      </c>
      <c r="AQ35" s="40" t="e">
        <f t="shared" ca="1" si="116"/>
        <v>#NUM!</v>
      </c>
      <c r="AR35" s="40" t="e">
        <f t="shared" ca="1" si="117"/>
        <v>#NUM!</v>
      </c>
      <c r="AS35" s="40" t="e">
        <f t="shared" ca="1" si="118"/>
        <v>#NUM!</v>
      </c>
    </row>
    <row r="36" spans="1:45" x14ac:dyDescent="0.25">
      <c r="A36" s="154"/>
      <c r="B36" s="73">
        <f t="shared" si="94"/>
        <v>-59090.909090909088</v>
      </c>
      <c r="E36" s="148">
        <v>42826</v>
      </c>
      <c r="G36" s="139">
        <v>33</v>
      </c>
      <c r="H36" s="139">
        <v>0</v>
      </c>
      <c r="I36" s="49">
        <f t="shared" si="95"/>
        <v>46522</v>
      </c>
      <c r="J36" s="76">
        <v>1950000</v>
      </c>
      <c r="K36" s="40">
        <f t="shared" si="96"/>
        <v>33</v>
      </c>
      <c r="L36" s="74">
        <f t="shared" si="97"/>
        <v>1950000</v>
      </c>
      <c r="M36" s="76"/>
      <c r="N36" s="76">
        <f t="shared" si="98"/>
        <v>0</v>
      </c>
      <c r="O36" s="142"/>
      <c r="P36" s="142"/>
      <c r="Q36" s="142"/>
      <c r="R36" s="144"/>
      <c r="S36" s="144"/>
      <c r="T36" s="144"/>
      <c r="U36" s="144"/>
      <c r="V36" s="144"/>
      <c r="W36" s="144"/>
      <c r="X36" s="144"/>
      <c r="Y36" s="143"/>
      <c r="Z36" s="143">
        <f t="shared" si="99"/>
        <v>0</v>
      </c>
      <c r="AA36" s="9">
        <f t="shared" si="100"/>
        <v>0.375</v>
      </c>
      <c r="AB36" s="9">
        <f t="shared" si="101"/>
        <v>0</v>
      </c>
      <c r="AC36" s="9">
        <f t="shared" si="102"/>
        <v>0</v>
      </c>
      <c r="AD36" s="9">
        <f t="shared" si="103"/>
        <v>0</v>
      </c>
      <c r="AE36" s="40" t="e">
        <f t="shared" ca="1" si="104"/>
        <v>#NUM!</v>
      </c>
      <c r="AF36" s="40" t="e">
        <f t="shared" ca="1" si="105"/>
        <v>#NUM!</v>
      </c>
      <c r="AG36" s="40" t="e">
        <f t="shared" ca="1" si="106"/>
        <v>#NUM!</v>
      </c>
      <c r="AH36" s="40" t="e">
        <f t="shared" ca="1" si="107"/>
        <v>#NUM!</v>
      </c>
      <c r="AI36" s="40" t="e">
        <f t="shared" ca="1" si="108"/>
        <v>#NUM!</v>
      </c>
      <c r="AJ36" s="40" t="e">
        <f t="shared" ca="1" si="109"/>
        <v>#NUM!</v>
      </c>
      <c r="AK36" s="203" t="e">
        <f t="shared" ca="1" si="110"/>
        <v>#NUM!</v>
      </c>
      <c r="AL36" s="40" t="e">
        <f t="shared" ca="1" si="111"/>
        <v>#NUM!</v>
      </c>
      <c r="AM36" s="40" t="e">
        <f t="shared" ca="1" si="112"/>
        <v>#NUM!</v>
      </c>
      <c r="AN36" s="40" t="e">
        <f t="shared" ca="1" si="113"/>
        <v>#NUM!</v>
      </c>
      <c r="AO36" s="40" t="e">
        <f t="shared" ca="1" si="114"/>
        <v>#NUM!</v>
      </c>
      <c r="AP36" s="40" t="e">
        <f t="shared" ca="1" si="115"/>
        <v>#NUM!</v>
      </c>
      <c r="AQ36" s="40" t="e">
        <f t="shared" ca="1" si="116"/>
        <v>#NUM!</v>
      </c>
      <c r="AR36" s="40" t="e">
        <f t="shared" ca="1" si="117"/>
        <v>#NUM!</v>
      </c>
      <c r="AS36" s="40" t="e">
        <f t="shared" ca="1" si="118"/>
        <v>#NUM!</v>
      </c>
    </row>
    <row r="37" spans="1:45" x14ac:dyDescent="0.25">
      <c r="A37" s="154"/>
      <c r="B37" s="73">
        <f t="shared" si="94"/>
        <v>-59090.909090909088</v>
      </c>
      <c r="E37" s="148">
        <v>42826</v>
      </c>
      <c r="G37" s="139">
        <v>33</v>
      </c>
      <c r="H37" s="139">
        <v>0</v>
      </c>
      <c r="I37" s="49">
        <f t="shared" si="95"/>
        <v>46522</v>
      </c>
      <c r="J37" s="76">
        <v>1950000</v>
      </c>
      <c r="K37" s="40">
        <f t="shared" si="96"/>
        <v>33</v>
      </c>
      <c r="L37" s="74">
        <f t="shared" si="97"/>
        <v>1950000</v>
      </c>
      <c r="M37" s="76"/>
      <c r="N37" s="76">
        <f t="shared" si="98"/>
        <v>0</v>
      </c>
      <c r="O37" s="142"/>
      <c r="P37" s="142"/>
      <c r="Q37" s="142"/>
      <c r="R37" s="144"/>
      <c r="S37" s="144"/>
      <c r="T37" s="144"/>
      <c r="U37" s="144"/>
      <c r="V37" s="144"/>
      <c r="W37" s="144"/>
      <c r="X37" s="144"/>
      <c r="Y37" s="143"/>
      <c r="Z37" s="143">
        <f t="shared" si="99"/>
        <v>0</v>
      </c>
      <c r="AA37" s="9">
        <f t="shared" si="100"/>
        <v>0.375</v>
      </c>
      <c r="AB37" s="9">
        <f t="shared" si="101"/>
        <v>0</v>
      </c>
      <c r="AC37" s="9">
        <f t="shared" si="102"/>
        <v>0</v>
      </c>
      <c r="AD37" s="9">
        <f t="shared" si="103"/>
        <v>0</v>
      </c>
      <c r="AE37" s="40" t="e">
        <f t="shared" ca="1" si="104"/>
        <v>#NUM!</v>
      </c>
      <c r="AF37" s="40" t="e">
        <f t="shared" ca="1" si="105"/>
        <v>#NUM!</v>
      </c>
      <c r="AG37" s="40" t="e">
        <f t="shared" ca="1" si="106"/>
        <v>#NUM!</v>
      </c>
      <c r="AH37" s="40" t="e">
        <f t="shared" ca="1" si="107"/>
        <v>#NUM!</v>
      </c>
      <c r="AI37" s="40" t="e">
        <f t="shared" ca="1" si="108"/>
        <v>#NUM!</v>
      </c>
      <c r="AJ37" s="40" t="e">
        <f t="shared" ca="1" si="109"/>
        <v>#NUM!</v>
      </c>
      <c r="AK37" s="203" t="e">
        <f t="shared" ca="1" si="110"/>
        <v>#NUM!</v>
      </c>
      <c r="AL37" s="40" t="e">
        <f t="shared" ca="1" si="111"/>
        <v>#NUM!</v>
      </c>
      <c r="AM37" s="40" t="e">
        <f t="shared" ca="1" si="112"/>
        <v>#NUM!</v>
      </c>
      <c r="AN37" s="40" t="e">
        <f t="shared" ca="1" si="113"/>
        <v>#NUM!</v>
      </c>
      <c r="AO37" s="40" t="e">
        <f t="shared" ca="1" si="114"/>
        <v>#NUM!</v>
      </c>
      <c r="AP37" s="40" t="e">
        <f t="shared" ca="1" si="115"/>
        <v>#NUM!</v>
      </c>
      <c r="AQ37" s="40" t="e">
        <f t="shared" ca="1" si="116"/>
        <v>#NUM!</v>
      </c>
      <c r="AR37" s="40" t="e">
        <f t="shared" ca="1" si="117"/>
        <v>#NUM!</v>
      </c>
      <c r="AS37" s="40" t="e">
        <f t="shared" ca="1" si="118"/>
        <v>#NUM!</v>
      </c>
    </row>
    <row r="38" spans="1:45" x14ac:dyDescent="0.25">
      <c r="A38" s="154"/>
      <c r="B38" s="73">
        <f t="shared" si="94"/>
        <v>-59090.909090909088</v>
      </c>
      <c r="E38" s="148">
        <v>42826</v>
      </c>
      <c r="G38" s="139">
        <v>33</v>
      </c>
      <c r="H38" s="139">
        <v>0</v>
      </c>
      <c r="I38" s="49">
        <f t="shared" si="95"/>
        <v>46522</v>
      </c>
      <c r="J38" s="76">
        <v>1950000</v>
      </c>
      <c r="K38" s="40">
        <f t="shared" si="96"/>
        <v>33</v>
      </c>
      <c r="L38" s="74">
        <f t="shared" si="97"/>
        <v>1950000</v>
      </c>
      <c r="M38" s="76"/>
      <c r="N38" s="76">
        <f t="shared" si="98"/>
        <v>0</v>
      </c>
      <c r="O38" s="142"/>
      <c r="P38" s="142"/>
      <c r="Q38" s="142"/>
      <c r="R38" s="144"/>
      <c r="S38" s="144"/>
      <c r="T38" s="144"/>
      <c r="U38" s="144"/>
      <c r="V38" s="144"/>
      <c r="W38" s="144"/>
      <c r="X38" s="144"/>
      <c r="Y38" s="143"/>
      <c r="Z38" s="143">
        <f t="shared" si="99"/>
        <v>0</v>
      </c>
      <c r="AA38" s="9">
        <f t="shared" si="100"/>
        <v>0.375</v>
      </c>
      <c r="AB38" s="9">
        <f t="shared" si="101"/>
        <v>0</v>
      </c>
      <c r="AC38" s="9">
        <f t="shared" si="102"/>
        <v>0</v>
      </c>
      <c r="AD38" s="9">
        <f t="shared" si="103"/>
        <v>0</v>
      </c>
      <c r="AE38" s="40" t="e">
        <f t="shared" ca="1" si="104"/>
        <v>#NUM!</v>
      </c>
      <c r="AF38" s="40" t="e">
        <f t="shared" ca="1" si="105"/>
        <v>#NUM!</v>
      </c>
      <c r="AG38" s="40" t="e">
        <f t="shared" ca="1" si="106"/>
        <v>#NUM!</v>
      </c>
      <c r="AH38" s="40" t="e">
        <f t="shared" ca="1" si="107"/>
        <v>#NUM!</v>
      </c>
      <c r="AI38" s="40" t="e">
        <f t="shared" ca="1" si="108"/>
        <v>#NUM!</v>
      </c>
      <c r="AJ38" s="40" t="e">
        <f t="shared" ca="1" si="109"/>
        <v>#NUM!</v>
      </c>
      <c r="AK38" s="203" t="e">
        <f t="shared" ca="1" si="110"/>
        <v>#NUM!</v>
      </c>
      <c r="AL38" s="40" t="e">
        <f t="shared" ca="1" si="111"/>
        <v>#NUM!</v>
      </c>
      <c r="AM38" s="40" t="e">
        <f t="shared" ca="1" si="112"/>
        <v>#NUM!</v>
      </c>
      <c r="AN38" s="40" t="e">
        <f t="shared" ca="1" si="113"/>
        <v>#NUM!</v>
      </c>
      <c r="AO38" s="40" t="e">
        <f t="shared" ca="1" si="114"/>
        <v>#NUM!</v>
      </c>
      <c r="AP38" s="40" t="e">
        <f t="shared" ca="1" si="115"/>
        <v>#NUM!</v>
      </c>
      <c r="AQ38" s="40" t="e">
        <f t="shared" ca="1" si="116"/>
        <v>#NUM!</v>
      </c>
      <c r="AR38" s="40" t="e">
        <f t="shared" ca="1" si="117"/>
        <v>#NUM!</v>
      </c>
      <c r="AS38" s="40" t="e">
        <f t="shared" ca="1" si="118"/>
        <v>#NUM!</v>
      </c>
    </row>
    <row r="39" spans="1:45" x14ac:dyDescent="0.25">
      <c r="A39" s="154"/>
      <c r="B39" s="73">
        <f t="shared" si="94"/>
        <v>-59090.909090909088</v>
      </c>
      <c r="E39" s="148">
        <v>42826</v>
      </c>
      <c r="G39" s="139">
        <v>33</v>
      </c>
      <c r="H39" s="139">
        <v>0</v>
      </c>
      <c r="I39" s="49">
        <f t="shared" si="95"/>
        <v>46522</v>
      </c>
      <c r="J39" s="76">
        <v>1950000</v>
      </c>
      <c r="K39" s="40">
        <f t="shared" si="96"/>
        <v>33</v>
      </c>
      <c r="L39" s="74">
        <f t="shared" si="97"/>
        <v>1950000</v>
      </c>
      <c r="M39" s="76"/>
      <c r="N39" s="76">
        <f t="shared" si="98"/>
        <v>0</v>
      </c>
      <c r="O39" s="142"/>
      <c r="P39" s="142"/>
      <c r="Q39" s="142"/>
      <c r="R39" s="144"/>
      <c r="S39" s="144"/>
      <c r="T39" s="144"/>
      <c r="U39" s="144"/>
      <c r="V39" s="144"/>
      <c r="W39" s="144"/>
      <c r="X39" s="144"/>
      <c r="Y39" s="143"/>
      <c r="Z39" s="143">
        <f t="shared" si="99"/>
        <v>0</v>
      </c>
      <c r="AA39" s="9">
        <f t="shared" si="100"/>
        <v>0.375</v>
      </c>
      <c r="AB39" s="9">
        <f t="shared" si="101"/>
        <v>0</v>
      </c>
      <c r="AC39" s="9">
        <f t="shared" si="102"/>
        <v>0</v>
      </c>
      <c r="AD39" s="9">
        <f t="shared" si="103"/>
        <v>0</v>
      </c>
      <c r="AE39" s="40" t="e">
        <f t="shared" ca="1" si="104"/>
        <v>#NUM!</v>
      </c>
      <c r="AF39" s="40" t="e">
        <f t="shared" ca="1" si="105"/>
        <v>#NUM!</v>
      </c>
      <c r="AG39" s="40" t="e">
        <f t="shared" ca="1" si="106"/>
        <v>#NUM!</v>
      </c>
      <c r="AH39" s="40" t="e">
        <f t="shared" ca="1" si="107"/>
        <v>#NUM!</v>
      </c>
      <c r="AI39" s="40" t="e">
        <f t="shared" ca="1" si="108"/>
        <v>#NUM!</v>
      </c>
      <c r="AJ39" s="40" t="e">
        <f t="shared" ca="1" si="109"/>
        <v>#NUM!</v>
      </c>
      <c r="AK39" s="203" t="e">
        <f t="shared" ca="1" si="110"/>
        <v>#NUM!</v>
      </c>
      <c r="AL39" s="40" t="e">
        <f t="shared" ca="1" si="111"/>
        <v>#NUM!</v>
      </c>
      <c r="AM39" s="40" t="e">
        <f t="shared" ca="1" si="112"/>
        <v>#NUM!</v>
      </c>
      <c r="AN39" s="40" t="e">
        <f t="shared" ca="1" si="113"/>
        <v>#NUM!</v>
      </c>
      <c r="AO39" s="40" t="e">
        <f t="shared" ca="1" si="114"/>
        <v>#NUM!</v>
      </c>
      <c r="AP39" s="40" t="e">
        <f t="shared" ca="1" si="115"/>
        <v>#NUM!</v>
      </c>
      <c r="AQ39" s="40" t="e">
        <f t="shared" ca="1" si="116"/>
        <v>#NUM!</v>
      </c>
      <c r="AR39" s="40" t="e">
        <f t="shared" ca="1" si="117"/>
        <v>#NUM!</v>
      </c>
      <c r="AS39" s="40" t="e">
        <f t="shared" ca="1" si="118"/>
        <v>#NUM!</v>
      </c>
    </row>
    <row r="40" spans="1:45" x14ac:dyDescent="0.25">
      <c r="A40" s="154"/>
      <c r="B40" s="73">
        <f t="shared" si="94"/>
        <v>-59090.909090909088</v>
      </c>
      <c r="E40" s="148">
        <v>42826</v>
      </c>
      <c r="G40" s="139">
        <v>33</v>
      </c>
      <c r="H40" s="139">
        <v>0</v>
      </c>
      <c r="I40" s="49">
        <f t="shared" si="95"/>
        <v>46522</v>
      </c>
      <c r="J40" s="76">
        <v>1950000</v>
      </c>
      <c r="K40" s="40">
        <f t="shared" si="96"/>
        <v>33</v>
      </c>
      <c r="L40" s="74">
        <f t="shared" si="97"/>
        <v>1950000</v>
      </c>
      <c r="M40" s="76"/>
      <c r="N40" s="76">
        <f t="shared" si="98"/>
        <v>0</v>
      </c>
      <c r="O40" s="142"/>
      <c r="P40" s="142"/>
      <c r="Q40" s="142"/>
      <c r="R40" s="144"/>
      <c r="S40" s="144"/>
      <c r="T40" s="144"/>
      <c r="U40" s="144"/>
      <c r="V40" s="144"/>
      <c r="W40" s="144"/>
      <c r="X40" s="144"/>
      <c r="Y40" s="143"/>
      <c r="Z40" s="143">
        <f t="shared" si="99"/>
        <v>0</v>
      </c>
      <c r="AA40" s="9">
        <f t="shared" si="100"/>
        <v>0.375</v>
      </c>
      <c r="AB40" s="9">
        <f t="shared" si="101"/>
        <v>0</v>
      </c>
      <c r="AC40" s="9">
        <f t="shared" si="102"/>
        <v>0</v>
      </c>
      <c r="AD40" s="9">
        <f t="shared" si="103"/>
        <v>0</v>
      </c>
      <c r="AE40" s="40" t="e">
        <f t="shared" ca="1" si="104"/>
        <v>#NUM!</v>
      </c>
      <c r="AF40" s="40" t="e">
        <f t="shared" ca="1" si="105"/>
        <v>#NUM!</v>
      </c>
      <c r="AG40" s="40" t="e">
        <f t="shared" ca="1" si="106"/>
        <v>#NUM!</v>
      </c>
      <c r="AH40" s="40" t="e">
        <f t="shared" ca="1" si="107"/>
        <v>#NUM!</v>
      </c>
      <c r="AI40" s="40" t="e">
        <f t="shared" ca="1" si="108"/>
        <v>#NUM!</v>
      </c>
      <c r="AJ40" s="40" t="e">
        <f t="shared" ca="1" si="109"/>
        <v>#NUM!</v>
      </c>
      <c r="AK40" s="203" t="e">
        <f t="shared" ca="1" si="110"/>
        <v>#NUM!</v>
      </c>
      <c r="AL40" s="40" t="e">
        <f t="shared" ca="1" si="111"/>
        <v>#NUM!</v>
      </c>
      <c r="AM40" s="40" t="e">
        <f t="shared" ca="1" si="112"/>
        <v>#NUM!</v>
      </c>
      <c r="AN40" s="40" t="e">
        <f t="shared" ca="1" si="113"/>
        <v>#NUM!</v>
      </c>
      <c r="AO40" s="40" t="e">
        <f t="shared" ca="1" si="114"/>
        <v>#NUM!</v>
      </c>
      <c r="AP40" s="40" t="e">
        <f t="shared" ca="1" si="115"/>
        <v>#NUM!</v>
      </c>
      <c r="AQ40" s="40" t="e">
        <f t="shared" ca="1" si="116"/>
        <v>#NUM!</v>
      </c>
      <c r="AR40" s="40" t="e">
        <f t="shared" ca="1" si="117"/>
        <v>#NUM!</v>
      </c>
      <c r="AS40" s="40" t="e">
        <f t="shared" ca="1" si="118"/>
        <v>#NUM!</v>
      </c>
    </row>
    <row r="41" spans="1:45" x14ac:dyDescent="0.25">
      <c r="A41" s="154"/>
      <c r="B41" s="73">
        <f t="shared" si="94"/>
        <v>-59090.909090909088</v>
      </c>
      <c r="E41" s="148">
        <v>42826</v>
      </c>
      <c r="G41" s="139">
        <v>33</v>
      </c>
      <c r="H41" s="139">
        <v>0</v>
      </c>
      <c r="I41" s="49">
        <f t="shared" si="95"/>
        <v>46522</v>
      </c>
      <c r="J41" s="76">
        <v>1950000</v>
      </c>
      <c r="K41" s="40">
        <f t="shared" si="96"/>
        <v>33</v>
      </c>
      <c r="L41" s="74">
        <f t="shared" si="97"/>
        <v>1950000</v>
      </c>
      <c r="M41" s="76"/>
      <c r="N41" s="76">
        <f t="shared" si="98"/>
        <v>0</v>
      </c>
      <c r="O41" s="142"/>
      <c r="P41" s="142"/>
      <c r="Q41" s="142"/>
      <c r="R41" s="144"/>
      <c r="S41" s="144"/>
      <c r="T41" s="144"/>
      <c r="U41" s="144"/>
      <c r="V41" s="144"/>
      <c r="W41" s="144"/>
      <c r="X41" s="144"/>
      <c r="Y41" s="143"/>
      <c r="Z41" s="143">
        <f t="shared" si="99"/>
        <v>0</v>
      </c>
      <c r="AA41" s="9">
        <f t="shared" si="100"/>
        <v>0.375</v>
      </c>
      <c r="AB41" s="9">
        <f t="shared" si="101"/>
        <v>0</v>
      </c>
      <c r="AC41" s="9">
        <f t="shared" si="102"/>
        <v>0</v>
      </c>
      <c r="AD41" s="9">
        <f t="shared" si="103"/>
        <v>0</v>
      </c>
      <c r="AE41" s="40" t="e">
        <f t="shared" ca="1" si="104"/>
        <v>#NUM!</v>
      </c>
      <c r="AF41" s="40" t="e">
        <f t="shared" ca="1" si="105"/>
        <v>#NUM!</v>
      </c>
      <c r="AG41" s="40" t="e">
        <f t="shared" ca="1" si="106"/>
        <v>#NUM!</v>
      </c>
      <c r="AH41" s="40" t="e">
        <f t="shared" ca="1" si="107"/>
        <v>#NUM!</v>
      </c>
      <c r="AI41" s="40" t="e">
        <f t="shared" ca="1" si="108"/>
        <v>#NUM!</v>
      </c>
      <c r="AJ41" s="40" t="e">
        <f t="shared" ca="1" si="109"/>
        <v>#NUM!</v>
      </c>
      <c r="AK41" s="203" t="e">
        <f t="shared" ca="1" si="110"/>
        <v>#NUM!</v>
      </c>
      <c r="AL41" s="40" t="e">
        <f t="shared" ca="1" si="111"/>
        <v>#NUM!</v>
      </c>
      <c r="AM41" s="40" t="e">
        <f t="shared" ca="1" si="112"/>
        <v>#NUM!</v>
      </c>
      <c r="AN41" s="40" t="e">
        <f t="shared" ca="1" si="113"/>
        <v>#NUM!</v>
      </c>
      <c r="AO41" s="40" t="e">
        <f t="shared" ca="1" si="114"/>
        <v>#NUM!</v>
      </c>
      <c r="AP41" s="40" t="e">
        <f t="shared" ca="1" si="115"/>
        <v>#NUM!</v>
      </c>
      <c r="AQ41" s="40" t="e">
        <f t="shared" ca="1" si="116"/>
        <v>#NUM!</v>
      </c>
      <c r="AR41" s="40" t="e">
        <f t="shared" ca="1" si="117"/>
        <v>#NUM!</v>
      </c>
      <c r="AS41" s="40" t="e">
        <f t="shared" ca="1" si="118"/>
        <v>#NUM!</v>
      </c>
    </row>
    <row r="42" spans="1:45" x14ac:dyDescent="0.25">
      <c r="A42" s="154"/>
      <c r="B42" s="73">
        <f t="shared" si="94"/>
        <v>-59090.909090909088</v>
      </c>
      <c r="E42" s="148">
        <v>42826</v>
      </c>
      <c r="G42" s="139">
        <v>33</v>
      </c>
      <c r="H42" s="139">
        <v>0</v>
      </c>
      <c r="I42" s="49">
        <f t="shared" si="95"/>
        <v>46522</v>
      </c>
      <c r="J42" s="76">
        <v>1950000</v>
      </c>
      <c r="K42" s="40">
        <f t="shared" si="96"/>
        <v>33</v>
      </c>
      <c r="L42" s="74">
        <f t="shared" si="97"/>
        <v>1950000</v>
      </c>
      <c r="M42" s="76"/>
      <c r="N42" s="76">
        <f t="shared" si="98"/>
        <v>0</v>
      </c>
      <c r="O42" s="142"/>
      <c r="P42" s="142"/>
      <c r="Q42" s="142"/>
      <c r="R42" s="144"/>
      <c r="S42" s="144"/>
      <c r="T42" s="144"/>
      <c r="U42" s="144"/>
      <c r="V42" s="144"/>
      <c r="W42" s="144"/>
      <c r="X42" s="144"/>
      <c r="Y42" s="143"/>
      <c r="Z42" s="143">
        <f t="shared" si="99"/>
        <v>0</v>
      </c>
      <c r="AA42" s="9">
        <f t="shared" si="100"/>
        <v>0.375</v>
      </c>
      <c r="AB42" s="9">
        <f t="shared" si="101"/>
        <v>0</v>
      </c>
      <c r="AC42" s="9">
        <f t="shared" si="102"/>
        <v>0</v>
      </c>
      <c r="AD42" s="9">
        <f t="shared" si="103"/>
        <v>0</v>
      </c>
      <c r="AE42" s="40" t="e">
        <f t="shared" ca="1" si="104"/>
        <v>#NUM!</v>
      </c>
      <c r="AF42" s="40" t="e">
        <f t="shared" ca="1" si="105"/>
        <v>#NUM!</v>
      </c>
      <c r="AG42" s="40" t="e">
        <f t="shared" ca="1" si="106"/>
        <v>#NUM!</v>
      </c>
      <c r="AH42" s="40" t="e">
        <f t="shared" ca="1" si="107"/>
        <v>#NUM!</v>
      </c>
      <c r="AI42" s="40" t="e">
        <f t="shared" ca="1" si="108"/>
        <v>#NUM!</v>
      </c>
      <c r="AJ42" s="40" t="e">
        <f t="shared" ca="1" si="109"/>
        <v>#NUM!</v>
      </c>
      <c r="AK42" s="203" t="e">
        <f t="shared" ca="1" si="110"/>
        <v>#NUM!</v>
      </c>
      <c r="AL42" s="40" t="e">
        <f t="shared" ca="1" si="111"/>
        <v>#NUM!</v>
      </c>
      <c r="AM42" s="40" t="e">
        <f t="shared" ca="1" si="112"/>
        <v>#NUM!</v>
      </c>
      <c r="AN42" s="40" t="e">
        <f t="shared" ca="1" si="113"/>
        <v>#NUM!</v>
      </c>
      <c r="AO42" s="40" t="e">
        <f t="shared" ca="1" si="114"/>
        <v>#NUM!</v>
      </c>
      <c r="AP42" s="40" t="e">
        <f t="shared" ca="1" si="115"/>
        <v>#NUM!</v>
      </c>
      <c r="AQ42" s="40" t="e">
        <f t="shared" ca="1" si="116"/>
        <v>#NUM!</v>
      </c>
      <c r="AR42" s="40" t="e">
        <f t="shared" ca="1" si="117"/>
        <v>#NUM!</v>
      </c>
      <c r="AS42" s="40" t="e">
        <f t="shared" ca="1" si="118"/>
        <v>#NUM!</v>
      </c>
    </row>
    <row r="43" spans="1:45" x14ac:dyDescent="0.25">
      <c r="A43" s="154"/>
      <c r="B43" s="73">
        <f t="shared" si="94"/>
        <v>-59090.909090909088</v>
      </c>
      <c r="E43" s="148">
        <v>42826</v>
      </c>
      <c r="G43" s="139">
        <v>33</v>
      </c>
      <c r="H43" s="139">
        <v>0</v>
      </c>
      <c r="I43" s="49">
        <f t="shared" si="95"/>
        <v>46522</v>
      </c>
      <c r="J43" s="76">
        <v>1950000</v>
      </c>
      <c r="K43" s="40">
        <f t="shared" si="96"/>
        <v>33</v>
      </c>
      <c r="L43" s="74">
        <f t="shared" si="97"/>
        <v>1950000</v>
      </c>
      <c r="M43" s="76"/>
      <c r="N43" s="76">
        <f t="shared" si="98"/>
        <v>0</v>
      </c>
      <c r="O43" s="142"/>
      <c r="P43" s="142"/>
      <c r="Q43" s="142"/>
      <c r="R43" s="144"/>
      <c r="S43" s="144"/>
      <c r="T43" s="144"/>
      <c r="U43" s="144"/>
      <c r="V43" s="144"/>
      <c r="W43" s="144"/>
      <c r="X43" s="144"/>
      <c r="Y43" s="143"/>
      <c r="Z43" s="143">
        <f t="shared" si="99"/>
        <v>0</v>
      </c>
      <c r="AA43" s="9">
        <f t="shared" si="100"/>
        <v>0.375</v>
      </c>
      <c r="AB43" s="9">
        <f t="shared" si="101"/>
        <v>0</v>
      </c>
      <c r="AC43" s="9">
        <f t="shared" si="102"/>
        <v>0</v>
      </c>
      <c r="AD43" s="9">
        <f t="shared" si="103"/>
        <v>0</v>
      </c>
      <c r="AE43" s="40" t="e">
        <f t="shared" ca="1" si="104"/>
        <v>#NUM!</v>
      </c>
      <c r="AF43" s="40" t="e">
        <f t="shared" ca="1" si="105"/>
        <v>#NUM!</v>
      </c>
      <c r="AG43" s="40" t="e">
        <f t="shared" ca="1" si="106"/>
        <v>#NUM!</v>
      </c>
      <c r="AH43" s="40" t="e">
        <f t="shared" ca="1" si="107"/>
        <v>#NUM!</v>
      </c>
      <c r="AI43" s="40" t="e">
        <f t="shared" ca="1" si="108"/>
        <v>#NUM!</v>
      </c>
      <c r="AJ43" s="40" t="e">
        <f t="shared" ca="1" si="109"/>
        <v>#NUM!</v>
      </c>
      <c r="AK43" s="203" t="e">
        <f t="shared" ca="1" si="110"/>
        <v>#NUM!</v>
      </c>
      <c r="AL43" s="40" t="e">
        <f t="shared" ca="1" si="111"/>
        <v>#NUM!</v>
      </c>
      <c r="AM43" s="40" t="e">
        <f t="shared" ca="1" si="112"/>
        <v>#NUM!</v>
      </c>
      <c r="AN43" s="40" t="e">
        <f t="shared" ca="1" si="113"/>
        <v>#NUM!</v>
      </c>
      <c r="AO43" s="40" t="e">
        <f t="shared" ca="1" si="114"/>
        <v>#NUM!</v>
      </c>
      <c r="AP43" s="40" t="e">
        <f t="shared" ca="1" si="115"/>
        <v>#NUM!</v>
      </c>
      <c r="AQ43" s="40" t="e">
        <f t="shared" ca="1" si="116"/>
        <v>#NUM!</v>
      </c>
      <c r="AR43" s="40" t="e">
        <f t="shared" ca="1" si="117"/>
        <v>#NUM!</v>
      </c>
      <c r="AS43" s="40" t="e">
        <f t="shared" ca="1" si="118"/>
        <v>#NUM!</v>
      </c>
    </row>
    <row r="44" spans="1:45" x14ac:dyDescent="0.25">
      <c r="A44" s="154"/>
      <c r="B44" s="73">
        <f t="shared" si="94"/>
        <v>-59090.909090909088</v>
      </c>
      <c r="E44" s="148">
        <v>42826</v>
      </c>
      <c r="G44" s="139">
        <v>33</v>
      </c>
      <c r="H44" s="139">
        <v>0</v>
      </c>
      <c r="I44" s="49">
        <f t="shared" si="95"/>
        <v>46522</v>
      </c>
      <c r="J44" s="76">
        <v>1950000</v>
      </c>
      <c r="K44" s="40">
        <f t="shared" si="96"/>
        <v>33</v>
      </c>
      <c r="L44" s="74">
        <f t="shared" si="97"/>
        <v>1950000</v>
      </c>
      <c r="M44" s="76"/>
      <c r="N44" s="76">
        <f t="shared" si="98"/>
        <v>0</v>
      </c>
      <c r="O44" s="142"/>
      <c r="P44" s="142"/>
      <c r="Q44" s="142"/>
      <c r="R44" s="144"/>
      <c r="S44" s="144"/>
      <c r="T44" s="144"/>
      <c r="U44" s="144"/>
      <c r="V44" s="144"/>
      <c r="W44" s="144"/>
      <c r="X44" s="144"/>
      <c r="Y44" s="143"/>
      <c r="Z44" s="143">
        <f t="shared" si="99"/>
        <v>0</v>
      </c>
      <c r="AA44" s="9">
        <f t="shared" si="100"/>
        <v>0.375</v>
      </c>
      <c r="AB44" s="9">
        <f t="shared" si="101"/>
        <v>0</v>
      </c>
      <c r="AC44" s="9">
        <f t="shared" si="102"/>
        <v>0</v>
      </c>
      <c r="AD44" s="9">
        <f t="shared" si="103"/>
        <v>0</v>
      </c>
      <c r="AE44" s="40" t="e">
        <f t="shared" ca="1" si="104"/>
        <v>#NUM!</v>
      </c>
      <c r="AF44" s="40" t="e">
        <f t="shared" ca="1" si="105"/>
        <v>#NUM!</v>
      </c>
      <c r="AG44" s="40" t="e">
        <f t="shared" ca="1" si="106"/>
        <v>#NUM!</v>
      </c>
      <c r="AH44" s="40" t="e">
        <f t="shared" ca="1" si="107"/>
        <v>#NUM!</v>
      </c>
      <c r="AI44" s="40" t="e">
        <f t="shared" ca="1" si="108"/>
        <v>#NUM!</v>
      </c>
      <c r="AJ44" s="40" t="e">
        <f t="shared" ca="1" si="109"/>
        <v>#NUM!</v>
      </c>
      <c r="AK44" s="203" t="e">
        <f t="shared" ca="1" si="110"/>
        <v>#NUM!</v>
      </c>
      <c r="AL44" s="40" t="e">
        <f t="shared" ca="1" si="111"/>
        <v>#NUM!</v>
      </c>
      <c r="AM44" s="40" t="e">
        <f t="shared" ca="1" si="112"/>
        <v>#NUM!</v>
      </c>
      <c r="AN44" s="40" t="e">
        <f t="shared" ca="1" si="113"/>
        <v>#NUM!</v>
      </c>
      <c r="AO44" s="40" t="e">
        <f t="shared" ca="1" si="114"/>
        <v>#NUM!</v>
      </c>
      <c r="AP44" s="40" t="e">
        <f t="shared" ca="1" si="115"/>
        <v>#NUM!</v>
      </c>
      <c r="AQ44" s="40" t="e">
        <f t="shared" ca="1" si="116"/>
        <v>#NUM!</v>
      </c>
      <c r="AR44" s="40" t="e">
        <f t="shared" ca="1" si="117"/>
        <v>#NUM!</v>
      </c>
      <c r="AS44" s="40" t="e">
        <f t="shared" ca="1" si="118"/>
        <v>#NUM!</v>
      </c>
    </row>
    <row r="45" spans="1:45" x14ac:dyDescent="0.25">
      <c r="A45" s="154"/>
      <c r="B45" s="73">
        <f t="shared" si="94"/>
        <v>-59090.909090909088</v>
      </c>
      <c r="E45" s="148">
        <v>42826</v>
      </c>
      <c r="G45" s="139">
        <v>33</v>
      </c>
      <c r="H45" s="139">
        <v>0</v>
      </c>
      <c r="I45" s="49">
        <f t="shared" si="95"/>
        <v>46522</v>
      </c>
      <c r="J45" s="76">
        <v>1950000</v>
      </c>
      <c r="K45" s="40">
        <f t="shared" si="96"/>
        <v>33</v>
      </c>
      <c r="L45" s="74">
        <f t="shared" si="97"/>
        <v>1950000</v>
      </c>
      <c r="M45" s="76"/>
      <c r="N45" s="76">
        <f t="shared" si="98"/>
        <v>0</v>
      </c>
      <c r="O45" s="142"/>
      <c r="P45" s="142"/>
      <c r="Q45" s="142"/>
      <c r="R45" s="144"/>
      <c r="S45" s="144"/>
      <c r="T45" s="144"/>
      <c r="U45" s="144"/>
      <c r="V45" s="144"/>
      <c r="W45" s="144"/>
      <c r="X45" s="144"/>
      <c r="Y45" s="143"/>
      <c r="Z45" s="143">
        <f t="shared" si="99"/>
        <v>0</v>
      </c>
      <c r="AA45" s="9">
        <f t="shared" si="100"/>
        <v>0.375</v>
      </c>
      <c r="AB45" s="9">
        <f t="shared" si="101"/>
        <v>0</v>
      </c>
      <c r="AC45" s="9">
        <f t="shared" si="102"/>
        <v>0</v>
      </c>
      <c r="AD45" s="9">
        <f t="shared" si="103"/>
        <v>0</v>
      </c>
      <c r="AE45" s="40" t="e">
        <f t="shared" ca="1" si="104"/>
        <v>#NUM!</v>
      </c>
      <c r="AF45" s="40" t="e">
        <f t="shared" ca="1" si="105"/>
        <v>#NUM!</v>
      </c>
      <c r="AG45" s="40" t="e">
        <f t="shared" ca="1" si="106"/>
        <v>#NUM!</v>
      </c>
      <c r="AH45" s="40" t="e">
        <f t="shared" ca="1" si="107"/>
        <v>#NUM!</v>
      </c>
      <c r="AI45" s="40" t="e">
        <f t="shared" ca="1" si="108"/>
        <v>#NUM!</v>
      </c>
      <c r="AJ45" s="40" t="e">
        <f t="shared" ca="1" si="109"/>
        <v>#NUM!</v>
      </c>
      <c r="AK45" s="203" t="e">
        <f t="shared" ca="1" si="110"/>
        <v>#NUM!</v>
      </c>
      <c r="AL45" s="40" t="e">
        <f t="shared" ca="1" si="111"/>
        <v>#NUM!</v>
      </c>
      <c r="AM45" s="40" t="e">
        <f t="shared" ca="1" si="112"/>
        <v>#NUM!</v>
      </c>
      <c r="AN45" s="40" t="e">
        <f t="shared" ca="1" si="113"/>
        <v>#NUM!</v>
      </c>
      <c r="AO45" s="40" t="e">
        <f t="shared" ca="1" si="114"/>
        <v>#NUM!</v>
      </c>
      <c r="AP45" s="40" t="e">
        <f t="shared" ca="1" si="115"/>
        <v>#NUM!</v>
      </c>
      <c r="AQ45" s="40" t="e">
        <f t="shared" ca="1" si="116"/>
        <v>#NUM!</v>
      </c>
      <c r="AR45" s="40" t="e">
        <f t="shared" ca="1" si="117"/>
        <v>#NUM!</v>
      </c>
      <c r="AS45" s="40" t="e">
        <f t="shared" ca="1" si="118"/>
        <v>#NUM!</v>
      </c>
    </row>
    <row r="46" spans="1:45" x14ac:dyDescent="0.25">
      <c r="A46" s="154"/>
      <c r="B46" s="73">
        <f t="shared" si="94"/>
        <v>-59090.909090909088</v>
      </c>
      <c r="E46" s="148">
        <v>42826</v>
      </c>
      <c r="G46" s="139">
        <v>33</v>
      </c>
      <c r="H46" s="139">
        <v>0</v>
      </c>
      <c r="I46" s="49">
        <f t="shared" si="95"/>
        <v>46522</v>
      </c>
      <c r="J46" s="76">
        <v>1950000</v>
      </c>
      <c r="K46" s="40">
        <f t="shared" si="96"/>
        <v>33</v>
      </c>
      <c r="L46" s="74">
        <f t="shared" si="97"/>
        <v>1950000</v>
      </c>
      <c r="M46" s="76"/>
      <c r="N46" s="76">
        <f t="shared" si="98"/>
        <v>0</v>
      </c>
      <c r="O46" s="142"/>
      <c r="P46" s="142"/>
      <c r="Q46" s="142"/>
      <c r="R46" s="144"/>
      <c r="S46" s="144"/>
      <c r="T46" s="144"/>
      <c r="U46" s="144"/>
      <c r="V46" s="144"/>
      <c r="W46" s="144"/>
      <c r="X46" s="144"/>
      <c r="Y46" s="143"/>
      <c r="Z46" s="143">
        <f t="shared" si="99"/>
        <v>0</v>
      </c>
      <c r="AA46" s="9">
        <f t="shared" si="100"/>
        <v>0.375</v>
      </c>
      <c r="AB46" s="9">
        <f t="shared" si="101"/>
        <v>0</v>
      </c>
      <c r="AC46" s="9">
        <f t="shared" si="102"/>
        <v>0</v>
      </c>
      <c r="AD46" s="9">
        <f t="shared" si="103"/>
        <v>0</v>
      </c>
      <c r="AE46" s="40" t="e">
        <f t="shared" ca="1" si="104"/>
        <v>#NUM!</v>
      </c>
      <c r="AF46" s="40" t="e">
        <f t="shared" ca="1" si="105"/>
        <v>#NUM!</v>
      </c>
      <c r="AG46" s="40" t="e">
        <f t="shared" ca="1" si="106"/>
        <v>#NUM!</v>
      </c>
      <c r="AH46" s="40" t="e">
        <f t="shared" ca="1" si="107"/>
        <v>#NUM!</v>
      </c>
      <c r="AI46" s="40" t="e">
        <f t="shared" ca="1" si="108"/>
        <v>#NUM!</v>
      </c>
      <c r="AJ46" s="40" t="e">
        <f t="shared" ca="1" si="109"/>
        <v>#NUM!</v>
      </c>
      <c r="AK46" s="203" t="e">
        <f t="shared" ca="1" si="110"/>
        <v>#NUM!</v>
      </c>
      <c r="AL46" s="40" t="e">
        <f t="shared" ca="1" si="111"/>
        <v>#NUM!</v>
      </c>
      <c r="AM46" s="40" t="e">
        <f t="shared" ca="1" si="112"/>
        <v>#NUM!</v>
      </c>
      <c r="AN46" s="40" t="e">
        <f t="shared" ca="1" si="113"/>
        <v>#NUM!</v>
      </c>
      <c r="AO46" s="40" t="e">
        <f t="shared" ca="1" si="114"/>
        <v>#NUM!</v>
      </c>
      <c r="AP46" s="40" t="e">
        <f t="shared" ca="1" si="115"/>
        <v>#NUM!</v>
      </c>
      <c r="AQ46" s="40" t="e">
        <f t="shared" ca="1" si="116"/>
        <v>#NUM!</v>
      </c>
      <c r="AR46" s="40" t="e">
        <f t="shared" ca="1" si="117"/>
        <v>#NUM!</v>
      </c>
      <c r="AS46" s="40" t="e">
        <f t="shared" ca="1" si="118"/>
        <v>#NUM!</v>
      </c>
    </row>
    <row r="47" spans="1:45" x14ac:dyDescent="0.25">
      <c r="A47" s="154"/>
      <c r="B47" s="73">
        <f t="shared" si="94"/>
        <v>-59090.909090909088</v>
      </c>
      <c r="E47" s="148">
        <v>42826</v>
      </c>
      <c r="G47" s="139">
        <v>33</v>
      </c>
      <c r="H47" s="139">
        <v>0</v>
      </c>
      <c r="I47" s="49">
        <f t="shared" si="95"/>
        <v>46522</v>
      </c>
      <c r="J47" s="76">
        <v>1950000</v>
      </c>
      <c r="K47" s="40">
        <f t="shared" si="96"/>
        <v>33</v>
      </c>
      <c r="L47" s="74">
        <f t="shared" si="97"/>
        <v>1950000</v>
      </c>
      <c r="M47" s="76"/>
      <c r="N47" s="76">
        <f t="shared" si="98"/>
        <v>0</v>
      </c>
      <c r="O47" s="142"/>
      <c r="P47" s="142"/>
      <c r="Q47" s="142"/>
      <c r="R47" s="144"/>
      <c r="S47" s="144"/>
      <c r="T47" s="144"/>
      <c r="U47" s="144"/>
      <c r="V47" s="144"/>
      <c r="W47" s="144"/>
      <c r="X47" s="144"/>
      <c r="Y47" s="143"/>
      <c r="Z47" s="143">
        <f t="shared" si="99"/>
        <v>0</v>
      </c>
      <c r="AA47" s="9">
        <f t="shared" si="100"/>
        <v>0.375</v>
      </c>
      <c r="AB47" s="9">
        <f t="shared" si="101"/>
        <v>0</v>
      </c>
      <c r="AC47" s="9">
        <f t="shared" si="102"/>
        <v>0</v>
      </c>
      <c r="AD47" s="9">
        <f t="shared" si="103"/>
        <v>0</v>
      </c>
      <c r="AE47" s="40" t="e">
        <f t="shared" ca="1" si="104"/>
        <v>#NUM!</v>
      </c>
      <c r="AF47" s="40" t="e">
        <f t="shared" ca="1" si="105"/>
        <v>#NUM!</v>
      </c>
      <c r="AG47" s="40" t="e">
        <f t="shared" ca="1" si="106"/>
        <v>#NUM!</v>
      </c>
      <c r="AH47" s="40" t="e">
        <f t="shared" ca="1" si="107"/>
        <v>#NUM!</v>
      </c>
      <c r="AI47" s="40" t="e">
        <f t="shared" ca="1" si="108"/>
        <v>#NUM!</v>
      </c>
      <c r="AJ47" s="40" t="e">
        <f t="shared" ca="1" si="109"/>
        <v>#NUM!</v>
      </c>
      <c r="AK47" s="203" t="e">
        <f t="shared" ca="1" si="110"/>
        <v>#NUM!</v>
      </c>
      <c r="AL47" s="40" t="e">
        <f t="shared" ca="1" si="111"/>
        <v>#NUM!</v>
      </c>
      <c r="AM47" s="40" t="e">
        <f t="shared" ca="1" si="112"/>
        <v>#NUM!</v>
      </c>
      <c r="AN47" s="40" t="e">
        <f t="shared" ca="1" si="113"/>
        <v>#NUM!</v>
      </c>
      <c r="AO47" s="40" t="e">
        <f t="shared" ca="1" si="114"/>
        <v>#NUM!</v>
      </c>
      <c r="AP47" s="40" t="e">
        <f t="shared" ca="1" si="115"/>
        <v>#NUM!</v>
      </c>
      <c r="AQ47" s="40" t="e">
        <f t="shared" ca="1" si="116"/>
        <v>#NUM!</v>
      </c>
      <c r="AR47" s="40" t="e">
        <f t="shared" ca="1" si="117"/>
        <v>#NUM!</v>
      </c>
      <c r="AS47" s="40" t="e">
        <f t="shared" ca="1" si="118"/>
        <v>#NUM!</v>
      </c>
    </row>
    <row r="48" spans="1:45" x14ac:dyDescent="0.25">
      <c r="A48" s="154"/>
      <c r="B48" s="73">
        <f t="shared" si="94"/>
        <v>-59090.909090909088</v>
      </c>
      <c r="E48" s="148">
        <v>42826</v>
      </c>
      <c r="G48" s="139">
        <v>33</v>
      </c>
      <c r="H48" s="139">
        <v>0</v>
      </c>
      <c r="I48" s="49">
        <f t="shared" si="95"/>
        <v>46522</v>
      </c>
      <c r="J48" s="76">
        <v>1950000</v>
      </c>
      <c r="K48" s="40">
        <f t="shared" si="96"/>
        <v>33</v>
      </c>
      <c r="L48" s="74">
        <f t="shared" si="97"/>
        <v>1950000</v>
      </c>
      <c r="M48" s="76"/>
      <c r="N48" s="76">
        <f t="shared" si="98"/>
        <v>0</v>
      </c>
      <c r="O48" s="142"/>
      <c r="P48" s="142"/>
      <c r="Q48" s="142"/>
      <c r="R48" s="144"/>
      <c r="S48" s="144"/>
      <c r="T48" s="144"/>
      <c r="U48" s="144"/>
      <c r="V48" s="144"/>
      <c r="W48" s="144"/>
      <c r="X48" s="144"/>
      <c r="Y48" s="143"/>
      <c r="Z48" s="143">
        <f t="shared" si="99"/>
        <v>0</v>
      </c>
      <c r="AA48" s="9">
        <f t="shared" si="100"/>
        <v>0.375</v>
      </c>
      <c r="AB48" s="9">
        <f t="shared" si="101"/>
        <v>0</v>
      </c>
      <c r="AC48" s="9">
        <f t="shared" si="102"/>
        <v>0</v>
      </c>
      <c r="AD48" s="9">
        <f t="shared" si="103"/>
        <v>0</v>
      </c>
      <c r="AE48" s="40" t="e">
        <f t="shared" ca="1" si="104"/>
        <v>#NUM!</v>
      </c>
      <c r="AF48" s="40" t="e">
        <f t="shared" ca="1" si="105"/>
        <v>#NUM!</v>
      </c>
      <c r="AG48" s="40" t="e">
        <f t="shared" ca="1" si="106"/>
        <v>#NUM!</v>
      </c>
      <c r="AH48" s="40" t="e">
        <f t="shared" ca="1" si="107"/>
        <v>#NUM!</v>
      </c>
      <c r="AI48" s="40" t="e">
        <f t="shared" ca="1" si="108"/>
        <v>#NUM!</v>
      </c>
      <c r="AJ48" s="40" t="e">
        <f t="shared" ca="1" si="109"/>
        <v>#NUM!</v>
      </c>
      <c r="AK48" s="203" t="e">
        <f t="shared" ca="1" si="110"/>
        <v>#NUM!</v>
      </c>
      <c r="AL48" s="40" t="e">
        <f t="shared" ca="1" si="111"/>
        <v>#NUM!</v>
      </c>
      <c r="AM48" s="40" t="e">
        <f t="shared" ca="1" si="112"/>
        <v>#NUM!</v>
      </c>
      <c r="AN48" s="40" t="e">
        <f t="shared" ca="1" si="113"/>
        <v>#NUM!</v>
      </c>
      <c r="AO48" s="40" t="e">
        <f t="shared" ca="1" si="114"/>
        <v>#NUM!</v>
      </c>
      <c r="AP48" s="40" t="e">
        <f t="shared" ca="1" si="115"/>
        <v>#NUM!</v>
      </c>
      <c r="AQ48" s="40" t="e">
        <f t="shared" ca="1" si="116"/>
        <v>#NUM!</v>
      </c>
      <c r="AR48" s="40" t="e">
        <f t="shared" ca="1" si="117"/>
        <v>#NUM!</v>
      </c>
      <c r="AS48" s="40" t="e">
        <f t="shared" ca="1" si="118"/>
        <v>#NUM!</v>
      </c>
    </row>
    <row r="49" spans="1:45" x14ac:dyDescent="0.25">
      <c r="A49" s="154"/>
      <c r="B49" s="73">
        <f t="shared" si="94"/>
        <v>-59090.909090909088</v>
      </c>
      <c r="E49" s="148">
        <v>42826</v>
      </c>
      <c r="G49" s="139">
        <v>33</v>
      </c>
      <c r="H49" s="139">
        <v>0</v>
      </c>
      <c r="I49" s="49">
        <f t="shared" si="95"/>
        <v>46522</v>
      </c>
      <c r="J49" s="76">
        <v>1950000</v>
      </c>
      <c r="K49" s="40">
        <f t="shared" si="96"/>
        <v>33</v>
      </c>
      <c r="L49" s="74">
        <f t="shared" si="97"/>
        <v>1950000</v>
      </c>
      <c r="M49" s="76"/>
      <c r="N49" s="76">
        <f t="shared" si="98"/>
        <v>0</v>
      </c>
      <c r="O49" s="142"/>
      <c r="P49" s="142"/>
      <c r="Q49" s="142"/>
      <c r="R49" s="144"/>
      <c r="S49" s="144"/>
      <c r="T49" s="144"/>
      <c r="U49" s="144"/>
      <c r="V49" s="144"/>
      <c r="W49" s="144"/>
      <c r="X49" s="144"/>
      <c r="Y49" s="143"/>
      <c r="Z49" s="143">
        <f t="shared" si="99"/>
        <v>0</v>
      </c>
      <c r="AA49" s="9">
        <f t="shared" si="100"/>
        <v>0.375</v>
      </c>
      <c r="AB49" s="9">
        <f t="shared" si="101"/>
        <v>0</v>
      </c>
      <c r="AC49" s="9">
        <f t="shared" si="102"/>
        <v>0</v>
      </c>
      <c r="AD49" s="9">
        <f t="shared" si="103"/>
        <v>0</v>
      </c>
      <c r="AE49" s="40" t="e">
        <f t="shared" ca="1" si="104"/>
        <v>#NUM!</v>
      </c>
      <c r="AF49" s="40" t="e">
        <f t="shared" ca="1" si="105"/>
        <v>#NUM!</v>
      </c>
      <c r="AG49" s="40" t="e">
        <f t="shared" ca="1" si="106"/>
        <v>#NUM!</v>
      </c>
      <c r="AH49" s="40" t="e">
        <f t="shared" ca="1" si="107"/>
        <v>#NUM!</v>
      </c>
      <c r="AI49" s="40" t="e">
        <f t="shared" ca="1" si="108"/>
        <v>#NUM!</v>
      </c>
      <c r="AJ49" s="40" t="e">
        <f t="shared" ca="1" si="109"/>
        <v>#NUM!</v>
      </c>
      <c r="AK49" s="203" t="e">
        <f t="shared" ca="1" si="110"/>
        <v>#NUM!</v>
      </c>
      <c r="AL49" s="40" t="e">
        <f t="shared" ca="1" si="111"/>
        <v>#NUM!</v>
      </c>
      <c r="AM49" s="40" t="e">
        <f t="shared" ca="1" si="112"/>
        <v>#NUM!</v>
      </c>
      <c r="AN49" s="40" t="e">
        <f t="shared" ca="1" si="113"/>
        <v>#NUM!</v>
      </c>
      <c r="AO49" s="40" t="e">
        <f t="shared" ca="1" si="114"/>
        <v>#NUM!</v>
      </c>
      <c r="AP49" s="40" t="e">
        <f t="shared" ca="1" si="115"/>
        <v>#NUM!</v>
      </c>
      <c r="AQ49" s="40" t="e">
        <f t="shared" ca="1" si="116"/>
        <v>#NUM!</v>
      </c>
      <c r="AR49" s="40" t="e">
        <f t="shared" ca="1" si="117"/>
        <v>#NUM!</v>
      </c>
      <c r="AS49" s="40" t="e">
        <f t="shared" ca="1" si="118"/>
        <v>#NUM!</v>
      </c>
    </row>
    <row r="50" spans="1:45" x14ac:dyDescent="0.25">
      <c r="A50" s="154"/>
      <c r="B50" s="73">
        <f t="shared" si="94"/>
        <v>-59090.909090909088</v>
      </c>
      <c r="E50" s="148">
        <v>42826</v>
      </c>
      <c r="G50" s="139">
        <v>33</v>
      </c>
      <c r="H50" s="139">
        <v>0</v>
      </c>
      <c r="I50" s="49">
        <f t="shared" si="95"/>
        <v>46522</v>
      </c>
      <c r="J50" s="76">
        <v>1950000</v>
      </c>
      <c r="K50" s="40">
        <f t="shared" si="96"/>
        <v>33</v>
      </c>
      <c r="L50" s="74">
        <f t="shared" si="97"/>
        <v>1950000</v>
      </c>
      <c r="M50" s="76"/>
      <c r="N50" s="76">
        <f t="shared" si="98"/>
        <v>0</v>
      </c>
      <c r="O50" s="142"/>
      <c r="P50" s="142"/>
      <c r="Q50" s="142"/>
      <c r="R50" s="144"/>
      <c r="S50" s="144"/>
      <c r="T50" s="144"/>
      <c r="U50" s="144"/>
      <c r="V50" s="144"/>
      <c r="W50" s="144"/>
      <c r="X50" s="144"/>
      <c r="Y50" s="143"/>
      <c r="Z50" s="143">
        <f t="shared" si="99"/>
        <v>0</v>
      </c>
      <c r="AA50" s="9">
        <f t="shared" si="100"/>
        <v>0.375</v>
      </c>
      <c r="AB50" s="9">
        <f t="shared" si="101"/>
        <v>0</v>
      </c>
      <c r="AC50" s="9">
        <f t="shared" si="102"/>
        <v>0</v>
      </c>
      <c r="AD50" s="9">
        <f t="shared" si="103"/>
        <v>0</v>
      </c>
      <c r="AE50" s="40" t="e">
        <f t="shared" ca="1" si="104"/>
        <v>#NUM!</v>
      </c>
      <c r="AF50" s="40" t="e">
        <f t="shared" ca="1" si="105"/>
        <v>#NUM!</v>
      </c>
      <c r="AG50" s="40" t="e">
        <f t="shared" ca="1" si="106"/>
        <v>#NUM!</v>
      </c>
      <c r="AH50" s="40" t="e">
        <f t="shared" ca="1" si="107"/>
        <v>#NUM!</v>
      </c>
      <c r="AI50" s="40" t="e">
        <f t="shared" ca="1" si="108"/>
        <v>#NUM!</v>
      </c>
      <c r="AJ50" s="40" t="e">
        <f t="shared" ca="1" si="109"/>
        <v>#NUM!</v>
      </c>
      <c r="AK50" s="203" t="e">
        <f t="shared" ca="1" si="110"/>
        <v>#NUM!</v>
      </c>
      <c r="AL50" s="40" t="e">
        <f t="shared" ca="1" si="111"/>
        <v>#NUM!</v>
      </c>
      <c r="AM50" s="40" t="e">
        <f t="shared" ca="1" si="112"/>
        <v>#NUM!</v>
      </c>
      <c r="AN50" s="40" t="e">
        <f t="shared" ca="1" si="113"/>
        <v>#NUM!</v>
      </c>
      <c r="AO50" s="40" t="e">
        <f t="shared" ca="1" si="114"/>
        <v>#NUM!</v>
      </c>
      <c r="AP50" s="40" t="e">
        <f t="shared" ca="1" si="115"/>
        <v>#NUM!</v>
      </c>
      <c r="AQ50" s="40" t="e">
        <f t="shared" ca="1" si="116"/>
        <v>#NUM!</v>
      </c>
      <c r="AR50" s="40" t="e">
        <f t="shared" ca="1" si="117"/>
        <v>#NUM!</v>
      </c>
      <c r="AS50" s="40" t="e">
        <f t="shared" ca="1" si="118"/>
        <v>#NUM!</v>
      </c>
    </row>
    <row r="51" spans="1:45" x14ac:dyDescent="0.25">
      <c r="A51" s="154"/>
      <c r="B51" s="73">
        <f t="shared" si="94"/>
        <v>-59090.909090909088</v>
      </c>
      <c r="E51" s="148">
        <v>42826</v>
      </c>
      <c r="G51" s="139">
        <v>33</v>
      </c>
      <c r="H51" s="139">
        <v>0</v>
      </c>
      <c r="I51" s="49">
        <f t="shared" si="95"/>
        <v>46522</v>
      </c>
      <c r="J51" s="76">
        <v>1950000</v>
      </c>
      <c r="K51" s="40">
        <f t="shared" si="96"/>
        <v>33</v>
      </c>
      <c r="L51" s="74">
        <f t="shared" si="97"/>
        <v>1950000</v>
      </c>
      <c r="M51" s="76"/>
      <c r="N51" s="76">
        <f t="shared" si="98"/>
        <v>0</v>
      </c>
      <c r="O51" s="142"/>
      <c r="P51" s="142"/>
      <c r="Q51" s="142"/>
      <c r="R51" s="144"/>
      <c r="S51" s="144"/>
      <c r="T51" s="144"/>
      <c r="U51" s="144"/>
      <c r="V51" s="144"/>
      <c r="W51" s="144"/>
      <c r="X51" s="144"/>
      <c r="Y51" s="143"/>
      <c r="Z51" s="143">
        <f t="shared" si="99"/>
        <v>0</v>
      </c>
      <c r="AA51" s="9">
        <f t="shared" si="100"/>
        <v>0.375</v>
      </c>
      <c r="AB51" s="9">
        <f t="shared" si="101"/>
        <v>0</v>
      </c>
      <c r="AC51" s="9">
        <f t="shared" si="102"/>
        <v>0</v>
      </c>
      <c r="AD51" s="9">
        <f t="shared" si="103"/>
        <v>0</v>
      </c>
      <c r="AE51" s="40" t="e">
        <f t="shared" ca="1" si="104"/>
        <v>#NUM!</v>
      </c>
      <c r="AF51" s="40" t="e">
        <f t="shared" ca="1" si="105"/>
        <v>#NUM!</v>
      </c>
      <c r="AG51" s="40" t="e">
        <f t="shared" ca="1" si="106"/>
        <v>#NUM!</v>
      </c>
      <c r="AH51" s="40" t="e">
        <f t="shared" ca="1" si="107"/>
        <v>#NUM!</v>
      </c>
      <c r="AI51" s="40" t="e">
        <f t="shared" ca="1" si="108"/>
        <v>#NUM!</v>
      </c>
      <c r="AJ51" s="40" t="e">
        <f t="shared" ca="1" si="109"/>
        <v>#NUM!</v>
      </c>
      <c r="AK51" s="203" t="e">
        <f t="shared" ca="1" si="110"/>
        <v>#NUM!</v>
      </c>
      <c r="AL51" s="40" t="e">
        <f t="shared" ca="1" si="111"/>
        <v>#NUM!</v>
      </c>
      <c r="AM51" s="40" t="e">
        <f t="shared" ca="1" si="112"/>
        <v>#NUM!</v>
      </c>
      <c r="AN51" s="40" t="e">
        <f t="shared" ca="1" si="113"/>
        <v>#NUM!</v>
      </c>
      <c r="AO51" s="40" t="e">
        <f t="shared" ca="1" si="114"/>
        <v>#NUM!</v>
      </c>
      <c r="AP51" s="40" t="e">
        <f t="shared" ca="1" si="115"/>
        <v>#NUM!</v>
      </c>
      <c r="AQ51" s="40" t="e">
        <f t="shared" ca="1" si="116"/>
        <v>#NUM!</v>
      </c>
      <c r="AR51" s="40" t="e">
        <f t="shared" ca="1" si="117"/>
        <v>#NUM!</v>
      </c>
      <c r="AS51" s="40" t="e">
        <f t="shared" ca="1" si="118"/>
        <v>#NUM!</v>
      </c>
    </row>
    <row r="52" spans="1:45" x14ac:dyDescent="0.25">
      <c r="A52" s="154"/>
      <c r="B52" s="73">
        <f t="shared" si="94"/>
        <v>-59090.909090909088</v>
      </c>
      <c r="E52" s="148">
        <v>42826</v>
      </c>
      <c r="G52" s="139">
        <v>33</v>
      </c>
      <c r="H52" s="139">
        <v>0</v>
      </c>
      <c r="I52" s="49">
        <f t="shared" si="95"/>
        <v>46522</v>
      </c>
      <c r="J52" s="76">
        <v>1950000</v>
      </c>
      <c r="K52" s="40">
        <f t="shared" si="96"/>
        <v>33</v>
      </c>
      <c r="L52" s="74">
        <f t="shared" si="97"/>
        <v>1950000</v>
      </c>
      <c r="M52" s="76"/>
      <c r="N52" s="76">
        <f t="shared" si="98"/>
        <v>0</v>
      </c>
      <c r="O52" s="142"/>
      <c r="P52" s="142"/>
      <c r="Q52" s="142"/>
      <c r="R52" s="144"/>
      <c r="S52" s="144"/>
      <c r="T52" s="144"/>
      <c r="U52" s="144"/>
      <c r="V52" s="144"/>
      <c r="W52" s="144"/>
      <c r="X52" s="144"/>
      <c r="Y52" s="143"/>
      <c r="Z52" s="143">
        <f t="shared" si="99"/>
        <v>0</v>
      </c>
      <c r="AA52" s="9">
        <f t="shared" si="100"/>
        <v>0.375</v>
      </c>
      <c r="AB52" s="9">
        <f t="shared" si="101"/>
        <v>0</v>
      </c>
      <c r="AC52" s="9">
        <f t="shared" si="102"/>
        <v>0</v>
      </c>
      <c r="AD52" s="9">
        <f t="shared" si="103"/>
        <v>0</v>
      </c>
      <c r="AE52" s="40" t="e">
        <f t="shared" ca="1" si="104"/>
        <v>#NUM!</v>
      </c>
      <c r="AF52" s="40" t="e">
        <f t="shared" ca="1" si="105"/>
        <v>#NUM!</v>
      </c>
      <c r="AG52" s="40" t="e">
        <f t="shared" ca="1" si="106"/>
        <v>#NUM!</v>
      </c>
      <c r="AH52" s="40" t="e">
        <f t="shared" ca="1" si="107"/>
        <v>#NUM!</v>
      </c>
      <c r="AI52" s="40" t="e">
        <f t="shared" ca="1" si="108"/>
        <v>#NUM!</v>
      </c>
      <c r="AJ52" s="40" t="e">
        <f t="shared" ca="1" si="109"/>
        <v>#NUM!</v>
      </c>
      <c r="AK52" s="203" t="e">
        <f t="shared" ca="1" si="110"/>
        <v>#NUM!</v>
      </c>
      <c r="AL52" s="40" t="e">
        <f t="shared" ca="1" si="111"/>
        <v>#NUM!</v>
      </c>
      <c r="AM52" s="40" t="e">
        <f t="shared" ca="1" si="112"/>
        <v>#NUM!</v>
      </c>
      <c r="AN52" s="40" t="e">
        <f t="shared" ca="1" si="113"/>
        <v>#NUM!</v>
      </c>
      <c r="AO52" s="40" t="e">
        <f t="shared" ca="1" si="114"/>
        <v>#NUM!</v>
      </c>
      <c r="AP52" s="40" t="e">
        <f t="shared" ca="1" si="115"/>
        <v>#NUM!</v>
      </c>
      <c r="AQ52" s="40" t="e">
        <f t="shared" ca="1" si="116"/>
        <v>#NUM!</v>
      </c>
      <c r="AR52" s="40" t="e">
        <f t="shared" ca="1" si="117"/>
        <v>#NUM!</v>
      </c>
      <c r="AS52" s="40" t="e">
        <f t="shared" ca="1" si="118"/>
        <v>#NUM!</v>
      </c>
    </row>
    <row r="53" spans="1:45" x14ac:dyDescent="0.25">
      <c r="A53" s="154"/>
      <c r="B53" s="73">
        <f t="shared" si="94"/>
        <v>-59090.909090909088</v>
      </c>
      <c r="E53" s="148">
        <v>42826</v>
      </c>
      <c r="G53" s="139">
        <v>33</v>
      </c>
      <c r="H53" s="139">
        <v>0</v>
      </c>
      <c r="I53" s="49">
        <f t="shared" si="95"/>
        <v>46522</v>
      </c>
      <c r="J53" s="76">
        <v>1950000</v>
      </c>
      <c r="K53" s="40">
        <f t="shared" si="96"/>
        <v>33</v>
      </c>
      <c r="L53" s="74">
        <f t="shared" si="97"/>
        <v>1950000</v>
      </c>
      <c r="M53" s="76"/>
      <c r="N53" s="76">
        <f t="shared" si="98"/>
        <v>0</v>
      </c>
      <c r="O53" s="142"/>
      <c r="P53" s="142"/>
      <c r="Q53" s="142"/>
      <c r="R53" s="144"/>
      <c r="S53" s="144"/>
      <c r="T53" s="144"/>
      <c r="U53" s="144"/>
      <c r="V53" s="144"/>
      <c r="W53" s="144"/>
      <c r="X53" s="144"/>
      <c r="Y53" s="143"/>
      <c r="Z53" s="143">
        <f t="shared" si="99"/>
        <v>0</v>
      </c>
      <c r="AA53" s="9">
        <f t="shared" si="100"/>
        <v>0.375</v>
      </c>
      <c r="AB53" s="9">
        <f t="shared" si="101"/>
        <v>0</v>
      </c>
      <c r="AC53" s="9">
        <f t="shared" si="102"/>
        <v>0</v>
      </c>
      <c r="AD53" s="9">
        <f t="shared" si="103"/>
        <v>0</v>
      </c>
      <c r="AE53" s="40" t="e">
        <f t="shared" ca="1" si="104"/>
        <v>#NUM!</v>
      </c>
      <c r="AF53" s="40" t="e">
        <f t="shared" ca="1" si="105"/>
        <v>#NUM!</v>
      </c>
      <c r="AG53" s="40" t="e">
        <f t="shared" ca="1" si="106"/>
        <v>#NUM!</v>
      </c>
      <c r="AH53" s="40" t="e">
        <f t="shared" ca="1" si="107"/>
        <v>#NUM!</v>
      </c>
      <c r="AI53" s="40" t="e">
        <f t="shared" ca="1" si="108"/>
        <v>#NUM!</v>
      </c>
      <c r="AJ53" s="40" t="e">
        <f t="shared" ca="1" si="109"/>
        <v>#NUM!</v>
      </c>
      <c r="AK53" s="203" t="e">
        <f t="shared" ca="1" si="110"/>
        <v>#NUM!</v>
      </c>
      <c r="AL53" s="40" t="e">
        <f t="shared" ca="1" si="111"/>
        <v>#NUM!</v>
      </c>
      <c r="AM53" s="40" t="e">
        <f t="shared" ca="1" si="112"/>
        <v>#NUM!</v>
      </c>
      <c r="AN53" s="40" t="e">
        <f t="shared" ca="1" si="113"/>
        <v>#NUM!</v>
      </c>
      <c r="AO53" s="40" t="e">
        <f t="shared" ca="1" si="114"/>
        <v>#NUM!</v>
      </c>
      <c r="AP53" s="40" t="e">
        <f t="shared" ca="1" si="115"/>
        <v>#NUM!</v>
      </c>
      <c r="AQ53" s="40" t="e">
        <f t="shared" ca="1" si="116"/>
        <v>#NUM!</v>
      </c>
      <c r="AR53" s="40" t="e">
        <f t="shared" ca="1" si="117"/>
        <v>#NUM!</v>
      </c>
      <c r="AS53" s="40" t="e">
        <f t="shared" ca="1" si="118"/>
        <v>#NUM!</v>
      </c>
    </row>
    <row r="54" spans="1:45" x14ac:dyDescent="0.25">
      <c r="A54" s="154"/>
      <c r="B54" s="73">
        <f t="shared" si="94"/>
        <v>-59090.909090909088</v>
      </c>
      <c r="E54" s="148">
        <v>42826</v>
      </c>
      <c r="G54" s="139">
        <v>33</v>
      </c>
      <c r="H54" s="139">
        <v>0</v>
      </c>
      <c r="I54" s="49">
        <f t="shared" si="95"/>
        <v>46522</v>
      </c>
      <c r="J54" s="76">
        <v>1950000</v>
      </c>
      <c r="K54" s="40">
        <f t="shared" si="96"/>
        <v>33</v>
      </c>
      <c r="L54" s="74">
        <f t="shared" si="97"/>
        <v>1950000</v>
      </c>
      <c r="M54" s="76"/>
      <c r="N54" s="76">
        <f t="shared" si="98"/>
        <v>0</v>
      </c>
      <c r="O54" s="142"/>
      <c r="P54" s="142"/>
      <c r="Q54" s="142"/>
      <c r="R54" s="144"/>
      <c r="S54" s="144"/>
      <c r="T54" s="144"/>
      <c r="U54" s="144"/>
      <c r="V54" s="144"/>
      <c r="W54" s="144"/>
      <c r="X54" s="144"/>
      <c r="Y54" s="143"/>
      <c r="Z54" s="143">
        <f t="shared" si="99"/>
        <v>0</v>
      </c>
      <c r="AA54" s="9">
        <f t="shared" si="100"/>
        <v>0.375</v>
      </c>
      <c r="AB54" s="9">
        <f t="shared" si="101"/>
        <v>0</v>
      </c>
      <c r="AC54" s="9">
        <f t="shared" si="102"/>
        <v>0</v>
      </c>
      <c r="AD54" s="9">
        <f t="shared" si="103"/>
        <v>0</v>
      </c>
      <c r="AE54" s="40" t="e">
        <f t="shared" ca="1" si="104"/>
        <v>#NUM!</v>
      </c>
      <c r="AF54" s="40" t="e">
        <f t="shared" ca="1" si="105"/>
        <v>#NUM!</v>
      </c>
      <c r="AG54" s="40" t="e">
        <f t="shared" ca="1" si="106"/>
        <v>#NUM!</v>
      </c>
      <c r="AH54" s="40" t="e">
        <f t="shared" ca="1" si="107"/>
        <v>#NUM!</v>
      </c>
      <c r="AI54" s="40" t="e">
        <f t="shared" ca="1" si="108"/>
        <v>#NUM!</v>
      </c>
      <c r="AJ54" s="40" t="e">
        <f t="shared" ca="1" si="109"/>
        <v>#NUM!</v>
      </c>
      <c r="AK54" s="203" t="e">
        <f t="shared" ca="1" si="110"/>
        <v>#NUM!</v>
      </c>
      <c r="AL54" s="40" t="e">
        <f t="shared" ca="1" si="111"/>
        <v>#NUM!</v>
      </c>
      <c r="AM54" s="40" t="e">
        <f t="shared" ca="1" si="112"/>
        <v>#NUM!</v>
      </c>
      <c r="AN54" s="40" t="e">
        <f t="shared" ca="1" si="113"/>
        <v>#NUM!</v>
      </c>
      <c r="AO54" s="40" t="e">
        <f t="shared" ca="1" si="114"/>
        <v>#NUM!</v>
      </c>
      <c r="AP54" s="40" t="e">
        <f t="shared" ca="1" si="115"/>
        <v>#NUM!</v>
      </c>
      <c r="AQ54" s="40" t="e">
        <f t="shared" ca="1" si="116"/>
        <v>#NUM!</v>
      </c>
      <c r="AR54" s="40" t="e">
        <f t="shared" ca="1" si="117"/>
        <v>#NUM!</v>
      </c>
      <c r="AS54" s="40" t="e">
        <f t="shared" ca="1" si="118"/>
        <v>#NUM!</v>
      </c>
    </row>
    <row r="55" spans="1:45" x14ac:dyDescent="0.25">
      <c r="A55" s="154"/>
      <c r="B55" s="73">
        <f t="shared" si="94"/>
        <v>-59090.909090909088</v>
      </c>
      <c r="E55" s="148">
        <v>42826</v>
      </c>
      <c r="G55" s="139">
        <v>33</v>
      </c>
      <c r="H55" s="139">
        <v>0</v>
      </c>
      <c r="I55" s="49">
        <f t="shared" si="95"/>
        <v>46522</v>
      </c>
      <c r="J55" s="76">
        <v>1950000</v>
      </c>
      <c r="K55" s="40">
        <f t="shared" si="96"/>
        <v>33</v>
      </c>
      <c r="L55" s="74">
        <f t="shared" si="97"/>
        <v>1950000</v>
      </c>
      <c r="M55" s="76"/>
      <c r="N55" s="76">
        <f t="shared" si="98"/>
        <v>0</v>
      </c>
      <c r="O55" s="142"/>
      <c r="P55" s="142"/>
      <c r="Q55" s="142"/>
      <c r="R55" s="144"/>
      <c r="S55" s="144"/>
      <c r="T55" s="144"/>
      <c r="U55" s="144"/>
      <c r="V55" s="144"/>
      <c r="W55" s="144"/>
      <c r="X55" s="144"/>
      <c r="Y55" s="143"/>
      <c r="Z55" s="143">
        <f t="shared" si="99"/>
        <v>0</v>
      </c>
      <c r="AA55" s="9">
        <f t="shared" si="100"/>
        <v>0.375</v>
      </c>
      <c r="AB55" s="9">
        <f t="shared" si="101"/>
        <v>0</v>
      </c>
      <c r="AC55" s="9">
        <f t="shared" si="102"/>
        <v>0</v>
      </c>
      <c r="AD55" s="9">
        <f t="shared" si="103"/>
        <v>0</v>
      </c>
      <c r="AE55" s="40" t="e">
        <f t="shared" ca="1" si="104"/>
        <v>#NUM!</v>
      </c>
      <c r="AF55" s="40" t="e">
        <f t="shared" ca="1" si="105"/>
        <v>#NUM!</v>
      </c>
      <c r="AG55" s="40" t="e">
        <f t="shared" ca="1" si="106"/>
        <v>#NUM!</v>
      </c>
      <c r="AH55" s="40" t="e">
        <f t="shared" ca="1" si="107"/>
        <v>#NUM!</v>
      </c>
      <c r="AI55" s="40" t="e">
        <f t="shared" ca="1" si="108"/>
        <v>#NUM!</v>
      </c>
      <c r="AJ55" s="40" t="e">
        <f t="shared" ca="1" si="109"/>
        <v>#NUM!</v>
      </c>
      <c r="AK55" s="203" t="e">
        <f t="shared" ca="1" si="110"/>
        <v>#NUM!</v>
      </c>
      <c r="AL55" s="40" t="e">
        <f t="shared" ca="1" si="111"/>
        <v>#NUM!</v>
      </c>
      <c r="AM55" s="40" t="e">
        <f t="shared" ca="1" si="112"/>
        <v>#NUM!</v>
      </c>
      <c r="AN55" s="40" t="e">
        <f t="shared" ca="1" si="113"/>
        <v>#NUM!</v>
      </c>
      <c r="AO55" s="40" t="e">
        <f t="shared" ca="1" si="114"/>
        <v>#NUM!</v>
      </c>
      <c r="AP55" s="40" t="e">
        <f t="shared" ca="1" si="115"/>
        <v>#NUM!</v>
      </c>
      <c r="AQ55" s="40" t="e">
        <f t="shared" ca="1" si="116"/>
        <v>#NUM!</v>
      </c>
      <c r="AR55" s="40" t="e">
        <f t="shared" ca="1" si="117"/>
        <v>#NUM!</v>
      </c>
      <c r="AS55" s="40" t="e">
        <f t="shared" ca="1" si="118"/>
        <v>#NUM!</v>
      </c>
    </row>
    <row r="56" spans="1:45" x14ac:dyDescent="0.25">
      <c r="A56" s="154"/>
      <c r="B56" s="73">
        <f t="shared" si="94"/>
        <v>-59090.909090909088</v>
      </c>
      <c r="E56" s="148">
        <v>42826</v>
      </c>
      <c r="G56" s="139">
        <v>33</v>
      </c>
      <c r="H56" s="139">
        <v>0</v>
      </c>
      <c r="I56" s="49">
        <f t="shared" si="95"/>
        <v>46522</v>
      </c>
      <c r="J56" s="76">
        <v>1950000</v>
      </c>
      <c r="K56" s="40">
        <f t="shared" si="96"/>
        <v>33</v>
      </c>
      <c r="L56" s="74">
        <f t="shared" si="97"/>
        <v>1950000</v>
      </c>
      <c r="M56" s="76"/>
      <c r="N56" s="76">
        <f t="shared" si="98"/>
        <v>0</v>
      </c>
      <c r="O56" s="142"/>
      <c r="P56" s="142"/>
      <c r="Q56" s="142"/>
      <c r="R56" s="144"/>
      <c r="S56" s="144"/>
      <c r="T56" s="144"/>
      <c r="U56" s="144"/>
      <c r="V56" s="144"/>
      <c r="W56" s="144"/>
      <c r="X56" s="144"/>
      <c r="Y56" s="143"/>
      <c r="Z56" s="143">
        <f t="shared" si="99"/>
        <v>0</v>
      </c>
      <c r="AA56" s="9">
        <f t="shared" si="100"/>
        <v>0.375</v>
      </c>
      <c r="AB56" s="9">
        <f t="shared" si="101"/>
        <v>0</v>
      </c>
      <c r="AC56" s="9">
        <f t="shared" si="102"/>
        <v>0</v>
      </c>
      <c r="AD56" s="9">
        <f t="shared" si="103"/>
        <v>0</v>
      </c>
      <c r="AE56" s="40" t="e">
        <f t="shared" ca="1" si="104"/>
        <v>#NUM!</v>
      </c>
      <c r="AF56" s="40" t="e">
        <f t="shared" ca="1" si="105"/>
        <v>#NUM!</v>
      </c>
      <c r="AG56" s="40" t="e">
        <f t="shared" ca="1" si="106"/>
        <v>#NUM!</v>
      </c>
      <c r="AH56" s="40" t="e">
        <f t="shared" ca="1" si="107"/>
        <v>#NUM!</v>
      </c>
      <c r="AI56" s="40" t="e">
        <f t="shared" ca="1" si="108"/>
        <v>#NUM!</v>
      </c>
      <c r="AJ56" s="40" t="e">
        <f t="shared" ca="1" si="109"/>
        <v>#NUM!</v>
      </c>
      <c r="AK56" s="203" t="e">
        <f t="shared" ca="1" si="110"/>
        <v>#NUM!</v>
      </c>
      <c r="AL56" s="40" t="e">
        <f t="shared" ca="1" si="111"/>
        <v>#NUM!</v>
      </c>
      <c r="AM56" s="40" t="e">
        <f t="shared" ca="1" si="112"/>
        <v>#NUM!</v>
      </c>
      <c r="AN56" s="40" t="e">
        <f t="shared" ca="1" si="113"/>
        <v>#NUM!</v>
      </c>
      <c r="AO56" s="40" t="e">
        <f t="shared" ca="1" si="114"/>
        <v>#NUM!</v>
      </c>
      <c r="AP56" s="40" t="e">
        <f t="shared" ca="1" si="115"/>
        <v>#NUM!</v>
      </c>
      <c r="AQ56" s="40" t="e">
        <f t="shared" ca="1" si="116"/>
        <v>#NUM!</v>
      </c>
      <c r="AR56" s="40" t="e">
        <f t="shared" ca="1" si="117"/>
        <v>#NUM!</v>
      </c>
      <c r="AS56" s="40" t="e">
        <f t="shared" ca="1" si="118"/>
        <v>#NUM!</v>
      </c>
    </row>
    <row r="57" spans="1:45" x14ac:dyDescent="0.25">
      <c r="A57" s="154"/>
      <c r="B57" s="73">
        <f t="shared" si="94"/>
        <v>-59090.909090909088</v>
      </c>
      <c r="E57" s="148">
        <v>42826</v>
      </c>
      <c r="G57" s="139">
        <v>33</v>
      </c>
      <c r="H57" s="139">
        <v>0</v>
      </c>
      <c r="I57" s="49">
        <f t="shared" si="95"/>
        <v>46522</v>
      </c>
      <c r="J57" s="76">
        <v>1950000</v>
      </c>
      <c r="K57" s="40">
        <f t="shared" si="96"/>
        <v>33</v>
      </c>
      <c r="L57" s="74">
        <f t="shared" si="97"/>
        <v>1950000</v>
      </c>
      <c r="M57" s="76"/>
      <c r="N57" s="76">
        <f t="shared" si="98"/>
        <v>0</v>
      </c>
      <c r="O57" s="142"/>
      <c r="P57" s="142"/>
      <c r="Q57" s="142"/>
      <c r="R57" s="144"/>
      <c r="S57" s="144"/>
      <c r="T57" s="144"/>
      <c r="U57" s="144"/>
      <c r="V57" s="144"/>
      <c r="W57" s="144"/>
      <c r="X57" s="144"/>
      <c r="Y57" s="143"/>
      <c r="Z57" s="143">
        <f t="shared" si="99"/>
        <v>0</v>
      </c>
      <c r="AA57" s="9">
        <f t="shared" si="100"/>
        <v>0.375</v>
      </c>
      <c r="AB57" s="9">
        <f t="shared" si="101"/>
        <v>0</v>
      </c>
      <c r="AC57" s="9">
        <f t="shared" si="102"/>
        <v>0</v>
      </c>
      <c r="AD57" s="9">
        <f t="shared" si="103"/>
        <v>0</v>
      </c>
      <c r="AE57" s="40" t="e">
        <f t="shared" ca="1" si="104"/>
        <v>#NUM!</v>
      </c>
      <c r="AF57" s="40" t="e">
        <f t="shared" ca="1" si="105"/>
        <v>#NUM!</v>
      </c>
      <c r="AG57" s="40" t="e">
        <f t="shared" ca="1" si="106"/>
        <v>#NUM!</v>
      </c>
      <c r="AH57" s="40" t="e">
        <f t="shared" ca="1" si="107"/>
        <v>#NUM!</v>
      </c>
      <c r="AI57" s="40" t="e">
        <f t="shared" ca="1" si="108"/>
        <v>#NUM!</v>
      </c>
      <c r="AJ57" s="40" t="e">
        <f t="shared" ca="1" si="109"/>
        <v>#NUM!</v>
      </c>
      <c r="AK57" s="203" t="e">
        <f t="shared" ca="1" si="110"/>
        <v>#NUM!</v>
      </c>
      <c r="AL57" s="40" t="e">
        <f t="shared" ca="1" si="111"/>
        <v>#NUM!</v>
      </c>
      <c r="AM57" s="40" t="e">
        <f t="shared" ca="1" si="112"/>
        <v>#NUM!</v>
      </c>
      <c r="AN57" s="40" t="e">
        <f t="shared" ca="1" si="113"/>
        <v>#NUM!</v>
      </c>
      <c r="AO57" s="40" t="e">
        <f t="shared" ca="1" si="114"/>
        <v>#NUM!</v>
      </c>
      <c r="AP57" s="40" t="e">
        <f t="shared" ca="1" si="115"/>
        <v>#NUM!</v>
      </c>
      <c r="AQ57" s="40" t="e">
        <f t="shared" ca="1" si="116"/>
        <v>#NUM!</v>
      </c>
      <c r="AR57" s="40" t="e">
        <f t="shared" ca="1" si="117"/>
        <v>#NUM!</v>
      </c>
      <c r="AS57" s="40" t="e">
        <f t="shared" ca="1" si="118"/>
        <v>#NUM!</v>
      </c>
    </row>
    <row r="58" spans="1:45" x14ac:dyDescent="0.25">
      <c r="A58" s="154"/>
      <c r="B58" s="73">
        <f t="shared" si="94"/>
        <v>-59090.909090909088</v>
      </c>
      <c r="E58" s="148">
        <v>42826</v>
      </c>
      <c r="G58" s="139">
        <v>33</v>
      </c>
      <c r="H58" s="139">
        <v>0</v>
      </c>
      <c r="I58" s="49">
        <f t="shared" si="95"/>
        <v>46522</v>
      </c>
      <c r="J58" s="76">
        <v>1950000</v>
      </c>
      <c r="K58" s="40">
        <f t="shared" si="96"/>
        <v>33</v>
      </c>
      <c r="L58" s="74">
        <f t="shared" si="97"/>
        <v>1950000</v>
      </c>
      <c r="M58" s="76"/>
      <c r="N58" s="76">
        <f t="shared" si="98"/>
        <v>0</v>
      </c>
      <c r="O58" s="142"/>
      <c r="P58" s="142"/>
      <c r="Q58" s="142"/>
      <c r="R58" s="144"/>
      <c r="S58" s="144"/>
      <c r="T58" s="144"/>
      <c r="U58" s="144"/>
      <c r="V58" s="144"/>
      <c r="W58" s="144"/>
      <c r="X58" s="144"/>
      <c r="Y58" s="143"/>
      <c r="Z58" s="143">
        <f t="shared" si="99"/>
        <v>0</v>
      </c>
      <c r="AA58" s="9">
        <f t="shared" si="100"/>
        <v>0.375</v>
      </c>
      <c r="AB58" s="9">
        <f t="shared" si="101"/>
        <v>0</v>
      </c>
      <c r="AC58" s="9">
        <f t="shared" si="102"/>
        <v>0</v>
      </c>
      <c r="AD58" s="9">
        <f t="shared" si="103"/>
        <v>0</v>
      </c>
      <c r="AE58" s="40" t="e">
        <f t="shared" ca="1" si="104"/>
        <v>#NUM!</v>
      </c>
      <c r="AF58" s="40" t="e">
        <f t="shared" ca="1" si="105"/>
        <v>#NUM!</v>
      </c>
      <c r="AG58" s="40" t="e">
        <f t="shared" ca="1" si="106"/>
        <v>#NUM!</v>
      </c>
      <c r="AH58" s="40" t="e">
        <f t="shared" ca="1" si="107"/>
        <v>#NUM!</v>
      </c>
      <c r="AI58" s="40" t="e">
        <f t="shared" ca="1" si="108"/>
        <v>#NUM!</v>
      </c>
      <c r="AJ58" s="40" t="e">
        <f t="shared" ca="1" si="109"/>
        <v>#NUM!</v>
      </c>
      <c r="AK58" s="203" t="e">
        <f t="shared" ca="1" si="110"/>
        <v>#NUM!</v>
      </c>
      <c r="AL58" s="40" t="e">
        <f t="shared" ca="1" si="111"/>
        <v>#NUM!</v>
      </c>
      <c r="AM58" s="40" t="e">
        <f t="shared" ca="1" si="112"/>
        <v>#NUM!</v>
      </c>
      <c r="AN58" s="40" t="e">
        <f t="shared" ca="1" si="113"/>
        <v>#NUM!</v>
      </c>
      <c r="AO58" s="40" t="e">
        <f t="shared" ca="1" si="114"/>
        <v>#NUM!</v>
      </c>
      <c r="AP58" s="40" t="e">
        <f t="shared" ca="1" si="115"/>
        <v>#NUM!</v>
      </c>
      <c r="AQ58" s="40" t="e">
        <f t="shared" ca="1" si="116"/>
        <v>#NUM!</v>
      </c>
      <c r="AR58" s="40" t="e">
        <f t="shared" ca="1" si="117"/>
        <v>#NUM!</v>
      </c>
      <c r="AS58" s="40" t="e">
        <f t="shared" ca="1" si="118"/>
        <v>#NUM!</v>
      </c>
    </row>
    <row r="59" spans="1:45" x14ac:dyDescent="0.25">
      <c r="A59" s="154"/>
      <c r="B59" s="73">
        <f t="shared" si="94"/>
        <v>-59090.909090909088</v>
      </c>
      <c r="E59" s="148">
        <v>42826</v>
      </c>
      <c r="G59" s="139">
        <v>33</v>
      </c>
      <c r="H59" s="139">
        <v>0</v>
      </c>
      <c r="I59" s="49">
        <f t="shared" si="95"/>
        <v>46522</v>
      </c>
      <c r="J59" s="76">
        <v>1950000</v>
      </c>
      <c r="K59" s="40">
        <f t="shared" si="96"/>
        <v>33</v>
      </c>
      <c r="L59" s="74">
        <f t="shared" si="97"/>
        <v>1950000</v>
      </c>
      <c r="M59" s="76"/>
      <c r="N59" s="76">
        <f t="shared" si="98"/>
        <v>0</v>
      </c>
      <c r="O59" s="142"/>
      <c r="P59" s="142"/>
      <c r="Q59" s="142"/>
      <c r="R59" s="144"/>
      <c r="S59" s="144"/>
      <c r="T59" s="144"/>
      <c r="U59" s="144"/>
      <c r="V59" s="144"/>
      <c r="W59" s="144"/>
      <c r="X59" s="144"/>
      <c r="Y59" s="143"/>
      <c r="Z59" s="143">
        <f t="shared" si="99"/>
        <v>0</v>
      </c>
      <c r="AA59" s="9">
        <f t="shared" si="100"/>
        <v>0.375</v>
      </c>
      <c r="AB59" s="9">
        <f t="shared" si="101"/>
        <v>0</v>
      </c>
      <c r="AC59" s="9">
        <f t="shared" si="102"/>
        <v>0</v>
      </c>
      <c r="AD59" s="9">
        <f t="shared" si="103"/>
        <v>0</v>
      </c>
      <c r="AE59" s="40" t="e">
        <f t="shared" ca="1" si="104"/>
        <v>#NUM!</v>
      </c>
      <c r="AF59" s="40" t="e">
        <f t="shared" ca="1" si="105"/>
        <v>#NUM!</v>
      </c>
      <c r="AG59" s="40" t="e">
        <f t="shared" ca="1" si="106"/>
        <v>#NUM!</v>
      </c>
      <c r="AH59" s="40" t="e">
        <f t="shared" ca="1" si="107"/>
        <v>#NUM!</v>
      </c>
      <c r="AI59" s="40" t="e">
        <f t="shared" ca="1" si="108"/>
        <v>#NUM!</v>
      </c>
      <c r="AJ59" s="40" t="e">
        <f t="shared" ca="1" si="109"/>
        <v>#NUM!</v>
      </c>
      <c r="AK59" s="203" t="e">
        <f t="shared" ca="1" si="110"/>
        <v>#NUM!</v>
      </c>
      <c r="AL59" s="40" t="e">
        <f t="shared" ca="1" si="111"/>
        <v>#NUM!</v>
      </c>
      <c r="AM59" s="40" t="e">
        <f t="shared" ca="1" si="112"/>
        <v>#NUM!</v>
      </c>
      <c r="AN59" s="40" t="e">
        <f t="shared" ca="1" si="113"/>
        <v>#NUM!</v>
      </c>
      <c r="AO59" s="40" t="e">
        <f t="shared" ca="1" si="114"/>
        <v>#NUM!</v>
      </c>
      <c r="AP59" s="40" t="e">
        <f t="shared" ca="1" si="115"/>
        <v>#NUM!</v>
      </c>
      <c r="AQ59" s="40" t="e">
        <f t="shared" ca="1" si="116"/>
        <v>#NUM!</v>
      </c>
      <c r="AR59" s="40" t="e">
        <f t="shared" ca="1" si="117"/>
        <v>#NUM!</v>
      </c>
      <c r="AS59" s="40" t="e">
        <f t="shared" ca="1" si="118"/>
        <v>#NUM!</v>
      </c>
    </row>
    <row r="60" spans="1:45" x14ac:dyDescent="0.25">
      <c r="A60" s="154"/>
      <c r="B60" s="73">
        <f t="shared" si="94"/>
        <v>-59090.909090909088</v>
      </c>
      <c r="E60" s="148">
        <v>42826</v>
      </c>
      <c r="G60" s="139">
        <v>33</v>
      </c>
      <c r="H60" s="139">
        <v>0</v>
      </c>
      <c r="I60" s="49">
        <f t="shared" si="95"/>
        <v>46522</v>
      </c>
      <c r="J60" s="76">
        <v>1950000</v>
      </c>
      <c r="K60" s="40">
        <f t="shared" si="96"/>
        <v>33</v>
      </c>
      <c r="L60" s="74">
        <f t="shared" si="97"/>
        <v>1950000</v>
      </c>
      <c r="M60" s="76"/>
      <c r="N60" s="76">
        <f t="shared" si="98"/>
        <v>0</v>
      </c>
      <c r="O60" s="142"/>
      <c r="P60" s="142"/>
      <c r="Q60" s="142"/>
      <c r="R60" s="144"/>
      <c r="S60" s="144"/>
      <c r="T60" s="144"/>
      <c r="U60" s="144"/>
      <c r="V60" s="144"/>
      <c r="W60" s="144"/>
      <c r="X60" s="144"/>
      <c r="Y60" s="143"/>
      <c r="Z60" s="143">
        <f t="shared" si="99"/>
        <v>0</v>
      </c>
      <c r="AA60" s="9">
        <f t="shared" si="100"/>
        <v>0.375</v>
      </c>
      <c r="AB60" s="9">
        <f t="shared" si="101"/>
        <v>0</v>
      </c>
      <c r="AC60" s="9">
        <f t="shared" si="102"/>
        <v>0</v>
      </c>
      <c r="AD60" s="9">
        <f t="shared" si="103"/>
        <v>0</v>
      </c>
      <c r="AE60" s="40" t="e">
        <f t="shared" ca="1" si="104"/>
        <v>#NUM!</v>
      </c>
      <c r="AF60" s="40" t="e">
        <f t="shared" ca="1" si="105"/>
        <v>#NUM!</v>
      </c>
      <c r="AG60" s="40" t="e">
        <f t="shared" ca="1" si="106"/>
        <v>#NUM!</v>
      </c>
      <c r="AH60" s="40" t="e">
        <f t="shared" ca="1" si="107"/>
        <v>#NUM!</v>
      </c>
      <c r="AI60" s="40" t="e">
        <f t="shared" ca="1" si="108"/>
        <v>#NUM!</v>
      </c>
      <c r="AJ60" s="40" t="e">
        <f t="shared" ca="1" si="109"/>
        <v>#NUM!</v>
      </c>
      <c r="AK60" s="203" t="e">
        <f t="shared" ca="1" si="110"/>
        <v>#NUM!</v>
      </c>
      <c r="AL60" s="40" t="e">
        <f t="shared" ca="1" si="111"/>
        <v>#NUM!</v>
      </c>
      <c r="AM60" s="40" t="e">
        <f t="shared" ca="1" si="112"/>
        <v>#NUM!</v>
      </c>
      <c r="AN60" s="40" t="e">
        <f t="shared" ca="1" si="113"/>
        <v>#NUM!</v>
      </c>
      <c r="AO60" s="40" t="e">
        <f t="shared" ca="1" si="114"/>
        <v>#NUM!</v>
      </c>
      <c r="AP60" s="40" t="e">
        <f t="shared" ca="1" si="115"/>
        <v>#NUM!</v>
      </c>
      <c r="AQ60" s="40" t="e">
        <f t="shared" ca="1" si="116"/>
        <v>#NUM!</v>
      </c>
      <c r="AR60" s="40" t="e">
        <f t="shared" ca="1" si="117"/>
        <v>#NUM!</v>
      </c>
      <c r="AS60" s="40" t="e">
        <f t="shared" ca="1" si="118"/>
        <v>#NUM!</v>
      </c>
    </row>
    <row r="61" spans="1:45" x14ac:dyDescent="0.25">
      <c r="A61" s="154"/>
      <c r="B61" s="73">
        <f t="shared" si="94"/>
        <v>-59090.909090909088</v>
      </c>
      <c r="E61" s="148">
        <v>42826</v>
      </c>
      <c r="G61" s="139">
        <v>33</v>
      </c>
      <c r="H61" s="139">
        <v>0</v>
      </c>
      <c r="I61" s="49">
        <f t="shared" si="95"/>
        <v>46522</v>
      </c>
      <c r="J61" s="76">
        <v>1950000</v>
      </c>
      <c r="K61" s="40">
        <f t="shared" si="96"/>
        <v>33</v>
      </c>
      <c r="L61" s="74">
        <f t="shared" si="97"/>
        <v>1950000</v>
      </c>
      <c r="M61" s="76"/>
      <c r="N61" s="76">
        <f t="shared" si="98"/>
        <v>0</v>
      </c>
      <c r="O61" s="142"/>
      <c r="P61" s="142"/>
      <c r="Q61" s="142"/>
      <c r="R61" s="144"/>
      <c r="S61" s="144"/>
      <c r="T61" s="144"/>
      <c r="U61" s="144"/>
      <c r="V61" s="144"/>
      <c r="W61" s="144"/>
      <c r="X61" s="144"/>
      <c r="Y61" s="143"/>
      <c r="Z61" s="143">
        <f t="shared" si="99"/>
        <v>0</v>
      </c>
      <c r="AA61" s="9">
        <f t="shared" si="100"/>
        <v>0.375</v>
      </c>
      <c r="AB61" s="9">
        <f t="shared" si="101"/>
        <v>0</v>
      </c>
      <c r="AC61" s="9">
        <f t="shared" si="102"/>
        <v>0</v>
      </c>
      <c r="AD61" s="9">
        <f t="shared" si="103"/>
        <v>0</v>
      </c>
      <c r="AE61" s="40" t="e">
        <f t="shared" ca="1" si="104"/>
        <v>#NUM!</v>
      </c>
      <c r="AF61" s="40" t="e">
        <f t="shared" ca="1" si="105"/>
        <v>#NUM!</v>
      </c>
      <c r="AG61" s="40" t="e">
        <f t="shared" ca="1" si="106"/>
        <v>#NUM!</v>
      </c>
      <c r="AH61" s="40" t="e">
        <f t="shared" ca="1" si="107"/>
        <v>#NUM!</v>
      </c>
      <c r="AI61" s="40" t="e">
        <f t="shared" ca="1" si="108"/>
        <v>#NUM!</v>
      </c>
      <c r="AJ61" s="40" t="e">
        <f t="shared" ca="1" si="109"/>
        <v>#NUM!</v>
      </c>
      <c r="AK61" s="203" t="e">
        <f t="shared" ca="1" si="110"/>
        <v>#NUM!</v>
      </c>
      <c r="AL61" s="40" t="e">
        <f t="shared" ca="1" si="111"/>
        <v>#NUM!</v>
      </c>
      <c r="AM61" s="40" t="e">
        <f t="shared" ca="1" si="112"/>
        <v>#NUM!</v>
      </c>
      <c r="AN61" s="40" t="e">
        <f t="shared" ca="1" si="113"/>
        <v>#NUM!</v>
      </c>
      <c r="AO61" s="40" t="e">
        <f t="shared" ca="1" si="114"/>
        <v>#NUM!</v>
      </c>
      <c r="AP61" s="40" t="e">
        <f t="shared" ca="1" si="115"/>
        <v>#NUM!</v>
      </c>
      <c r="AQ61" s="40" t="e">
        <f t="shared" ca="1" si="116"/>
        <v>#NUM!</v>
      </c>
      <c r="AR61" s="40" t="e">
        <f t="shared" ca="1" si="117"/>
        <v>#NUM!</v>
      </c>
      <c r="AS61" s="40" t="e">
        <f t="shared" ca="1" si="118"/>
        <v>#NUM!</v>
      </c>
    </row>
    <row r="62" spans="1:45" x14ac:dyDescent="0.25">
      <c r="A62" s="154"/>
      <c r="B62" s="73">
        <f t="shared" si="94"/>
        <v>-59090.909090909088</v>
      </c>
      <c r="E62" s="148">
        <v>42826</v>
      </c>
      <c r="G62" s="139">
        <v>33</v>
      </c>
      <c r="H62" s="139">
        <v>0</v>
      </c>
      <c r="I62" s="49">
        <f t="shared" si="95"/>
        <v>46522</v>
      </c>
      <c r="J62" s="76">
        <v>1950000</v>
      </c>
      <c r="K62" s="40">
        <f t="shared" si="96"/>
        <v>33</v>
      </c>
      <c r="L62" s="74">
        <f t="shared" si="97"/>
        <v>1950000</v>
      </c>
      <c r="M62" s="76"/>
      <c r="N62" s="76">
        <f t="shared" si="98"/>
        <v>0</v>
      </c>
      <c r="O62" s="142"/>
      <c r="P62" s="142"/>
      <c r="Q62" s="142"/>
      <c r="R62" s="144"/>
      <c r="S62" s="144"/>
      <c r="T62" s="144"/>
      <c r="U62" s="144"/>
      <c r="V62" s="144"/>
      <c r="W62" s="144"/>
      <c r="X62" s="144"/>
      <c r="Y62" s="143"/>
      <c r="Z62" s="143">
        <f t="shared" si="99"/>
        <v>0</v>
      </c>
      <c r="AA62" s="9">
        <f t="shared" si="100"/>
        <v>0.375</v>
      </c>
      <c r="AB62" s="9">
        <f t="shared" si="101"/>
        <v>0</v>
      </c>
      <c r="AC62" s="9">
        <f t="shared" si="102"/>
        <v>0</v>
      </c>
      <c r="AD62" s="9">
        <f t="shared" si="103"/>
        <v>0</v>
      </c>
      <c r="AE62" s="40" t="e">
        <f t="shared" ca="1" si="104"/>
        <v>#NUM!</v>
      </c>
      <c r="AF62" s="40" t="e">
        <f t="shared" ca="1" si="105"/>
        <v>#NUM!</v>
      </c>
      <c r="AG62" s="40" t="e">
        <f t="shared" ca="1" si="106"/>
        <v>#NUM!</v>
      </c>
      <c r="AH62" s="40" t="e">
        <f t="shared" ca="1" si="107"/>
        <v>#NUM!</v>
      </c>
      <c r="AI62" s="40" t="e">
        <f t="shared" ca="1" si="108"/>
        <v>#NUM!</v>
      </c>
      <c r="AJ62" s="40" t="e">
        <f t="shared" ca="1" si="109"/>
        <v>#NUM!</v>
      </c>
      <c r="AK62" s="203" t="e">
        <f t="shared" ca="1" si="110"/>
        <v>#NUM!</v>
      </c>
      <c r="AL62" s="40" t="e">
        <f t="shared" ca="1" si="111"/>
        <v>#NUM!</v>
      </c>
      <c r="AM62" s="40" t="e">
        <f t="shared" ca="1" si="112"/>
        <v>#NUM!</v>
      </c>
      <c r="AN62" s="40" t="e">
        <f t="shared" ca="1" si="113"/>
        <v>#NUM!</v>
      </c>
      <c r="AO62" s="40" t="e">
        <f t="shared" ca="1" si="114"/>
        <v>#NUM!</v>
      </c>
      <c r="AP62" s="40" t="e">
        <f t="shared" ca="1" si="115"/>
        <v>#NUM!</v>
      </c>
      <c r="AQ62" s="40" t="e">
        <f t="shared" ca="1" si="116"/>
        <v>#NUM!</v>
      </c>
      <c r="AR62" s="40" t="e">
        <f t="shared" ca="1" si="117"/>
        <v>#NUM!</v>
      </c>
      <c r="AS62" s="40" t="e">
        <f t="shared" ca="1" si="118"/>
        <v>#NUM!</v>
      </c>
    </row>
    <row r="63" spans="1:45" x14ac:dyDescent="0.25">
      <c r="A63" s="154"/>
      <c r="B63" s="73">
        <f t="shared" si="94"/>
        <v>-59090.909090909088</v>
      </c>
      <c r="E63" s="148">
        <v>42826</v>
      </c>
      <c r="G63" s="139">
        <v>33</v>
      </c>
      <c r="H63" s="139">
        <v>0</v>
      </c>
      <c r="I63" s="49">
        <f t="shared" si="95"/>
        <v>46522</v>
      </c>
      <c r="J63" s="76">
        <v>1950000</v>
      </c>
      <c r="K63" s="40">
        <f t="shared" si="96"/>
        <v>33</v>
      </c>
      <c r="L63" s="74">
        <f t="shared" si="97"/>
        <v>1950000</v>
      </c>
      <c r="M63" s="76"/>
      <c r="N63" s="76">
        <f t="shared" si="98"/>
        <v>0</v>
      </c>
      <c r="O63" s="142"/>
      <c r="P63" s="142"/>
      <c r="Q63" s="142"/>
      <c r="R63" s="144"/>
      <c r="S63" s="144"/>
      <c r="T63" s="144"/>
      <c r="U63" s="144"/>
      <c r="V63" s="144"/>
      <c r="W63" s="144"/>
      <c r="X63" s="144"/>
      <c r="Y63" s="143"/>
      <c r="Z63" s="143">
        <f t="shared" si="99"/>
        <v>0</v>
      </c>
      <c r="AA63" s="9">
        <f t="shared" si="100"/>
        <v>0.375</v>
      </c>
      <c r="AB63" s="9">
        <f t="shared" si="101"/>
        <v>0</v>
      </c>
      <c r="AC63" s="9">
        <f t="shared" si="102"/>
        <v>0</v>
      </c>
      <c r="AD63" s="9">
        <f t="shared" si="103"/>
        <v>0</v>
      </c>
      <c r="AE63" s="40" t="e">
        <f t="shared" ca="1" si="104"/>
        <v>#NUM!</v>
      </c>
      <c r="AF63" s="40" t="e">
        <f t="shared" ca="1" si="105"/>
        <v>#NUM!</v>
      </c>
      <c r="AG63" s="40" t="e">
        <f t="shared" ca="1" si="106"/>
        <v>#NUM!</v>
      </c>
      <c r="AH63" s="40" t="e">
        <f t="shared" ca="1" si="107"/>
        <v>#NUM!</v>
      </c>
      <c r="AI63" s="40" t="e">
        <f t="shared" ca="1" si="108"/>
        <v>#NUM!</v>
      </c>
      <c r="AJ63" s="40" t="e">
        <f t="shared" ca="1" si="109"/>
        <v>#NUM!</v>
      </c>
      <c r="AK63" s="203" t="e">
        <f t="shared" ca="1" si="110"/>
        <v>#NUM!</v>
      </c>
      <c r="AL63" s="40" t="e">
        <f t="shared" ca="1" si="111"/>
        <v>#NUM!</v>
      </c>
      <c r="AM63" s="40" t="e">
        <f t="shared" ca="1" si="112"/>
        <v>#NUM!</v>
      </c>
      <c r="AN63" s="40" t="e">
        <f t="shared" ca="1" si="113"/>
        <v>#NUM!</v>
      </c>
      <c r="AO63" s="40" t="e">
        <f t="shared" ca="1" si="114"/>
        <v>#NUM!</v>
      </c>
      <c r="AP63" s="40" t="e">
        <f t="shared" ca="1" si="115"/>
        <v>#NUM!</v>
      </c>
      <c r="AQ63" s="40" t="e">
        <f t="shared" ca="1" si="116"/>
        <v>#NUM!</v>
      </c>
      <c r="AR63" s="40" t="e">
        <f t="shared" ca="1" si="117"/>
        <v>#NUM!</v>
      </c>
      <c r="AS63" s="40" t="e">
        <f t="shared" ca="1" si="118"/>
        <v>#NUM!</v>
      </c>
    </row>
    <row r="64" spans="1:45" x14ac:dyDescent="0.25">
      <c r="A64" s="154"/>
      <c r="B64" s="73">
        <f t="shared" si="94"/>
        <v>-59090.909090909088</v>
      </c>
      <c r="E64" s="148">
        <v>42826</v>
      </c>
      <c r="G64" s="139">
        <v>33</v>
      </c>
      <c r="H64" s="139">
        <v>0</v>
      </c>
      <c r="I64" s="49">
        <f t="shared" si="95"/>
        <v>46522</v>
      </c>
      <c r="J64" s="76">
        <v>1950000</v>
      </c>
      <c r="K64" s="40">
        <f t="shared" si="96"/>
        <v>33</v>
      </c>
      <c r="L64" s="74">
        <f t="shared" si="97"/>
        <v>1950000</v>
      </c>
      <c r="M64" s="76"/>
      <c r="N64" s="76">
        <f t="shared" si="98"/>
        <v>0</v>
      </c>
      <c r="O64" s="142"/>
      <c r="P64" s="142"/>
      <c r="Q64" s="142"/>
      <c r="R64" s="144"/>
      <c r="S64" s="144"/>
      <c r="T64" s="144"/>
      <c r="U64" s="144"/>
      <c r="V64" s="144"/>
      <c r="W64" s="144"/>
      <c r="X64" s="144"/>
      <c r="Y64" s="143"/>
      <c r="Z64" s="143">
        <f t="shared" si="99"/>
        <v>0</v>
      </c>
      <c r="AA64" s="9">
        <f t="shared" si="100"/>
        <v>0.375</v>
      </c>
      <c r="AB64" s="9">
        <f t="shared" si="101"/>
        <v>0</v>
      </c>
      <c r="AC64" s="9">
        <f t="shared" si="102"/>
        <v>0</v>
      </c>
      <c r="AD64" s="9">
        <f t="shared" si="103"/>
        <v>0</v>
      </c>
      <c r="AE64" s="40" t="e">
        <f t="shared" ca="1" si="104"/>
        <v>#NUM!</v>
      </c>
      <c r="AF64" s="40" t="e">
        <f t="shared" ca="1" si="105"/>
        <v>#NUM!</v>
      </c>
      <c r="AG64" s="40" t="e">
        <f t="shared" ca="1" si="106"/>
        <v>#NUM!</v>
      </c>
      <c r="AH64" s="40" t="e">
        <f t="shared" ca="1" si="107"/>
        <v>#NUM!</v>
      </c>
      <c r="AI64" s="40" t="e">
        <f t="shared" ca="1" si="108"/>
        <v>#NUM!</v>
      </c>
      <c r="AJ64" s="40" t="e">
        <f t="shared" ca="1" si="109"/>
        <v>#NUM!</v>
      </c>
      <c r="AK64" s="203" t="e">
        <f t="shared" ca="1" si="110"/>
        <v>#NUM!</v>
      </c>
      <c r="AL64" s="40" t="e">
        <f t="shared" ca="1" si="111"/>
        <v>#NUM!</v>
      </c>
      <c r="AM64" s="40" t="e">
        <f t="shared" ca="1" si="112"/>
        <v>#NUM!</v>
      </c>
      <c r="AN64" s="40" t="e">
        <f t="shared" ca="1" si="113"/>
        <v>#NUM!</v>
      </c>
      <c r="AO64" s="40" t="e">
        <f t="shared" ca="1" si="114"/>
        <v>#NUM!</v>
      </c>
      <c r="AP64" s="40" t="e">
        <f t="shared" ca="1" si="115"/>
        <v>#NUM!</v>
      </c>
      <c r="AQ64" s="40" t="e">
        <f t="shared" ca="1" si="116"/>
        <v>#NUM!</v>
      </c>
      <c r="AR64" s="40" t="e">
        <f t="shared" ca="1" si="117"/>
        <v>#NUM!</v>
      </c>
      <c r="AS64" s="40" t="e">
        <f t="shared" ca="1" si="118"/>
        <v>#NUM!</v>
      </c>
    </row>
    <row r="65" spans="1:45" x14ac:dyDescent="0.25">
      <c r="A65" s="154"/>
      <c r="B65" s="73">
        <f t="shared" si="94"/>
        <v>-59090.909090909088</v>
      </c>
      <c r="E65" s="148">
        <v>42826</v>
      </c>
      <c r="G65" s="139">
        <v>33</v>
      </c>
      <c r="H65" s="139">
        <v>0</v>
      </c>
      <c r="I65" s="49">
        <f t="shared" si="95"/>
        <v>46522</v>
      </c>
      <c r="J65" s="76">
        <v>1950000</v>
      </c>
      <c r="K65" s="40">
        <f t="shared" si="96"/>
        <v>33</v>
      </c>
      <c r="L65" s="74">
        <f t="shared" si="97"/>
        <v>1950000</v>
      </c>
      <c r="M65" s="76"/>
      <c r="N65" s="76">
        <f t="shared" si="98"/>
        <v>0</v>
      </c>
      <c r="O65" s="142"/>
      <c r="P65" s="142"/>
      <c r="Q65" s="142"/>
      <c r="R65" s="144"/>
      <c r="S65" s="144"/>
      <c r="T65" s="144"/>
      <c r="U65" s="144"/>
      <c r="V65" s="144"/>
      <c r="W65" s="144"/>
      <c r="X65" s="144"/>
      <c r="Y65" s="143"/>
      <c r="Z65" s="143">
        <f t="shared" si="99"/>
        <v>0</v>
      </c>
      <c r="AA65" s="9">
        <f t="shared" si="100"/>
        <v>0.375</v>
      </c>
      <c r="AB65" s="9">
        <f t="shared" si="101"/>
        <v>0</v>
      </c>
      <c r="AC65" s="9">
        <f t="shared" si="102"/>
        <v>0</v>
      </c>
      <c r="AD65" s="9">
        <f t="shared" si="103"/>
        <v>0</v>
      </c>
      <c r="AE65" s="40" t="e">
        <f t="shared" ca="1" si="104"/>
        <v>#NUM!</v>
      </c>
      <c r="AF65" s="40" t="e">
        <f t="shared" ca="1" si="105"/>
        <v>#NUM!</v>
      </c>
      <c r="AG65" s="40" t="e">
        <f t="shared" ca="1" si="106"/>
        <v>#NUM!</v>
      </c>
      <c r="AH65" s="40" t="e">
        <f t="shared" ca="1" si="107"/>
        <v>#NUM!</v>
      </c>
      <c r="AI65" s="40" t="e">
        <f t="shared" ca="1" si="108"/>
        <v>#NUM!</v>
      </c>
      <c r="AJ65" s="40" t="e">
        <f t="shared" ca="1" si="109"/>
        <v>#NUM!</v>
      </c>
      <c r="AK65" s="203" t="e">
        <f t="shared" ca="1" si="110"/>
        <v>#NUM!</v>
      </c>
      <c r="AL65" s="40" t="e">
        <f t="shared" ca="1" si="111"/>
        <v>#NUM!</v>
      </c>
      <c r="AM65" s="40" t="e">
        <f t="shared" ca="1" si="112"/>
        <v>#NUM!</v>
      </c>
      <c r="AN65" s="40" t="e">
        <f t="shared" ca="1" si="113"/>
        <v>#NUM!</v>
      </c>
      <c r="AO65" s="40" t="e">
        <f t="shared" ca="1" si="114"/>
        <v>#NUM!</v>
      </c>
      <c r="AP65" s="40" t="e">
        <f t="shared" ca="1" si="115"/>
        <v>#NUM!</v>
      </c>
      <c r="AQ65" s="40" t="e">
        <f t="shared" ca="1" si="116"/>
        <v>#NUM!</v>
      </c>
      <c r="AR65" s="40" t="e">
        <f t="shared" ca="1" si="117"/>
        <v>#NUM!</v>
      </c>
      <c r="AS65" s="40" t="e">
        <f t="shared" ca="1" si="118"/>
        <v>#NUM!</v>
      </c>
    </row>
    <row r="66" spans="1:45" x14ac:dyDescent="0.25">
      <c r="A66" s="154"/>
      <c r="B66" s="73">
        <f t="shared" si="94"/>
        <v>-59090.909090909088</v>
      </c>
      <c r="E66" s="148">
        <v>42826</v>
      </c>
      <c r="G66" s="139">
        <v>33</v>
      </c>
      <c r="H66" s="139">
        <v>0</v>
      </c>
      <c r="I66" s="49">
        <f t="shared" si="95"/>
        <v>46522</v>
      </c>
      <c r="J66" s="76">
        <v>1950000</v>
      </c>
      <c r="K66" s="40">
        <f t="shared" si="96"/>
        <v>33</v>
      </c>
      <c r="L66" s="74">
        <f t="shared" si="97"/>
        <v>1950000</v>
      </c>
      <c r="M66" s="76"/>
      <c r="N66" s="76">
        <f t="shared" si="98"/>
        <v>0</v>
      </c>
      <c r="O66" s="142"/>
      <c r="P66" s="142"/>
      <c r="Q66" s="142"/>
      <c r="R66" s="144"/>
      <c r="S66" s="144"/>
      <c r="T66" s="144"/>
      <c r="U66" s="144"/>
      <c r="V66" s="144"/>
      <c r="W66" s="144"/>
      <c r="X66" s="144"/>
      <c r="Y66" s="143"/>
      <c r="Z66" s="143">
        <f t="shared" si="99"/>
        <v>0</v>
      </c>
      <c r="AA66" s="9">
        <f t="shared" si="100"/>
        <v>0.375</v>
      </c>
      <c r="AB66" s="9">
        <f t="shared" si="101"/>
        <v>0</v>
      </c>
      <c r="AC66" s="9">
        <f t="shared" si="102"/>
        <v>0</v>
      </c>
      <c r="AD66" s="9">
        <f t="shared" si="103"/>
        <v>0</v>
      </c>
      <c r="AE66" s="40" t="e">
        <f t="shared" ca="1" si="104"/>
        <v>#NUM!</v>
      </c>
      <c r="AF66" s="40" t="e">
        <f t="shared" ca="1" si="105"/>
        <v>#NUM!</v>
      </c>
      <c r="AG66" s="40" t="e">
        <f t="shared" ca="1" si="106"/>
        <v>#NUM!</v>
      </c>
      <c r="AH66" s="40" t="e">
        <f t="shared" ca="1" si="107"/>
        <v>#NUM!</v>
      </c>
      <c r="AI66" s="40" t="e">
        <f t="shared" ca="1" si="108"/>
        <v>#NUM!</v>
      </c>
      <c r="AJ66" s="40" t="e">
        <f t="shared" ca="1" si="109"/>
        <v>#NUM!</v>
      </c>
      <c r="AK66" s="203" t="e">
        <f t="shared" ca="1" si="110"/>
        <v>#NUM!</v>
      </c>
      <c r="AL66" s="40" t="e">
        <f t="shared" ca="1" si="111"/>
        <v>#NUM!</v>
      </c>
      <c r="AM66" s="40" t="e">
        <f t="shared" ca="1" si="112"/>
        <v>#NUM!</v>
      </c>
      <c r="AN66" s="40" t="e">
        <f t="shared" ca="1" si="113"/>
        <v>#NUM!</v>
      </c>
      <c r="AO66" s="40" t="e">
        <f t="shared" ca="1" si="114"/>
        <v>#NUM!</v>
      </c>
      <c r="AP66" s="40" t="e">
        <f t="shared" ca="1" si="115"/>
        <v>#NUM!</v>
      </c>
      <c r="AQ66" s="40" t="e">
        <f t="shared" ca="1" si="116"/>
        <v>#NUM!</v>
      </c>
      <c r="AR66" s="40" t="e">
        <f t="shared" ca="1" si="117"/>
        <v>#NUM!</v>
      </c>
      <c r="AS66" s="40" t="e">
        <f t="shared" ca="1" si="118"/>
        <v>#NUM!</v>
      </c>
    </row>
    <row r="67" spans="1:45" x14ac:dyDescent="0.25">
      <c r="A67" s="154"/>
      <c r="B67" s="73">
        <f t="shared" si="94"/>
        <v>-59090.909090909088</v>
      </c>
      <c r="E67" s="148">
        <v>42826</v>
      </c>
      <c r="G67" s="139">
        <v>33</v>
      </c>
      <c r="H67" s="139">
        <v>0</v>
      </c>
      <c r="I67" s="49">
        <f t="shared" si="95"/>
        <v>46522</v>
      </c>
      <c r="J67" s="76">
        <v>1950000</v>
      </c>
      <c r="K67" s="40">
        <f t="shared" si="96"/>
        <v>33</v>
      </c>
      <c r="L67" s="74">
        <f t="shared" si="97"/>
        <v>1950000</v>
      </c>
      <c r="M67" s="76"/>
      <c r="N67" s="76">
        <f t="shared" si="98"/>
        <v>0</v>
      </c>
      <c r="O67" s="142"/>
      <c r="P67" s="142"/>
      <c r="Q67" s="142"/>
      <c r="R67" s="144"/>
      <c r="S67" s="144"/>
      <c r="T67" s="144"/>
      <c r="U67" s="144"/>
      <c r="V67" s="144"/>
      <c r="W67" s="144"/>
      <c r="X67" s="144"/>
      <c r="Y67" s="143"/>
      <c r="Z67" s="143">
        <f t="shared" si="99"/>
        <v>0</v>
      </c>
      <c r="AA67" s="9">
        <f t="shared" si="100"/>
        <v>0.375</v>
      </c>
      <c r="AB67" s="9">
        <f t="shared" si="101"/>
        <v>0</v>
      </c>
      <c r="AC67" s="9">
        <f t="shared" si="102"/>
        <v>0</v>
      </c>
      <c r="AD67" s="9">
        <f t="shared" si="103"/>
        <v>0</v>
      </c>
      <c r="AE67" s="40" t="e">
        <f t="shared" ca="1" si="104"/>
        <v>#NUM!</v>
      </c>
      <c r="AF67" s="40" t="e">
        <f t="shared" ca="1" si="105"/>
        <v>#NUM!</v>
      </c>
      <c r="AG67" s="40" t="e">
        <f t="shared" ca="1" si="106"/>
        <v>#NUM!</v>
      </c>
      <c r="AH67" s="40" t="e">
        <f t="shared" ca="1" si="107"/>
        <v>#NUM!</v>
      </c>
      <c r="AI67" s="40" t="e">
        <f t="shared" ca="1" si="108"/>
        <v>#NUM!</v>
      </c>
      <c r="AJ67" s="40" t="e">
        <f t="shared" ca="1" si="109"/>
        <v>#NUM!</v>
      </c>
      <c r="AK67" s="203" t="e">
        <f t="shared" ca="1" si="110"/>
        <v>#NUM!</v>
      </c>
      <c r="AL67" s="40" t="e">
        <f t="shared" ca="1" si="111"/>
        <v>#NUM!</v>
      </c>
      <c r="AM67" s="40" t="e">
        <f t="shared" ca="1" si="112"/>
        <v>#NUM!</v>
      </c>
      <c r="AN67" s="40" t="e">
        <f t="shared" ca="1" si="113"/>
        <v>#NUM!</v>
      </c>
      <c r="AO67" s="40" t="e">
        <f t="shared" ca="1" si="114"/>
        <v>#NUM!</v>
      </c>
      <c r="AP67" s="40" t="e">
        <f t="shared" ca="1" si="115"/>
        <v>#NUM!</v>
      </c>
      <c r="AQ67" s="40" t="e">
        <f t="shared" ca="1" si="116"/>
        <v>#NUM!</v>
      </c>
      <c r="AR67" s="40" t="e">
        <f t="shared" ca="1" si="117"/>
        <v>#NUM!</v>
      </c>
      <c r="AS67" s="40" t="e">
        <f t="shared" ca="1" si="118"/>
        <v>#NUM!</v>
      </c>
    </row>
    <row r="68" spans="1:45" x14ac:dyDescent="0.25">
      <c r="A68" s="154"/>
      <c r="B68" s="73">
        <f t="shared" si="94"/>
        <v>-59090.909090909088</v>
      </c>
      <c r="E68" s="148">
        <v>42826</v>
      </c>
      <c r="G68" s="139">
        <v>33</v>
      </c>
      <c r="H68" s="139">
        <v>0</v>
      </c>
      <c r="I68" s="49">
        <f t="shared" si="95"/>
        <v>46522</v>
      </c>
      <c r="J68" s="76">
        <v>1950000</v>
      </c>
      <c r="K68" s="40">
        <f t="shared" si="96"/>
        <v>33</v>
      </c>
      <c r="L68" s="74">
        <f t="shared" si="97"/>
        <v>1950000</v>
      </c>
      <c r="M68" s="76"/>
      <c r="N68" s="76">
        <f t="shared" si="98"/>
        <v>0</v>
      </c>
      <c r="O68" s="142"/>
      <c r="P68" s="142"/>
      <c r="Q68" s="142"/>
      <c r="R68" s="144"/>
      <c r="S68" s="144"/>
      <c r="T68" s="144"/>
      <c r="U68" s="144"/>
      <c r="V68" s="144"/>
      <c r="W68" s="144"/>
      <c r="X68" s="144"/>
      <c r="Y68" s="143"/>
      <c r="Z68" s="143">
        <f t="shared" si="99"/>
        <v>0</v>
      </c>
      <c r="AA68" s="9">
        <f t="shared" si="100"/>
        <v>0.375</v>
      </c>
      <c r="AB68" s="9">
        <f t="shared" si="101"/>
        <v>0</v>
      </c>
      <c r="AC68" s="9">
        <f t="shared" si="102"/>
        <v>0</v>
      </c>
      <c r="AD68" s="9">
        <f t="shared" si="103"/>
        <v>0</v>
      </c>
      <c r="AE68" s="40" t="e">
        <f t="shared" ca="1" si="104"/>
        <v>#NUM!</v>
      </c>
      <c r="AF68" s="40" t="e">
        <f t="shared" ca="1" si="105"/>
        <v>#NUM!</v>
      </c>
      <c r="AG68" s="40" t="e">
        <f t="shared" ca="1" si="106"/>
        <v>#NUM!</v>
      </c>
      <c r="AH68" s="40" t="e">
        <f t="shared" ca="1" si="107"/>
        <v>#NUM!</v>
      </c>
      <c r="AI68" s="40" t="e">
        <f t="shared" ca="1" si="108"/>
        <v>#NUM!</v>
      </c>
      <c r="AJ68" s="40" t="e">
        <f t="shared" ca="1" si="109"/>
        <v>#NUM!</v>
      </c>
      <c r="AK68" s="203" t="e">
        <f t="shared" ca="1" si="110"/>
        <v>#NUM!</v>
      </c>
      <c r="AL68" s="40" t="e">
        <f t="shared" ca="1" si="111"/>
        <v>#NUM!</v>
      </c>
      <c r="AM68" s="40" t="e">
        <f t="shared" ca="1" si="112"/>
        <v>#NUM!</v>
      </c>
      <c r="AN68" s="40" t="e">
        <f t="shared" ca="1" si="113"/>
        <v>#NUM!</v>
      </c>
      <c r="AO68" s="40" t="e">
        <f t="shared" ca="1" si="114"/>
        <v>#NUM!</v>
      </c>
      <c r="AP68" s="40" t="e">
        <f t="shared" ca="1" si="115"/>
        <v>#NUM!</v>
      </c>
      <c r="AQ68" s="40" t="e">
        <f t="shared" ca="1" si="116"/>
        <v>#NUM!</v>
      </c>
      <c r="AR68" s="40" t="e">
        <f t="shared" ca="1" si="117"/>
        <v>#NUM!</v>
      </c>
      <c r="AS68" s="40" t="e">
        <f t="shared" ca="1" si="118"/>
        <v>#NUM!</v>
      </c>
    </row>
    <row r="69" spans="1:45" x14ac:dyDescent="0.25">
      <c r="A69" s="154"/>
      <c r="B69" s="73">
        <f t="shared" si="94"/>
        <v>-59090.909090909088</v>
      </c>
      <c r="E69" s="148">
        <v>42826</v>
      </c>
      <c r="G69" s="139">
        <v>33</v>
      </c>
      <c r="H69" s="139">
        <v>0</v>
      </c>
      <c r="I69" s="49">
        <f t="shared" si="95"/>
        <v>46522</v>
      </c>
      <c r="J69" s="76">
        <v>1950000</v>
      </c>
      <c r="K69" s="40">
        <f t="shared" si="96"/>
        <v>33</v>
      </c>
      <c r="L69" s="74">
        <f t="shared" si="97"/>
        <v>1950000</v>
      </c>
      <c r="M69" s="76"/>
      <c r="N69" s="76">
        <f t="shared" si="98"/>
        <v>0</v>
      </c>
      <c r="O69" s="142"/>
      <c r="P69" s="142"/>
      <c r="Q69" s="142"/>
      <c r="R69" s="144"/>
      <c r="S69" s="144"/>
      <c r="T69" s="144"/>
      <c r="U69" s="144"/>
      <c r="V69" s="144"/>
      <c r="W69" s="144"/>
      <c r="X69" s="144"/>
      <c r="Y69" s="143"/>
      <c r="Z69" s="143">
        <f t="shared" si="99"/>
        <v>0</v>
      </c>
      <c r="AA69" s="9">
        <f t="shared" si="100"/>
        <v>0.375</v>
      </c>
      <c r="AB69" s="9">
        <f t="shared" si="101"/>
        <v>0</v>
      </c>
      <c r="AC69" s="9">
        <f t="shared" si="102"/>
        <v>0</v>
      </c>
      <c r="AD69" s="9">
        <f t="shared" si="103"/>
        <v>0</v>
      </c>
      <c r="AE69" s="40" t="e">
        <f t="shared" ca="1" si="104"/>
        <v>#NUM!</v>
      </c>
      <c r="AF69" s="40" t="e">
        <f t="shared" ca="1" si="105"/>
        <v>#NUM!</v>
      </c>
      <c r="AG69" s="40" t="e">
        <f t="shared" ca="1" si="106"/>
        <v>#NUM!</v>
      </c>
      <c r="AH69" s="40" t="e">
        <f t="shared" ca="1" si="107"/>
        <v>#NUM!</v>
      </c>
      <c r="AI69" s="40" t="e">
        <f t="shared" ca="1" si="108"/>
        <v>#NUM!</v>
      </c>
      <c r="AJ69" s="40" t="e">
        <f t="shared" ca="1" si="109"/>
        <v>#NUM!</v>
      </c>
      <c r="AK69" s="203" t="e">
        <f t="shared" ca="1" si="110"/>
        <v>#NUM!</v>
      </c>
      <c r="AL69" s="40" t="e">
        <f t="shared" ca="1" si="111"/>
        <v>#NUM!</v>
      </c>
      <c r="AM69" s="40" t="e">
        <f t="shared" ca="1" si="112"/>
        <v>#NUM!</v>
      </c>
      <c r="AN69" s="40" t="e">
        <f t="shared" ca="1" si="113"/>
        <v>#NUM!</v>
      </c>
      <c r="AO69" s="40" t="e">
        <f t="shared" ca="1" si="114"/>
        <v>#NUM!</v>
      </c>
      <c r="AP69" s="40" t="e">
        <f t="shared" ca="1" si="115"/>
        <v>#NUM!</v>
      </c>
      <c r="AQ69" s="40" t="e">
        <f t="shared" ca="1" si="116"/>
        <v>#NUM!</v>
      </c>
      <c r="AR69" s="40" t="e">
        <f t="shared" ca="1" si="117"/>
        <v>#NUM!</v>
      </c>
      <c r="AS69" s="40" t="e">
        <f t="shared" ca="1" si="118"/>
        <v>#NUM!</v>
      </c>
    </row>
    <row r="70" spans="1:45" x14ac:dyDescent="0.25">
      <c r="A70" s="154"/>
      <c r="B70" s="73">
        <f t="shared" si="94"/>
        <v>-59090.909090909088</v>
      </c>
      <c r="E70" s="148">
        <v>42826</v>
      </c>
      <c r="G70" s="139">
        <v>33</v>
      </c>
      <c r="H70" s="139">
        <v>0</v>
      </c>
      <c r="I70" s="49">
        <f t="shared" si="95"/>
        <v>46522</v>
      </c>
      <c r="J70" s="76">
        <v>1950000</v>
      </c>
      <c r="K70" s="40">
        <f t="shared" si="96"/>
        <v>33</v>
      </c>
      <c r="L70" s="74">
        <f t="shared" si="97"/>
        <v>1950000</v>
      </c>
      <c r="M70" s="76"/>
      <c r="N70" s="76">
        <f t="shared" si="98"/>
        <v>0</v>
      </c>
      <c r="O70" s="142"/>
      <c r="P70" s="142"/>
      <c r="Q70" s="142"/>
      <c r="R70" s="144"/>
      <c r="S70" s="144"/>
      <c r="T70" s="144"/>
      <c r="U70" s="144"/>
      <c r="V70" s="144"/>
      <c r="W70" s="144"/>
      <c r="X70" s="144"/>
      <c r="Y70" s="143"/>
      <c r="Z70" s="143">
        <f t="shared" si="99"/>
        <v>0</v>
      </c>
      <c r="AA70" s="9">
        <f t="shared" si="100"/>
        <v>0.375</v>
      </c>
      <c r="AB70" s="9">
        <f t="shared" si="101"/>
        <v>0</v>
      </c>
      <c r="AC70" s="9">
        <f t="shared" si="102"/>
        <v>0</v>
      </c>
      <c r="AD70" s="9">
        <f t="shared" si="103"/>
        <v>0</v>
      </c>
      <c r="AE70" s="40" t="e">
        <f t="shared" ca="1" si="104"/>
        <v>#NUM!</v>
      </c>
      <c r="AF70" s="40" t="e">
        <f t="shared" ca="1" si="105"/>
        <v>#NUM!</v>
      </c>
      <c r="AG70" s="40" t="e">
        <f t="shared" ca="1" si="106"/>
        <v>#NUM!</v>
      </c>
      <c r="AH70" s="40" t="e">
        <f t="shared" ca="1" si="107"/>
        <v>#NUM!</v>
      </c>
      <c r="AI70" s="40" t="e">
        <f t="shared" ca="1" si="108"/>
        <v>#NUM!</v>
      </c>
      <c r="AJ70" s="40" t="e">
        <f t="shared" ca="1" si="109"/>
        <v>#NUM!</v>
      </c>
      <c r="AK70" s="203" t="e">
        <f t="shared" ca="1" si="110"/>
        <v>#NUM!</v>
      </c>
      <c r="AL70" s="40" t="e">
        <f t="shared" ca="1" si="111"/>
        <v>#NUM!</v>
      </c>
      <c r="AM70" s="40" t="e">
        <f t="shared" ca="1" si="112"/>
        <v>#NUM!</v>
      </c>
      <c r="AN70" s="40" t="e">
        <f t="shared" ca="1" si="113"/>
        <v>#NUM!</v>
      </c>
      <c r="AO70" s="40" t="e">
        <f t="shared" ca="1" si="114"/>
        <v>#NUM!</v>
      </c>
      <c r="AP70" s="40" t="e">
        <f t="shared" ca="1" si="115"/>
        <v>#NUM!</v>
      </c>
      <c r="AQ70" s="40" t="e">
        <f t="shared" ca="1" si="116"/>
        <v>#NUM!</v>
      </c>
      <c r="AR70" s="40" t="e">
        <f t="shared" ca="1" si="117"/>
        <v>#NUM!</v>
      </c>
      <c r="AS70" s="40" t="e">
        <f t="shared" ca="1" si="118"/>
        <v>#NUM!</v>
      </c>
    </row>
    <row r="71" spans="1:45" x14ac:dyDescent="0.25">
      <c r="A71" s="154"/>
      <c r="B71" s="73">
        <f t="shared" si="94"/>
        <v>-59090.909090909088</v>
      </c>
      <c r="E71" s="148">
        <v>42826</v>
      </c>
      <c r="G71" s="139">
        <v>33</v>
      </c>
      <c r="H71" s="139">
        <v>0</v>
      </c>
      <c r="I71" s="49">
        <f t="shared" si="95"/>
        <v>46522</v>
      </c>
      <c r="J71" s="76">
        <v>1950000</v>
      </c>
      <c r="K71" s="40">
        <f t="shared" si="96"/>
        <v>33</v>
      </c>
      <c r="L71" s="74">
        <f t="shared" si="97"/>
        <v>1950000</v>
      </c>
      <c r="M71" s="76"/>
      <c r="N71" s="76">
        <f t="shared" si="98"/>
        <v>0</v>
      </c>
      <c r="O71" s="142"/>
      <c r="P71" s="142"/>
      <c r="Q71" s="142"/>
      <c r="R71" s="144"/>
      <c r="S71" s="144"/>
      <c r="T71" s="144"/>
      <c r="U71" s="144"/>
      <c r="V71" s="144"/>
      <c r="W71" s="144"/>
      <c r="X71" s="144"/>
      <c r="Y71" s="143"/>
      <c r="Z71" s="143">
        <f t="shared" si="99"/>
        <v>0</v>
      </c>
      <c r="AA71" s="9">
        <f t="shared" si="100"/>
        <v>0.375</v>
      </c>
      <c r="AB71" s="9">
        <f t="shared" si="101"/>
        <v>0</v>
      </c>
      <c r="AC71" s="9">
        <f t="shared" si="102"/>
        <v>0</v>
      </c>
      <c r="AD71" s="9">
        <f t="shared" si="103"/>
        <v>0</v>
      </c>
      <c r="AE71" s="40" t="e">
        <f t="shared" ca="1" si="104"/>
        <v>#NUM!</v>
      </c>
      <c r="AF71" s="40" t="e">
        <f t="shared" ca="1" si="105"/>
        <v>#NUM!</v>
      </c>
      <c r="AG71" s="40" t="e">
        <f t="shared" ca="1" si="106"/>
        <v>#NUM!</v>
      </c>
      <c r="AH71" s="40" t="e">
        <f t="shared" ca="1" si="107"/>
        <v>#NUM!</v>
      </c>
      <c r="AI71" s="40" t="e">
        <f t="shared" ca="1" si="108"/>
        <v>#NUM!</v>
      </c>
      <c r="AJ71" s="40" t="e">
        <f t="shared" ca="1" si="109"/>
        <v>#NUM!</v>
      </c>
      <c r="AK71" s="203" t="e">
        <f t="shared" ca="1" si="110"/>
        <v>#NUM!</v>
      </c>
      <c r="AL71" s="40" t="e">
        <f t="shared" ca="1" si="111"/>
        <v>#NUM!</v>
      </c>
      <c r="AM71" s="40" t="e">
        <f t="shared" ca="1" si="112"/>
        <v>#NUM!</v>
      </c>
      <c r="AN71" s="40" t="e">
        <f t="shared" ca="1" si="113"/>
        <v>#NUM!</v>
      </c>
      <c r="AO71" s="40" t="e">
        <f t="shared" ca="1" si="114"/>
        <v>#NUM!</v>
      </c>
      <c r="AP71" s="40" t="e">
        <f t="shared" ca="1" si="115"/>
        <v>#NUM!</v>
      </c>
      <c r="AQ71" s="40" t="e">
        <f t="shared" ca="1" si="116"/>
        <v>#NUM!</v>
      </c>
      <c r="AR71" s="40" t="e">
        <f t="shared" ca="1" si="117"/>
        <v>#NUM!</v>
      </c>
      <c r="AS71" s="40" t="e">
        <f t="shared" ca="1" si="118"/>
        <v>#NUM!</v>
      </c>
    </row>
    <row r="72" spans="1:45" x14ac:dyDescent="0.25">
      <c r="A72" s="154"/>
      <c r="B72" s="73">
        <f t="shared" si="94"/>
        <v>-59090.909090909088</v>
      </c>
      <c r="E72" s="148">
        <v>42826</v>
      </c>
      <c r="G72" s="139">
        <v>33</v>
      </c>
      <c r="H72" s="139">
        <v>0</v>
      </c>
      <c r="I72" s="49">
        <f t="shared" si="95"/>
        <v>46522</v>
      </c>
      <c r="J72" s="76">
        <v>1950000</v>
      </c>
      <c r="K72" s="40">
        <f t="shared" si="96"/>
        <v>33</v>
      </c>
      <c r="L72" s="74">
        <f t="shared" si="97"/>
        <v>1950000</v>
      </c>
      <c r="M72" s="76"/>
      <c r="N72" s="76">
        <f t="shared" si="98"/>
        <v>0</v>
      </c>
      <c r="O72" s="142"/>
      <c r="P72" s="142"/>
      <c r="Q72" s="142"/>
      <c r="R72" s="144"/>
      <c r="S72" s="144"/>
      <c r="T72" s="144"/>
      <c r="U72" s="144"/>
      <c r="V72" s="144"/>
      <c r="W72" s="144"/>
      <c r="X72" s="144"/>
      <c r="Y72" s="143"/>
      <c r="Z72" s="143">
        <f t="shared" si="99"/>
        <v>0</v>
      </c>
      <c r="AA72" s="9">
        <f t="shared" si="100"/>
        <v>0.375</v>
      </c>
      <c r="AB72" s="9">
        <f t="shared" si="101"/>
        <v>0</v>
      </c>
      <c r="AC72" s="9">
        <f t="shared" si="102"/>
        <v>0</v>
      </c>
      <c r="AD72" s="9">
        <f t="shared" si="103"/>
        <v>0</v>
      </c>
      <c r="AE72" s="40" t="e">
        <f t="shared" ca="1" si="104"/>
        <v>#NUM!</v>
      </c>
      <c r="AF72" s="40" t="e">
        <f t="shared" ca="1" si="105"/>
        <v>#NUM!</v>
      </c>
      <c r="AG72" s="40" t="e">
        <f t="shared" ca="1" si="106"/>
        <v>#NUM!</v>
      </c>
      <c r="AH72" s="40" t="e">
        <f t="shared" ca="1" si="107"/>
        <v>#NUM!</v>
      </c>
      <c r="AI72" s="40" t="e">
        <f t="shared" ca="1" si="108"/>
        <v>#NUM!</v>
      </c>
      <c r="AJ72" s="40" t="e">
        <f t="shared" ca="1" si="109"/>
        <v>#NUM!</v>
      </c>
      <c r="AK72" s="203" t="e">
        <f t="shared" ca="1" si="110"/>
        <v>#NUM!</v>
      </c>
      <c r="AL72" s="40" t="e">
        <f t="shared" ca="1" si="111"/>
        <v>#NUM!</v>
      </c>
      <c r="AM72" s="40" t="e">
        <f t="shared" ca="1" si="112"/>
        <v>#NUM!</v>
      </c>
      <c r="AN72" s="40" t="e">
        <f t="shared" ca="1" si="113"/>
        <v>#NUM!</v>
      </c>
      <c r="AO72" s="40" t="e">
        <f t="shared" ca="1" si="114"/>
        <v>#NUM!</v>
      </c>
      <c r="AP72" s="40" t="e">
        <f t="shared" ca="1" si="115"/>
        <v>#NUM!</v>
      </c>
      <c r="AQ72" s="40" t="e">
        <f t="shared" ca="1" si="116"/>
        <v>#NUM!</v>
      </c>
      <c r="AR72" s="40" t="e">
        <f t="shared" ca="1" si="117"/>
        <v>#NUM!</v>
      </c>
      <c r="AS72" s="40" t="e">
        <f t="shared" ca="1" si="118"/>
        <v>#NUM!</v>
      </c>
    </row>
    <row r="73" spans="1:45" x14ac:dyDescent="0.25">
      <c r="A73" s="154"/>
      <c r="B73" s="73">
        <f t="shared" si="94"/>
        <v>-59090.909090909088</v>
      </c>
      <c r="E73" s="148">
        <v>42826</v>
      </c>
      <c r="G73" s="139">
        <v>33</v>
      </c>
      <c r="H73" s="139">
        <v>0</v>
      </c>
      <c r="I73" s="49">
        <f t="shared" si="95"/>
        <v>46522</v>
      </c>
      <c r="J73" s="76">
        <v>1950000</v>
      </c>
      <c r="K73" s="40">
        <f t="shared" si="96"/>
        <v>33</v>
      </c>
      <c r="L73" s="74">
        <f t="shared" si="97"/>
        <v>1950000</v>
      </c>
      <c r="M73" s="76"/>
      <c r="N73" s="76">
        <f t="shared" si="98"/>
        <v>0</v>
      </c>
      <c r="O73" s="142"/>
      <c r="P73" s="142"/>
      <c r="Q73" s="142"/>
      <c r="R73" s="144"/>
      <c r="S73" s="144"/>
      <c r="T73" s="144"/>
      <c r="U73" s="144"/>
      <c r="V73" s="144"/>
      <c r="W73" s="144"/>
      <c r="X73" s="144"/>
      <c r="Y73" s="143"/>
      <c r="Z73" s="143">
        <f t="shared" si="99"/>
        <v>0</v>
      </c>
      <c r="AA73" s="9">
        <f t="shared" si="100"/>
        <v>0.375</v>
      </c>
      <c r="AB73" s="9">
        <f t="shared" si="101"/>
        <v>0</v>
      </c>
      <c r="AC73" s="9">
        <f t="shared" si="102"/>
        <v>0</v>
      </c>
      <c r="AD73" s="9">
        <f t="shared" si="103"/>
        <v>0</v>
      </c>
      <c r="AE73" s="40" t="e">
        <f t="shared" ca="1" si="104"/>
        <v>#NUM!</v>
      </c>
      <c r="AF73" s="40" t="e">
        <f t="shared" ca="1" si="105"/>
        <v>#NUM!</v>
      </c>
      <c r="AG73" s="40" t="e">
        <f t="shared" ca="1" si="106"/>
        <v>#NUM!</v>
      </c>
      <c r="AH73" s="40" t="e">
        <f t="shared" ca="1" si="107"/>
        <v>#NUM!</v>
      </c>
      <c r="AI73" s="40" t="e">
        <f t="shared" ca="1" si="108"/>
        <v>#NUM!</v>
      </c>
      <c r="AJ73" s="40" t="e">
        <f t="shared" ca="1" si="109"/>
        <v>#NUM!</v>
      </c>
      <c r="AK73" s="203" t="e">
        <f t="shared" ca="1" si="110"/>
        <v>#NUM!</v>
      </c>
      <c r="AL73" s="40" t="e">
        <f t="shared" ca="1" si="111"/>
        <v>#NUM!</v>
      </c>
      <c r="AM73" s="40" t="e">
        <f t="shared" ca="1" si="112"/>
        <v>#NUM!</v>
      </c>
      <c r="AN73" s="40" t="e">
        <f t="shared" ca="1" si="113"/>
        <v>#NUM!</v>
      </c>
      <c r="AO73" s="40" t="e">
        <f t="shared" ca="1" si="114"/>
        <v>#NUM!</v>
      </c>
      <c r="AP73" s="40" t="e">
        <f t="shared" ca="1" si="115"/>
        <v>#NUM!</v>
      </c>
      <c r="AQ73" s="40" t="e">
        <f t="shared" ca="1" si="116"/>
        <v>#NUM!</v>
      </c>
      <c r="AR73" s="40" t="e">
        <f t="shared" ca="1" si="117"/>
        <v>#NUM!</v>
      </c>
      <c r="AS73" s="40" t="e">
        <f t="shared" ca="1" si="118"/>
        <v>#NUM!</v>
      </c>
    </row>
    <row r="74" spans="1:45" x14ac:dyDescent="0.25">
      <c r="A74" s="154"/>
      <c r="B74" s="73">
        <f t="shared" si="94"/>
        <v>-59090.909090909088</v>
      </c>
      <c r="E74" s="148">
        <v>42826</v>
      </c>
      <c r="G74" s="139">
        <v>33</v>
      </c>
      <c r="H74" s="139">
        <v>0</v>
      </c>
      <c r="I74" s="49">
        <f t="shared" si="95"/>
        <v>46522</v>
      </c>
      <c r="J74" s="76">
        <v>1950000</v>
      </c>
      <c r="K74" s="40">
        <f t="shared" si="96"/>
        <v>33</v>
      </c>
      <c r="L74" s="74">
        <f t="shared" si="97"/>
        <v>1950000</v>
      </c>
      <c r="M74" s="76"/>
      <c r="N74" s="76">
        <f t="shared" si="98"/>
        <v>0</v>
      </c>
      <c r="O74" s="142"/>
      <c r="P74" s="142"/>
      <c r="Q74" s="142"/>
      <c r="R74" s="144"/>
      <c r="S74" s="144"/>
      <c r="T74" s="144"/>
      <c r="U74" s="144"/>
      <c r="V74" s="144"/>
      <c r="W74" s="144"/>
      <c r="X74" s="144"/>
      <c r="Y74" s="143"/>
      <c r="Z74" s="143">
        <f t="shared" si="99"/>
        <v>0</v>
      </c>
      <c r="AA74" s="9">
        <f t="shared" si="100"/>
        <v>0.375</v>
      </c>
      <c r="AB74" s="9">
        <f t="shared" si="101"/>
        <v>0</v>
      </c>
      <c r="AC74" s="9">
        <f t="shared" si="102"/>
        <v>0</v>
      </c>
      <c r="AD74" s="9">
        <f t="shared" si="103"/>
        <v>0</v>
      </c>
      <c r="AE74" s="40" t="e">
        <f t="shared" ca="1" si="104"/>
        <v>#NUM!</v>
      </c>
      <c r="AF74" s="40" t="e">
        <f t="shared" ca="1" si="105"/>
        <v>#NUM!</v>
      </c>
      <c r="AG74" s="40" t="e">
        <f t="shared" ca="1" si="106"/>
        <v>#NUM!</v>
      </c>
      <c r="AH74" s="40" t="e">
        <f t="shared" ca="1" si="107"/>
        <v>#NUM!</v>
      </c>
      <c r="AI74" s="40" t="e">
        <f t="shared" ca="1" si="108"/>
        <v>#NUM!</v>
      </c>
      <c r="AJ74" s="40" t="e">
        <f t="shared" ca="1" si="109"/>
        <v>#NUM!</v>
      </c>
      <c r="AK74" s="203" t="e">
        <f t="shared" ca="1" si="110"/>
        <v>#NUM!</v>
      </c>
      <c r="AL74" s="40" t="e">
        <f t="shared" ca="1" si="111"/>
        <v>#NUM!</v>
      </c>
      <c r="AM74" s="40" t="e">
        <f t="shared" ca="1" si="112"/>
        <v>#NUM!</v>
      </c>
      <c r="AN74" s="40" t="e">
        <f t="shared" ca="1" si="113"/>
        <v>#NUM!</v>
      </c>
      <c r="AO74" s="40" t="e">
        <f t="shared" ca="1" si="114"/>
        <v>#NUM!</v>
      </c>
      <c r="AP74" s="40" t="e">
        <f t="shared" ca="1" si="115"/>
        <v>#NUM!</v>
      </c>
      <c r="AQ74" s="40" t="e">
        <f t="shared" ca="1" si="116"/>
        <v>#NUM!</v>
      </c>
      <c r="AR74" s="40" t="e">
        <f t="shared" ca="1" si="117"/>
        <v>#NUM!</v>
      </c>
      <c r="AS74" s="40" t="e">
        <f t="shared" ca="1" si="118"/>
        <v>#NUM!</v>
      </c>
    </row>
    <row r="75" spans="1:45" x14ac:dyDescent="0.25">
      <c r="A75" s="154"/>
      <c r="B75" s="73">
        <f t="shared" si="94"/>
        <v>-59090.909090909088</v>
      </c>
      <c r="E75" s="148">
        <v>42826</v>
      </c>
      <c r="G75" s="139">
        <v>33</v>
      </c>
      <c r="H75" s="139">
        <v>0</v>
      </c>
      <c r="I75" s="49">
        <f t="shared" si="95"/>
        <v>46522</v>
      </c>
      <c r="J75" s="76">
        <v>1950000</v>
      </c>
      <c r="K75" s="40">
        <f t="shared" si="96"/>
        <v>33</v>
      </c>
      <c r="L75" s="74">
        <f t="shared" si="97"/>
        <v>1950000</v>
      </c>
      <c r="M75" s="76"/>
      <c r="N75" s="76">
        <f t="shared" si="98"/>
        <v>0</v>
      </c>
      <c r="O75" s="142"/>
      <c r="P75" s="142"/>
      <c r="Q75" s="142"/>
      <c r="R75" s="144"/>
      <c r="S75" s="144"/>
      <c r="T75" s="144"/>
      <c r="U75" s="144"/>
      <c r="V75" s="144"/>
      <c r="W75" s="144"/>
      <c r="X75" s="144"/>
      <c r="Y75" s="143"/>
      <c r="Z75" s="143">
        <f t="shared" si="99"/>
        <v>0</v>
      </c>
      <c r="AA75" s="9">
        <f t="shared" si="100"/>
        <v>0.375</v>
      </c>
      <c r="AB75" s="9">
        <f t="shared" si="101"/>
        <v>0</v>
      </c>
      <c r="AC75" s="9">
        <f t="shared" si="102"/>
        <v>0</v>
      </c>
      <c r="AD75" s="9">
        <f t="shared" si="103"/>
        <v>0</v>
      </c>
      <c r="AE75" s="40" t="e">
        <f t="shared" ca="1" si="104"/>
        <v>#NUM!</v>
      </c>
      <c r="AF75" s="40" t="e">
        <f t="shared" ca="1" si="105"/>
        <v>#NUM!</v>
      </c>
      <c r="AG75" s="40" t="e">
        <f t="shared" ca="1" si="106"/>
        <v>#NUM!</v>
      </c>
      <c r="AH75" s="40" t="e">
        <f t="shared" ca="1" si="107"/>
        <v>#NUM!</v>
      </c>
      <c r="AI75" s="40" t="e">
        <f t="shared" ca="1" si="108"/>
        <v>#NUM!</v>
      </c>
      <c r="AJ75" s="40" t="e">
        <f t="shared" ca="1" si="109"/>
        <v>#NUM!</v>
      </c>
      <c r="AK75" s="203" t="e">
        <f t="shared" ca="1" si="110"/>
        <v>#NUM!</v>
      </c>
      <c r="AL75" s="40" t="e">
        <f t="shared" ca="1" si="111"/>
        <v>#NUM!</v>
      </c>
      <c r="AM75" s="40" t="e">
        <f t="shared" ca="1" si="112"/>
        <v>#NUM!</v>
      </c>
      <c r="AN75" s="40" t="e">
        <f t="shared" ca="1" si="113"/>
        <v>#NUM!</v>
      </c>
      <c r="AO75" s="40" t="e">
        <f t="shared" ca="1" si="114"/>
        <v>#NUM!</v>
      </c>
      <c r="AP75" s="40" t="e">
        <f t="shared" ca="1" si="115"/>
        <v>#NUM!</v>
      </c>
      <c r="AQ75" s="40" t="e">
        <f t="shared" ca="1" si="116"/>
        <v>#NUM!</v>
      </c>
      <c r="AR75" s="40" t="e">
        <f t="shared" ca="1" si="117"/>
        <v>#NUM!</v>
      </c>
      <c r="AS75" s="40" t="e">
        <f t="shared" ca="1" si="118"/>
        <v>#NUM!</v>
      </c>
    </row>
    <row r="76" spans="1:45" x14ac:dyDescent="0.25">
      <c r="A76" s="154"/>
      <c r="B76" s="73">
        <f t="shared" si="94"/>
        <v>-59090.909090909088</v>
      </c>
      <c r="E76" s="148">
        <v>42826</v>
      </c>
      <c r="G76" s="139">
        <v>33</v>
      </c>
      <c r="H76" s="139">
        <v>0</v>
      </c>
      <c r="I76" s="49">
        <f t="shared" si="95"/>
        <v>46522</v>
      </c>
      <c r="J76" s="76">
        <v>1950000</v>
      </c>
      <c r="K76" s="40">
        <f t="shared" si="96"/>
        <v>33</v>
      </c>
      <c r="L76" s="74">
        <f t="shared" si="97"/>
        <v>1950000</v>
      </c>
      <c r="M76" s="76"/>
      <c r="N76" s="76">
        <f t="shared" si="98"/>
        <v>0</v>
      </c>
      <c r="O76" s="142"/>
      <c r="P76" s="142"/>
      <c r="Q76" s="142"/>
      <c r="R76" s="144"/>
      <c r="S76" s="144"/>
      <c r="T76" s="144"/>
      <c r="U76" s="144"/>
      <c r="V76" s="144"/>
      <c r="W76" s="144"/>
      <c r="X76" s="144"/>
      <c r="Y76" s="143"/>
      <c r="Z76" s="143">
        <f t="shared" si="99"/>
        <v>0</v>
      </c>
      <c r="AA76" s="9">
        <f t="shared" si="100"/>
        <v>0.375</v>
      </c>
      <c r="AB76" s="9">
        <f t="shared" si="101"/>
        <v>0</v>
      </c>
      <c r="AC76" s="9">
        <f t="shared" si="102"/>
        <v>0</v>
      </c>
      <c r="AD76" s="9">
        <f t="shared" si="103"/>
        <v>0</v>
      </c>
      <c r="AE76" s="40" t="e">
        <f t="shared" ca="1" si="104"/>
        <v>#NUM!</v>
      </c>
      <c r="AF76" s="40" t="e">
        <f t="shared" ca="1" si="105"/>
        <v>#NUM!</v>
      </c>
      <c r="AG76" s="40" t="e">
        <f t="shared" ca="1" si="106"/>
        <v>#NUM!</v>
      </c>
      <c r="AH76" s="40" t="e">
        <f t="shared" ca="1" si="107"/>
        <v>#NUM!</v>
      </c>
      <c r="AI76" s="40" t="e">
        <f t="shared" ca="1" si="108"/>
        <v>#NUM!</v>
      </c>
      <c r="AJ76" s="40" t="e">
        <f t="shared" ca="1" si="109"/>
        <v>#NUM!</v>
      </c>
      <c r="AK76" s="203" t="e">
        <f t="shared" ca="1" si="110"/>
        <v>#NUM!</v>
      </c>
      <c r="AL76" s="40" t="e">
        <f t="shared" ca="1" si="111"/>
        <v>#NUM!</v>
      </c>
      <c r="AM76" s="40" t="e">
        <f t="shared" ca="1" si="112"/>
        <v>#NUM!</v>
      </c>
      <c r="AN76" s="40" t="e">
        <f t="shared" ca="1" si="113"/>
        <v>#NUM!</v>
      </c>
      <c r="AO76" s="40" t="e">
        <f t="shared" ca="1" si="114"/>
        <v>#NUM!</v>
      </c>
      <c r="AP76" s="40" t="e">
        <f t="shared" ca="1" si="115"/>
        <v>#NUM!</v>
      </c>
      <c r="AQ76" s="40" t="e">
        <f t="shared" ca="1" si="116"/>
        <v>#NUM!</v>
      </c>
      <c r="AR76" s="40" t="e">
        <f t="shared" ca="1" si="117"/>
        <v>#NUM!</v>
      </c>
      <c r="AS76" s="40" t="e">
        <f t="shared" ca="1" si="118"/>
        <v>#NUM!</v>
      </c>
    </row>
    <row r="77" spans="1:45" x14ac:dyDescent="0.25">
      <c r="A77" s="154"/>
      <c r="B77" s="73">
        <f t="shared" si="94"/>
        <v>-59090.909090909088</v>
      </c>
      <c r="E77" s="148">
        <v>42826</v>
      </c>
      <c r="G77" s="139">
        <v>33</v>
      </c>
      <c r="H77" s="139">
        <v>0</v>
      </c>
      <c r="I77" s="49">
        <f t="shared" si="95"/>
        <v>46522</v>
      </c>
      <c r="J77" s="76">
        <v>1950000</v>
      </c>
      <c r="K77" s="40">
        <f t="shared" si="96"/>
        <v>33</v>
      </c>
      <c r="L77" s="74">
        <f t="shared" si="97"/>
        <v>1950000</v>
      </c>
      <c r="M77" s="76"/>
      <c r="N77" s="76">
        <f t="shared" si="98"/>
        <v>0</v>
      </c>
      <c r="O77" s="142"/>
      <c r="P77" s="142"/>
      <c r="Q77" s="142"/>
      <c r="R77" s="144"/>
      <c r="S77" s="144"/>
      <c r="T77" s="144"/>
      <c r="U77" s="144"/>
      <c r="V77" s="144"/>
      <c r="W77" s="144"/>
      <c r="X77" s="144"/>
      <c r="Y77" s="143"/>
      <c r="Z77" s="143">
        <f t="shared" si="99"/>
        <v>0</v>
      </c>
      <c r="AA77" s="9">
        <f t="shared" si="100"/>
        <v>0.375</v>
      </c>
      <c r="AB77" s="9">
        <f t="shared" si="101"/>
        <v>0</v>
      </c>
      <c r="AC77" s="9">
        <f t="shared" si="102"/>
        <v>0</v>
      </c>
      <c r="AD77" s="9">
        <f t="shared" si="103"/>
        <v>0</v>
      </c>
      <c r="AE77" s="40" t="e">
        <f t="shared" ca="1" si="104"/>
        <v>#NUM!</v>
      </c>
      <c r="AF77" s="40" t="e">
        <f t="shared" ca="1" si="105"/>
        <v>#NUM!</v>
      </c>
      <c r="AG77" s="40" t="e">
        <f t="shared" ca="1" si="106"/>
        <v>#NUM!</v>
      </c>
      <c r="AH77" s="40" t="e">
        <f t="shared" ca="1" si="107"/>
        <v>#NUM!</v>
      </c>
      <c r="AI77" s="40" t="e">
        <f t="shared" ca="1" si="108"/>
        <v>#NUM!</v>
      </c>
      <c r="AJ77" s="40" t="e">
        <f t="shared" ca="1" si="109"/>
        <v>#NUM!</v>
      </c>
      <c r="AK77" s="203" t="e">
        <f t="shared" ca="1" si="110"/>
        <v>#NUM!</v>
      </c>
      <c r="AL77" s="40" t="e">
        <f t="shared" ca="1" si="111"/>
        <v>#NUM!</v>
      </c>
      <c r="AM77" s="40" t="e">
        <f t="shared" ca="1" si="112"/>
        <v>#NUM!</v>
      </c>
      <c r="AN77" s="40" t="e">
        <f t="shared" ca="1" si="113"/>
        <v>#NUM!</v>
      </c>
      <c r="AO77" s="40" t="e">
        <f t="shared" ca="1" si="114"/>
        <v>#NUM!</v>
      </c>
      <c r="AP77" s="40" t="e">
        <f t="shared" ca="1" si="115"/>
        <v>#NUM!</v>
      </c>
      <c r="AQ77" s="40" t="e">
        <f t="shared" ca="1" si="116"/>
        <v>#NUM!</v>
      </c>
      <c r="AR77" s="40" t="e">
        <f t="shared" ca="1" si="117"/>
        <v>#NUM!</v>
      </c>
      <c r="AS77" s="40" t="e">
        <f t="shared" ca="1" si="118"/>
        <v>#NUM!</v>
      </c>
    </row>
    <row r="78" spans="1:45" x14ac:dyDescent="0.25">
      <c r="A78" s="154"/>
      <c r="B78" s="73">
        <f t="shared" si="94"/>
        <v>-59090.909090909088</v>
      </c>
      <c r="E78" s="148">
        <v>42826</v>
      </c>
      <c r="G78" s="139">
        <v>33</v>
      </c>
      <c r="H78" s="139">
        <v>0</v>
      </c>
      <c r="I78" s="49">
        <f t="shared" si="95"/>
        <v>46522</v>
      </c>
      <c r="J78" s="76">
        <v>1950000</v>
      </c>
      <c r="K78" s="40">
        <f t="shared" si="96"/>
        <v>33</v>
      </c>
      <c r="L78" s="74">
        <f t="shared" si="97"/>
        <v>1950000</v>
      </c>
      <c r="M78" s="76"/>
      <c r="N78" s="76">
        <f t="shared" si="98"/>
        <v>0</v>
      </c>
      <c r="O78" s="142"/>
      <c r="P78" s="142"/>
      <c r="Q78" s="142"/>
      <c r="R78" s="144"/>
      <c r="S78" s="144"/>
      <c r="T78" s="144"/>
      <c r="U78" s="144"/>
      <c r="V78" s="144"/>
      <c r="W78" s="144"/>
      <c r="X78" s="144"/>
      <c r="Y78" s="143"/>
      <c r="Z78" s="143">
        <f t="shared" si="99"/>
        <v>0</v>
      </c>
      <c r="AA78" s="9">
        <f t="shared" si="100"/>
        <v>0.375</v>
      </c>
      <c r="AB78" s="9">
        <f t="shared" si="101"/>
        <v>0</v>
      </c>
      <c r="AC78" s="9">
        <f t="shared" si="102"/>
        <v>0</v>
      </c>
      <c r="AD78" s="9">
        <f t="shared" si="103"/>
        <v>0</v>
      </c>
      <c r="AE78" s="40" t="e">
        <f t="shared" ca="1" si="104"/>
        <v>#NUM!</v>
      </c>
      <c r="AF78" s="40" t="e">
        <f t="shared" ca="1" si="105"/>
        <v>#NUM!</v>
      </c>
      <c r="AG78" s="40" t="e">
        <f t="shared" ca="1" si="106"/>
        <v>#NUM!</v>
      </c>
      <c r="AH78" s="40" t="e">
        <f t="shared" ca="1" si="107"/>
        <v>#NUM!</v>
      </c>
      <c r="AI78" s="40" t="e">
        <f t="shared" ca="1" si="108"/>
        <v>#NUM!</v>
      </c>
      <c r="AJ78" s="40" t="e">
        <f t="shared" ca="1" si="109"/>
        <v>#NUM!</v>
      </c>
      <c r="AK78" s="203" t="e">
        <f t="shared" ca="1" si="110"/>
        <v>#NUM!</v>
      </c>
      <c r="AL78" s="40" t="e">
        <f t="shared" ca="1" si="111"/>
        <v>#NUM!</v>
      </c>
      <c r="AM78" s="40" t="e">
        <f t="shared" ca="1" si="112"/>
        <v>#NUM!</v>
      </c>
      <c r="AN78" s="40" t="e">
        <f t="shared" ca="1" si="113"/>
        <v>#NUM!</v>
      </c>
      <c r="AO78" s="40" t="e">
        <f t="shared" ca="1" si="114"/>
        <v>#NUM!</v>
      </c>
      <c r="AP78" s="40" t="e">
        <f t="shared" ca="1" si="115"/>
        <v>#NUM!</v>
      </c>
      <c r="AQ78" s="40" t="e">
        <f t="shared" ca="1" si="116"/>
        <v>#NUM!</v>
      </c>
      <c r="AR78" s="40" t="e">
        <f t="shared" ca="1" si="117"/>
        <v>#NUM!</v>
      </c>
      <c r="AS78" s="40" t="e">
        <f t="shared" ca="1" si="118"/>
        <v>#NUM!</v>
      </c>
    </row>
    <row r="79" spans="1:45" x14ac:dyDescent="0.25">
      <c r="A79" s="154"/>
      <c r="B79" s="73">
        <f t="shared" si="94"/>
        <v>-59090.909090909088</v>
      </c>
      <c r="E79" s="148">
        <v>42826</v>
      </c>
      <c r="G79" s="139">
        <v>33</v>
      </c>
      <c r="H79" s="139">
        <v>0</v>
      </c>
      <c r="I79" s="49">
        <f t="shared" si="95"/>
        <v>46522</v>
      </c>
      <c r="J79" s="76">
        <v>1950000</v>
      </c>
      <c r="K79" s="40">
        <f t="shared" si="96"/>
        <v>33</v>
      </c>
      <c r="L79" s="74">
        <f t="shared" si="97"/>
        <v>1950000</v>
      </c>
      <c r="M79" s="76"/>
      <c r="N79" s="76">
        <f t="shared" si="98"/>
        <v>0</v>
      </c>
      <c r="O79" s="142"/>
      <c r="P79" s="142"/>
      <c r="Q79" s="142"/>
      <c r="R79" s="144"/>
      <c r="S79" s="144"/>
      <c r="T79" s="144"/>
      <c r="U79" s="144"/>
      <c r="V79" s="144"/>
      <c r="W79" s="144"/>
      <c r="X79" s="144"/>
      <c r="Y79" s="143"/>
      <c r="Z79" s="143">
        <f t="shared" si="99"/>
        <v>0</v>
      </c>
      <c r="AA79" s="9">
        <f t="shared" si="100"/>
        <v>0.375</v>
      </c>
      <c r="AB79" s="9">
        <f t="shared" si="101"/>
        <v>0</v>
      </c>
      <c r="AC79" s="9">
        <f t="shared" si="102"/>
        <v>0</v>
      </c>
      <c r="AD79" s="9">
        <f t="shared" si="103"/>
        <v>0</v>
      </c>
      <c r="AE79" s="40" t="e">
        <f t="shared" ca="1" si="104"/>
        <v>#NUM!</v>
      </c>
      <c r="AF79" s="40" t="e">
        <f t="shared" ca="1" si="105"/>
        <v>#NUM!</v>
      </c>
      <c r="AG79" s="40" t="e">
        <f t="shared" ca="1" si="106"/>
        <v>#NUM!</v>
      </c>
      <c r="AH79" s="40" t="e">
        <f t="shared" ca="1" si="107"/>
        <v>#NUM!</v>
      </c>
      <c r="AI79" s="40" t="e">
        <f t="shared" ca="1" si="108"/>
        <v>#NUM!</v>
      </c>
      <c r="AJ79" s="40" t="e">
        <f t="shared" ca="1" si="109"/>
        <v>#NUM!</v>
      </c>
      <c r="AK79" s="203" t="e">
        <f t="shared" ca="1" si="110"/>
        <v>#NUM!</v>
      </c>
      <c r="AL79" s="40" t="e">
        <f t="shared" ca="1" si="111"/>
        <v>#NUM!</v>
      </c>
      <c r="AM79" s="40" t="e">
        <f t="shared" ca="1" si="112"/>
        <v>#NUM!</v>
      </c>
      <c r="AN79" s="40" t="e">
        <f t="shared" ca="1" si="113"/>
        <v>#NUM!</v>
      </c>
      <c r="AO79" s="40" t="e">
        <f t="shared" ca="1" si="114"/>
        <v>#NUM!</v>
      </c>
      <c r="AP79" s="40" t="e">
        <f t="shared" ca="1" si="115"/>
        <v>#NUM!</v>
      </c>
      <c r="AQ79" s="40" t="e">
        <f t="shared" ca="1" si="116"/>
        <v>#NUM!</v>
      </c>
      <c r="AR79" s="40" t="e">
        <f t="shared" ca="1" si="117"/>
        <v>#NUM!</v>
      </c>
      <c r="AS79" s="40" t="e">
        <f t="shared" ca="1" si="118"/>
        <v>#NUM!</v>
      </c>
    </row>
    <row r="80" spans="1:45" x14ac:dyDescent="0.25">
      <c r="A80" s="154"/>
      <c r="B80" s="73">
        <f t="shared" si="94"/>
        <v>-59090.909090909088</v>
      </c>
      <c r="E80" s="148">
        <v>42826</v>
      </c>
      <c r="G80" s="139">
        <v>33</v>
      </c>
      <c r="H80" s="139">
        <v>0</v>
      </c>
      <c r="I80" s="49">
        <f t="shared" si="95"/>
        <v>46522</v>
      </c>
      <c r="J80" s="76">
        <v>1950000</v>
      </c>
      <c r="K80" s="40">
        <f t="shared" si="96"/>
        <v>33</v>
      </c>
      <c r="L80" s="74">
        <f t="shared" si="97"/>
        <v>1950000</v>
      </c>
      <c r="M80" s="76"/>
      <c r="N80" s="76">
        <f t="shared" si="98"/>
        <v>0</v>
      </c>
      <c r="O80" s="142"/>
      <c r="P80" s="142"/>
      <c r="Q80" s="142"/>
      <c r="R80" s="144"/>
      <c r="S80" s="144"/>
      <c r="T80" s="144"/>
      <c r="U80" s="144"/>
      <c r="V80" s="144"/>
      <c r="W80" s="144"/>
      <c r="X80" s="144"/>
      <c r="Y80" s="143"/>
      <c r="Z80" s="143">
        <f t="shared" si="99"/>
        <v>0</v>
      </c>
      <c r="AA80" s="9">
        <f t="shared" si="100"/>
        <v>0.375</v>
      </c>
      <c r="AB80" s="9">
        <f t="shared" si="101"/>
        <v>0</v>
      </c>
      <c r="AC80" s="9">
        <f t="shared" si="102"/>
        <v>0</v>
      </c>
      <c r="AD80" s="9">
        <f t="shared" si="103"/>
        <v>0</v>
      </c>
      <c r="AE80" s="40" t="e">
        <f t="shared" ca="1" si="104"/>
        <v>#NUM!</v>
      </c>
      <c r="AF80" s="40" t="e">
        <f t="shared" ca="1" si="105"/>
        <v>#NUM!</v>
      </c>
      <c r="AG80" s="40" t="e">
        <f t="shared" ca="1" si="106"/>
        <v>#NUM!</v>
      </c>
      <c r="AH80" s="40" t="e">
        <f t="shared" ca="1" si="107"/>
        <v>#NUM!</v>
      </c>
      <c r="AI80" s="40" t="e">
        <f t="shared" ca="1" si="108"/>
        <v>#NUM!</v>
      </c>
      <c r="AJ80" s="40" t="e">
        <f t="shared" ca="1" si="109"/>
        <v>#NUM!</v>
      </c>
      <c r="AK80" s="203" t="e">
        <f t="shared" ca="1" si="110"/>
        <v>#NUM!</v>
      </c>
      <c r="AL80" s="40" t="e">
        <f t="shared" ca="1" si="111"/>
        <v>#NUM!</v>
      </c>
      <c r="AM80" s="40" t="e">
        <f t="shared" ca="1" si="112"/>
        <v>#NUM!</v>
      </c>
      <c r="AN80" s="40" t="e">
        <f t="shared" ca="1" si="113"/>
        <v>#NUM!</v>
      </c>
      <c r="AO80" s="40" t="e">
        <f t="shared" ca="1" si="114"/>
        <v>#NUM!</v>
      </c>
      <c r="AP80" s="40" t="e">
        <f t="shared" ca="1" si="115"/>
        <v>#NUM!</v>
      </c>
      <c r="AQ80" s="40" t="e">
        <f t="shared" ca="1" si="116"/>
        <v>#NUM!</v>
      </c>
      <c r="AR80" s="40" t="e">
        <f t="shared" ca="1" si="117"/>
        <v>#NUM!</v>
      </c>
      <c r="AS80" s="40" t="e">
        <f t="shared" ca="1" si="118"/>
        <v>#NUM!</v>
      </c>
    </row>
    <row r="81" spans="1:45" x14ac:dyDescent="0.25">
      <c r="A81" s="154"/>
      <c r="B81" s="73">
        <f t="shared" si="94"/>
        <v>-59090.909090909088</v>
      </c>
      <c r="E81" s="148">
        <v>42826</v>
      </c>
      <c r="G81" s="139">
        <v>33</v>
      </c>
      <c r="H81" s="139">
        <v>0</v>
      </c>
      <c r="I81" s="49">
        <f t="shared" si="95"/>
        <v>46522</v>
      </c>
      <c r="J81" s="76">
        <v>1950000</v>
      </c>
      <c r="K81" s="40">
        <f t="shared" si="96"/>
        <v>33</v>
      </c>
      <c r="L81" s="74">
        <f t="shared" si="97"/>
        <v>1950000</v>
      </c>
      <c r="M81" s="76"/>
      <c r="N81" s="76">
        <f t="shared" si="98"/>
        <v>0</v>
      </c>
      <c r="O81" s="142"/>
      <c r="P81" s="142"/>
      <c r="Q81" s="142"/>
      <c r="R81" s="144"/>
      <c r="S81" s="144"/>
      <c r="T81" s="144"/>
      <c r="U81" s="144"/>
      <c r="V81" s="144"/>
      <c r="W81" s="144"/>
      <c r="X81" s="144"/>
      <c r="Y81" s="143"/>
      <c r="Z81" s="143">
        <f t="shared" si="99"/>
        <v>0</v>
      </c>
      <c r="AA81" s="9">
        <f t="shared" si="100"/>
        <v>0.375</v>
      </c>
      <c r="AB81" s="9">
        <f t="shared" si="101"/>
        <v>0</v>
      </c>
      <c r="AC81" s="9">
        <f t="shared" si="102"/>
        <v>0</v>
      </c>
      <c r="AD81" s="9">
        <f t="shared" si="103"/>
        <v>0</v>
      </c>
      <c r="AE81" s="40" t="e">
        <f t="shared" ca="1" si="104"/>
        <v>#NUM!</v>
      </c>
      <c r="AF81" s="40" t="e">
        <f t="shared" ca="1" si="105"/>
        <v>#NUM!</v>
      </c>
      <c r="AG81" s="40" t="e">
        <f t="shared" ca="1" si="106"/>
        <v>#NUM!</v>
      </c>
      <c r="AH81" s="40" t="e">
        <f t="shared" ca="1" si="107"/>
        <v>#NUM!</v>
      </c>
      <c r="AI81" s="40" t="e">
        <f t="shared" ca="1" si="108"/>
        <v>#NUM!</v>
      </c>
      <c r="AJ81" s="40" t="e">
        <f t="shared" ca="1" si="109"/>
        <v>#NUM!</v>
      </c>
      <c r="AK81" s="203" t="e">
        <f t="shared" ca="1" si="110"/>
        <v>#NUM!</v>
      </c>
      <c r="AL81" s="40" t="e">
        <f t="shared" ca="1" si="111"/>
        <v>#NUM!</v>
      </c>
      <c r="AM81" s="40" t="e">
        <f t="shared" ca="1" si="112"/>
        <v>#NUM!</v>
      </c>
      <c r="AN81" s="40" t="e">
        <f t="shared" ca="1" si="113"/>
        <v>#NUM!</v>
      </c>
      <c r="AO81" s="40" t="e">
        <f t="shared" ca="1" si="114"/>
        <v>#NUM!</v>
      </c>
      <c r="AP81" s="40" t="e">
        <f t="shared" ca="1" si="115"/>
        <v>#NUM!</v>
      </c>
      <c r="AQ81" s="40" t="e">
        <f t="shared" ca="1" si="116"/>
        <v>#NUM!</v>
      </c>
      <c r="AR81" s="40" t="e">
        <f t="shared" ca="1" si="117"/>
        <v>#NUM!</v>
      </c>
      <c r="AS81" s="40" t="e">
        <f t="shared" ca="1" si="118"/>
        <v>#NUM!</v>
      </c>
    </row>
    <row r="82" spans="1:45" x14ac:dyDescent="0.25">
      <c r="A82" s="154"/>
      <c r="B82" s="73">
        <f t="shared" si="94"/>
        <v>-59090.909090909088</v>
      </c>
      <c r="E82" s="148">
        <v>42826</v>
      </c>
      <c r="G82" s="139">
        <v>33</v>
      </c>
      <c r="H82" s="139">
        <v>0</v>
      </c>
      <c r="I82" s="49">
        <f t="shared" si="95"/>
        <v>46522</v>
      </c>
      <c r="J82" s="76">
        <v>1950000</v>
      </c>
      <c r="K82" s="40">
        <f t="shared" si="96"/>
        <v>33</v>
      </c>
      <c r="L82" s="74">
        <f t="shared" si="97"/>
        <v>1950000</v>
      </c>
      <c r="M82" s="76"/>
      <c r="N82" s="76">
        <f t="shared" si="98"/>
        <v>0</v>
      </c>
      <c r="O82" s="142"/>
      <c r="P82" s="142"/>
      <c r="Q82" s="142"/>
      <c r="R82" s="144"/>
      <c r="S82" s="144"/>
      <c r="T82" s="144"/>
      <c r="U82" s="144"/>
      <c r="V82" s="144"/>
      <c r="W82" s="144"/>
      <c r="X82" s="144"/>
      <c r="Y82" s="143"/>
      <c r="Z82" s="143">
        <f t="shared" si="99"/>
        <v>0</v>
      </c>
      <c r="AA82" s="9">
        <f t="shared" si="100"/>
        <v>0.375</v>
      </c>
      <c r="AB82" s="9">
        <f t="shared" si="101"/>
        <v>0</v>
      </c>
      <c r="AC82" s="9">
        <f t="shared" si="102"/>
        <v>0</v>
      </c>
      <c r="AD82" s="9">
        <f t="shared" si="103"/>
        <v>0</v>
      </c>
      <c r="AE82" s="40" t="e">
        <f t="shared" ca="1" si="104"/>
        <v>#NUM!</v>
      </c>
      <c r="AF82" s="40" t="e">
        <f t="shared" ca="1" si="105"/>
        <v>#NUM!</v>
      </c>
      <c r="AG82" s="40" t="e">
        <f t="shared" ca="1" si="106"/>
        <v>#NUM!</v>
      </c>
      <c r="AH82" s="40" t="e">
        <f t="shared" ca="1" si="107"/>
        <v>#NUM!</v>
      </c>
      <c r="AI82" s="40" t="e">
        <f t="shared" ca="1" si="108"/>
        <v>#NUM!</v>
      </c>
      <c r="AJ82" s="40" t="e">
        <f t="shared" ca="1" si="109"/>
        <v>#NUM!</v>
      </c>
      <c r="AK82" s="203" t="e">
        <f t="shared" ca="1" si="110"/>
        <v>#NUM!</v>
      </c>
      <c r="AL82" s="40" t="e">
        <f t="shared" ca="1" si="111"/>
        <v>#NUM!</v>
      </c>
      <c r="AM82" s="40" t="e">
        <f t="shared" ca="1" si="112"/>
        <v>#NUM!</v>
      </c>
      <c r="AN82" s="40" t="e">
        <f t="shared" ca="1" si="113"/>
        <v>#NUM!</v>
      </c>
      <c r="AO82" s="40" t="e">
        <f t="shared" ca="1" si="114"/>
        <v>#NUM!</v>
      </c>
      <c r="AP82" s="40" t="e">
        <f t="shared" ca="1" si="115"/>
        <v>#NUM!</v>
      </c>
      <c r="AQ82" s="40" t="e">
        <f t="shared" ca="1" si="116"/>
        <v>#NUM!</v>
      </c>
      <c r="AR82" s="40" t="e">
        <f t="shared" ca="1" si="117"/>
        <v>#NUM!</v>
      </c>
      <c r="AS82" s="40" t="e">
        <f t="shared" ca="1" si="118"/>
        <v>#NUM!</v>
      </c>
    </row>
    <row r="83" spans="1:45" x14ac:dyDescent="0.25">
      <c r="A83" s="154"/>
      <c r="B83" s="73">
        <f t="shared" si="94"/>
        <v>-59090.909090909088</v>
      </c>
      <c r="E83" s="148">
        <v>42826</v>
      </c>
      <c r="G83" s="139">
        <v>33</v>
      </c>
      <c r="H83" s="139">
        <v>0</v>
      </c>
      <c r="I83" s="49">
        <f t="shared" si="95"/>
        <v>46522</v>
      </c>
      <c r="J83" s="76">
        <v>1950000</v>
      </c>
      <c r="K83" s="40">
        <f t="shared" si="96"/>
        <v>33</v>
      </c>
      <c r="L83" s="74">
        <f t="shared" si="97"/>
        <v>1950000</v>
      </c>
      <c r="M83" s="76"/>
      <c r="N83" s="76">
        <f t="shared" si="98"/>
        <v>0</v>
      </c>
      <c r="O83" s="142"/>
      <c r="P83" s="142"/>
      <c r="Q83" s="142"/>
      <c r="R83" s="144"/>
      <c r="S83" s="144"/>
      <c r="T83" s="144"/>
      <c r="U83" s="144"/>
      <c r="V83" s="144"/>
      <c r="W83" s="144"/>
      <c r="X83" s="144"/>
      <c r="Y83" s="143"/>
      <c r="Z83" s="143">
        <f t="shared" si="99"/>
        <v>0</v>
      </c>
      <c r="AA83" s="9">
        <f t="shared" si="100"/>
        <v>0.375</v>
      </c>
      <c r="AB83" s="9">
        <f t="shared" si="101"/>
        <v>0</v>
      </c>
      <c r="AC83" s="9">
        <f t="shared" si="102"/>
        <v>0</v>
      </c>
      <c r="AD83" s="9">
        <f t="shared" si="103"/>
        <v>0</v>
      </c>
      <c r="AE83" s="40" t="e">
        <f t="shared" ca="1" si="104"/>
        <v>#NUM!</v>
      </c>
      <c r="AF83" s="40" t="e">
        <f t="shared" ca="1" si="105"/>
        <v>#NUM!</v>
      </c>
      <c r="AG83" s="40" t="e">
        <f t="shared" ca="1" si="106"/>
        <v>#NUM!</v>
      </c>
      <c r="AH83" s="40" t="e">
        <f t="shared" ca="1" si="107"/>
        <v>#NUM!</v>
      </c>
      <c r="AI83" s="40" t="e">
        <f t="shared" ca="1" si="108"/>
        <v>#NUM!</v>
      </c>
      <c r="AJ83" s="40" t="e">
        <f t="shared" ca="1" si="109"/>
        <v>#NUM!</v>
      </c>
      <c r="AK83" s="203" t="e">
        <f t="shared" ca="1" si="110"/>
        <v>#NUM!</v>
      </c>
      <c r="AL83" s="40" t="e">
        <f t="shared" ca="1" si="111"/>
        <v>#NUM!</v>
      </c>
      <c r="AM83" s="40" t="e">
        <f t="shared" ca="1" si="112"/>
        <v>#NUM!</v>
      </c>
      <c r="AN83" s="40" t="e">
        <f t="shared" ca="1" si="113"/>
        <v>#NUM!</v>
      </c>
      <c r="AO83" s="40" t="e">
        <f t="shared" ca="1" si="114"/>
        <v>#NUM!</v>
      </c>
      <c r="AP83" s="40" t="e">
        <f t="shared" ca="1" si="115"/>
        <v>#NUM!</v>
      </c>
      <c r="AQ83" s="40" t="e">
        <f t="shared" ca="1" si="116"/>
        <v>#NUM!</v>
      </c>
      <c r="AR83" s="40" t="e">
        <f t="shared" ca="1" si="117"/>
        <v>#NUM!</v>
      </c>
      <c r="AS83" s="40" t="e">
        <f t="shared" ca="1" si="118"/>
        <v>#NUM!</v>
      </c>
    </row>
    <row r="84" spans="1:45" x14ac:dyDescent="0.25">
      <c r="A84" s="154"/>
      <c r="B84" s="73">
        <f t="shared" si="94"/>
        <v>-59090.909090909088</v>
      </c>
      <c r="E84" s="148">
        <v>42826</v>
      </c>
      <c r="G84" s="139">
        <v>33</v>
      </c>
      <c r="H84" s="139">
        <v>0</v>
      </c>
      <c r="I84" s="49">
        <f t="shared" si="95"/>
        <v>46522</v>
      </c>
      <c r="J84" s="76">
        <v>1950000</v>
      </c>
      <c r="K84" s="40">
        <f t="shared" si="96"/>
        <v>33</v>
      </c>
      <c r="L84" s="74">
        <f t="shared" si="97"/>
        <v>1950000</v>
      </c>
      <c r="M84" s="76"/>
      <c r="N84" s="76">
        <f t="shared" si="98"/>
        <v>0</v>
      </c>
      <c r="O84" s="142"/>
      <c r="P84" s="142"/>
      <c r="Q84" s="142"/>
      <c r="R84" s="144"/>
      <c r="S84" s="144"/>
      <c r="T84" s="144"/>
      <c r="U84" s="144"/>
      <c r="V84" s="144"/>
      <c r="W84" s="144"/>
      <c r="X84" s="144"/>
      <c r="Y84" s="143"/>
      <c r="Z84" s="143">
        <f t="shared" si="99"/>
        <v>0</v>
      </c>
      <c r="AA84" s="9">
        <f t="shared" si="100"/>
        <v>0.375</v>
      </c>
      <c r="AB84" s="9">
        <f t="shared" si="101"/>
        <v>0</v>
      </c>
      <c r="AC84" s="9">
        <f t="shared" si="102"/>
        <v>0</v>
      </c>
      <c r="AD84" s="9">
        <f t="shared" si="103"/>
        <v>0</v>
      </c>
      <c r="AE84" s="40" t="e">
        <f t="shared" ca="1" si="104"/>
        <v>#NUM!</v>
      </c>
      <c r="AF84" s="40" t="e">
        <f t="shared" ca="1" si="105"/>
        <v>#NUM!</v>
      </c>
      <c r="AG84" s="40" t="e">
        <f t="shared" ca="1" si="106"/>
        <v>#NUM!</v>
      </c>
      <c r="AH84" s="40" t="e">
        <f t="shared" ca="1" si="107"/>
        <v>#NUM!</v>
      </c>
      <c r="AI84" s="40" t="e">
        <f t="shared" ca="1" si="108"/>
        <v>#NUM!</v>
      </c>
      <c r="AJ84" s="40" t="e">
        <f t="shared" ca="1" si="109"/>
        <v>#NUM!</v>
      </c>
      <c r="AK84" s="203" t="e">
        <f t="shared" ca="1" si="110"/>
        <v>#NUM!</v>
      </c>
      <c r="AL84" s="40" t="e">
        <f t="shared" ca="1" si="111"/>
        <v>#NUM!</v>
      </c>
      <c r="AM84" s="40" t="e">
        <f t="shared" ca="1" si="112"/>
        <v>#NUM!</v>
      </c>
      <c r="AN84" s="40" t="e">
        <f t="shared" ca="1" si="113"/>
        <v>#NUM!</v>
      </c>
      <c r="AO84" s="40" t="e">
        <f t="shared" ca="1" si="114"/>
        <v>#NUM!</v>
      </c>
      <c r="AP84" s="40" t="e">
        <f t="shared" ca="1" si="115"/>
        <v>#NUM!</v>
      </c>
      <c r="AQ84" s="40" t="e">
        <f t="shared" ca="1" si="116"/>
        <v>#NUM!</v>
      </c>
      <c r="AR84" s="40" t="e">
        <f t="shared" ca="1" si="117"/>
        <v>#NUM!</v>
      </c>
      <c r="AS84" s="40" t="e">
        <f t="shared" ca="1" si="118"/>
        <v>#NUM!</v>
      </c>
    </row>
    <row r="85" spans="1:45" x14ac:dyDescent="0.25">
      <c r="A85" s="154"/>
      <c r="B85" s="73">
        <f t="shared" si="94"/>
        <v>-59090.909090909088</v>
      </c>
      <c r="E85" s="148">
        <v>42826</v>
      </c>
      <c r="G85" s="139">
        <v>33</v>
      </c>
      <c r="H85" s="139">
        <v>0</v>
      </c>
      <c r="I85" s="49">
        <f t="shared" si="95"/>
        <v>46522</v>
      </c>
      <c r="J85" s="76">
        <v>1950000</v>
      </c>
      <c r="K85" s="40">
        <f t="shared" si="96"/>
        <v>33</v>
      </c>
      <c r="L85" s="74">
        <f t="shared" si="97"/>
        <v>1950000</v>
      </c>
      <c r="M85" s="76"/>
      <c r="N85" s="76">
        <f t="shared" si="98"/>
        <v>0</v>
      </c>
      <c r="O85" s="142"/>
      <c r="P85" s="142"/>
      <c r="Q85" s="142"/>
      <c r="R85" s="144"/>
      <c r="S85" s="144"/>
      <c r="T85" s="144"/>
      <c r="U85" s="144"/>
      <c r="V85" s="144"/>
      <c r="W85" s="144"/>
      <c r="X85" s="144"/>
      <c r="Y85" s="143"/>
      <c r="Z85" s="143">
        <f t="shared" si="99"/>
        <v>0</v>
      </c>
      <c r="AA85" s="9">
        <f t="shared" si="100"/>
        <v>0.375</v>
      </c>
      <c r="AB85" s="9">
        <f t="shared" si="101"/>
        <v>0</v>
      </c>
      <c r="AC85" s="9">
        <f t="shared" si="102"/>
        <v>0</v>
      </c>
      <c r="AD85" s="9">
        <f t="shared" si="103"/>
        <v>0</v>
      </c>
      <c r="AE85" s="40" t="e">
        <f t="shared" ca="1" si="104"/>
        <v>#NUM!</v>
      </c>
      <c r="AF85" s="40" t="e">
        <f t="shared" ca="1" si="105"/>
        <v>#NUM!</v>
      </c>
      <c r="AG85" s="40" t="e">
        <f t="shared" ca="1" si="106"/>
        <v>#NUM!</v>
      </c>
      <c r="AH85" s="40" t="e">
        <f t="shared" ca="1" si="107"/>
        <v>#NUM!</v>
      </c>
      <c r="AI85" s="40" t="e">
        <f t="shared" ca="1" si="108"/>
        <v>#NUM!</v>
      </c>
      <c r="AJ85" s="40" t="e">
        <f t="shared" ca="1" si="109"/>
        <v>#NUM!</v>
      </c>
      <c r="AK85" s="203" t="e">
        <f t="shared" ca="1" si="110"/>
        <v>#NUM!</v>
      </c>
      <c r="AL85" s="40" t="e">
        <f t="shared" ca="1" si="111"/>
        <v>#NUM!</v>
      </c>
      <c r="AM85" s="40" t="e">
        <f t="shared" ca="1" si="112"/>
        <v>#NUM!</v>
      </c>
      <c r="AN85" s="40" t="e">
        <f t="shared" ca="1" si="113"/>
        <v>#NUM!</v>
      </c>
      <c r="AO85" s="40" t="e">
        <f t="shared" ca="1" si="114"/>
        <v>#NUM!</v>
      </c>
      <c r="AP85" s="40" t="e">
        <f t="shared" ca="1" si="115"/>
        <v>#NUM!</v>
      </c>
      <c r="AQ85" s="40" t="e">
        <f t="shared" ca="1" si="116"/>
        <v>#NUM!</v>
      </c>
      <c r="AR85" s="40" t="e">
        <f t="shared" ca="1" si="117"/>
        <v>#NUM!</v>
      </c>
      <c r="AS85" s="40" t="e">
        <f t="shared" ca="1" si="118"/>
        <v>#NUM!</v>
      </c>
    </row>
    <row r="86" spans="1:45" x14ac:dyDescent="0.25">
      <c r="A86" s="154"/>
      <c r="B86" s="73">
        <f t="shared" si="94"/>
        <v>-59090.909090909088</v>
      </c>
      <c r="E86" s="148">
        <v>42826</v>
      </c>
      <c r="G86" s="139">
        <v>33</v>
      </c>
      <c r="H86" s="139">
        <v>0</v>
      </c>
      <c r="I86" s="49">
        <f t="shared" si="95"/>
        <v>46522</v>
      </c>
      <c r="J86" s="76">
        <v>1950000</v>
      </c>
      <c r="K86" s="40">
        <f t="shared" si="96"/>
        <v>33</v>
      </c>
      <c r="L86" s="74">
        <f t="shared" si="97"/>
        <v>1950000</v>
      </c>
      <c r="M86" s="76"/>
      <c r="N86" s="76">
        <f t="shared" si="98"/>
        <v>0</v>
      </c>
      <c r="O86" s="142"/>
      <c r="P86" s="142"/>
      <c r="Q86" s="142"/>
      <c r="R86" s="144"/>
      <c r="S86" s="144"/>
      <c r="T86" s="144"/>
      <c r="U86" s="144"/>
      <c r="V86" s="144"/>
      <c r="W86" s="144"/>
      <c r="X86" s="144"/>
      <c r="Y86" s="143"/>
      <c r="Z86" s="143">
        <f t="shared" si="99"/>
        <v>0</v>
      </c>
      <c r="AA86" s="9">
        <f t="shared" si="100"/>
        <v>0.375</v>
      </c>
      <c r="AB86" s="9">
        <f t="shared" si="101"/>
        <v>0</v>
      </c>
      <c r="AC86" s="9">
        <f t="shared" si="102"/>
        <v>0</v>
      </c>
      <c r="AD86" s="9">
        <f t="shared" si="103"/>
        <v>0</v>
      </c>
      <c r="AE86" s="40" t="e">
        <f t="shared" ca="1" si="104"/>
        <v>#NUM!</v>
      </c>
      <c r="AF86" s="40" t="e">
        <f t="shared" ca="1" si="105"/>
        <v>#NUM!</v>
      </c>
      <c r="AG86" s="40" t="e">
        <f t="shared" ca="1" si="106"/>
        <v>#NUM!</v>
      </c>
      <c r="AH86" s="40" t="e">
        <f t="shared" ca="1" si="107"/>
        <v>#NUM!</v>
      </c>
      <c r="AI86" s="40" t="e">
        <f t="shared" ca="1" si="108"/>
        <v>#NUM!</v>
      </c>
      <c r="AJ86" s="40" t="e">
        <f t="shared" ca="1" si="109"/>
        <v>#NUM!</v>
      </c>
      <c r="AK86" s="203" t="e">
        <f t="shared" ca="1" si="110"/>
        <v>#NUM!</v>
      </c>
      <c r="AL86" s="40" t="e">
        <f t="shared" ca="1" si="111"/>
        <v>#NUM!</v>
      </c>
      <c r="AM86" s="40" t="e">
        <f t="shared" ca="1" si="112"/>
        <v>#NUM!</v>
      </c>
      <c r="AN86" s="40" t="e">
        <f t="shared" ca="1" si="113"/>
        <v>#NUM!</v>
      </c>
      <c r="AO86" s="40" t="e">
        <f t="shared" ca="1" si="114"/>
        <v>#NUM!</v>
      </c>
      <c r="AP86" s="40" t="e">
        <f t="shared" ca="1" si="115"/>
        <v>#NUM!</v>
      </c>
      <c r="AQ86" s="40" t="e">
        <f t="shared" ca="1" si="116"/>
        <v>#NUM!</v>
      </c>
      <c r="AR86" s="40" t="e">
        <f t="shared" ca="1" si="117"/>
        <v>#NUM!</v>
      </c>
      <c r="AS86" s="40" t="e">
        <f t="shared" ca="1" si="118"/>
        <v>#NUM!</v>
      </c>
    </row>
    <row r="87" spans="1:45" x14ac:dyDescent="0.25">
      <c r="A87" s="154"/>
      <c r="B87" s="73">
        <f t="shared" si="94"/>
        <v>-59090.909090909088</v>
      </c>
      <c r="E87" s="148">
        <v>42826</v>
      </c>
      <c r="G87" s="139">
        <v>33</v>
      </c>
      <c r="H87" s="139">
        <v>0</v>
      </c>
      <c r="I87" s="49">
        <f t="shared" si="95"/>
        <v>46522</v>
      </c>
      <c r="J87" s="76">
        <v>1950000</v>
      </c>
      <c r="K87" s="40">
        <f t="shared" si="96"/>
        <v>33</v>
      </c>
      <c r="L87" s="74">
        <f t="shared" si="97"/>
        <v>1950000</v>
      </c>
      <c r="M87" s="76"/>
      <c r="N87" s="76">
        <f t="shared" si="98"/>
        <v>0</v>
      </c>
      <c r="O87" s="142"/>
      <c r="P87" s="142"/>
      <c r="Q87" s="142"/>
      <c r="R87" s="144"/>
      <c r="S87" s="144"/>
      <c r="T87" s="144"/>
      <c r="U87" s="144"/>
      <c r="V87" s="144"/>
      <c r="W87" s="144"/>
      <c r="X87" s="144"/>
      <c r="Y87" s="143"/>
      <c r="Z87" s="143">
        <f t="shared" si="99"/>
        <v>0</v>
      </c>
      <c r="AA87" s="9">
        <f t="shared" si="100"/>
        <v>0.375</v>
      </c>
      <c r="AB87" s="9">
        <f t="shared" si="101"/>
        <v>0</v>
      </c>
      <c r="AC87" s="9">
        <f t="shared" si="102"/>
        <v>0</v>
      </c>
      <c r="AD87" s="9">
        <f t="shared" si="103"/>
        <v>0</v>
      </c>
      <c r="AE87" s="40" t="e">
        <f t="shared" ca="1" si="104"/>
        <v>#NUM!</v>
      </c>
      <c r="AF87" s="40" t="e">
        <f t="shared" ca="1" si="105"/>
        <v>#NUM!</v>
      </c>
      <c r="AG87" s="40" t="e">
        <f t="shared" ca="1" si="106"/>
        <v>#NUM!</v>
      </c>
      <c r="AH87" s="40" t="e">
        <f t="shared" ca="1" si="107"/>
        <v>#NUM!</v>
      </c>
      <c r="AI87" s="40" t="e">
        <f t="shared" ca="1" si="108"/>
        <v>#NUM!</v>
      </c>
      <c r="AJ87" s="40" t="e">
        <f t="shared" ca="1" si="109"/>
        <v>#NUM!</v>
      </c>
      <c r="AK87" s="203" t="e">
        <f t="shared" ca="1" si="110"/>
        <v>#NUM!</v>
      </c>
      <c r="AL87" s="40" t="e">
        <f t="shared" ca="1" si="111"/>
        <v>#NUM!</v>
      </c>
      <c r="AM87" s="40" t="e">
        <f t="shared" ca="1" si="112"/>
        <v>#NUM!</v>
      </c>
      <c r="AN87" s="40" t="e">
        <f t="shared" ca="1" si="113"/>
        <v>#NUM!</v>
      </c>
      <c r="AO87" s="40" t="e">
        <f t="shared" ca="1" si="114"/>
        <v>#NUM!</v>
      </c>
      <c r="AP87" s="40" t="e">
        <f t="shared" ca="1" si="115"/>
        <v>#NUM!</v>
      </c>
      <c r="AQ87" s="40" t="e">
        <f t="shared" ca="1" si="116"/>
        <v>#NUM!</v>
      </c>
      <c r="AR87" s="40" t="e">
        <f t="shared" ca="1" si="117"/>
        <v>#NUM!</v>
      </c>
      <c r="AS87" s="40" t="e">
        <f t="shared" ca="1" si="118"/>
        <v>#NUM!</v>
      </c>
    </row>
    <row r="88" spans="1:45" x14ac:dyDescent="0.25">
      <c r="A88" s="154"/>
      <c r="B88" s="73">
        <f t="shared" si="94"/>
        <v>-59090.909090909088</v>
      </c>
      <c r="E88" s="148">
        <v>42826</v>
      </c>
      <c r="G88" s="139">
        <v>33</v>
      </c>
      <c r="H88" s="139">
        <v>0</v>
      </c>
      <c r="I88" s="49">
        <f t="shared" si="95"/>
        <v>46522</v>
      </c>
      <c r="J88" s="76">
        <v>1950000</v>
      </c>
      <c r="K88" s="40">
        <f t="shared" si="96"/>
        <v>33</v>
      </c>
      <c r="L88" s="74">
        <f t="shared" si="97"/>
        <v>1950000</v>
      </c>
      <c r="M88" s="76"/>
      <c r="N88" s="76">
        <f t="shared" si="98"/>
        <v>0</v>
      </c>
      <c r="O88" s="142"/>
      <c r="P88" s="142"/>
      <c r="Q88" s="142"/>
      <c r="R88" s="144"/>
      <c r="S88" s="144"/>
      <c r="T88" s="144"/>
      <c r="U88" s="144"/>
      <c r="V88" s="144"/>
      <c r="W88" s="144"/>
      <c r="X88" s="144"/>
      <c r="Y88" s="143"/>
      <c r="Z88" s="143">
        <f t="shared" si="99"/>
        <v>0</v>
      </c>
      <c r="AA88" s="9">
        <f t="shared" si="100"/>
        <v>0.375</v>
      </c>
      <c r="AB88" s="9">
        <f t="shared" si="101"/>
        <v>0</v>
      </c>
      <c r="AC88" s="9">
        <f t="shared" si="102"/>
        <v>0</v>
      </c>
      <c r="AD88" s="9">
        <f t="shared" si="103"/>
        <v>0</v>
      </c>
      <c r="AE88" s="40" t="e">
        <f t="shared" ca="1" si="104"/>
        <v>#NUM!</v>
      </c>
      <c r="AF88" s="40" t="e">
        <f t="shared" ca="1" si="105"/>
        <v>#NUM!</v>
      </c>
      <c r="AG88" s="40" t="e">
        <f t="shared" ca="1" si="106"/>
        <v>#NUM!</v>
      </c>
      <c r="AH88" s="40" t="e">
        <f t="shared" ca="1" si="107"/>
        <v>#NUM!</v>
      </c>
      <c r="AI88" s="40" t="e">
        <f t="shared" ca="1" si="108"/>
        <v>#NUM!</v>
      </c>
      <c r="AJ88" s="40" t="e">
        <f t="shared" ca="1" si="109"/>
        <v>#NUM!</v>
      </c>
      <c r="AK88" s="203" t="e">
        <f t="shared" ca="1" si="110"/>
        <v>#NUM!</v>
      </c>
      <c r="AL88" s="40" t="e">
        <f t="shared" ca="1" si="111"/>
        <v>#NUM!</v>
      </c>
      <c r="AM88" s="40" t="e">
        <f t="shared" ca="1" si="112"/>
        <v>#NUM!</v>
      </c>
      <c r="AN88" s="40" t="e">
        <f t="shared" ca="1" si="113"/>
        <v>#NUM!</v>
      </c>
      <c r="AO88" s="40" t="e">
        <f t="shared" ca="1" si="114"/>
        <v>#NUM!</v>
      </c>
      <c r="AP88" s="40" t="e">
        <f t="shared" ca="1" si="115"/>
        <v>#NUM!</v>
      </c>
      <c r="AQ88" s="40" t="e">
        <f t="shared" ca="1" si="116"/>
        <v>#NUM!</v>
      </c>
      <c r="AR88" s="40" t="e">
        <f t="shared" ca="1" si="117"/>
        <v>#NUM!</v>
      </c>
      <c r="AS88" s="40" t="e">
        <f t="shared" ca="1" si="118"/>
        <v>#NUM!</v>
      </c>
    </row>
    <row r="89" spans="1:45" x14ac:dyDescent="0.25">
      <c r="A89" s="154"/>
      <c r="B89" s="73">
        <f t="shared" si="94"/>
        <v>-59090.909090909088</v>
      </c>
      <c r="E89" s="148">
        <v>42826</v>
      </c>
      <c r="G89" s="139">
        <v>33</v>
      </c>
      <c r="H89" s="139">
        <v>0</v>
      </c>
      <c r="I89" s="49">
        <f t="shared" si="95"/>
        <v>46522</v>
      </c>
      <c r="J89" s="76">
        <v>1950000</v>
      </c>
      <c r="K89" s="40">
        <f t="shared" si="96"/>
        <v>33</v>
      </c>
      <c r="L89" s="74">
        <f t="shared" si="97"/>
        <v>1950000</v>
      </c>
      <c r="M89" s="76"/>
      <c r="N89" s="76">
        <f t="shared" si="98"/>
        <v>0</v>
      </c>
      <c r="O89" s="142"/>
      <c r="P89" s="142"/>
      <c r="Q89" s="142"/>
      <c r="R89" s="144"/>
      <c r="S89" s="144"/>
      <c r="T89" s="144"/>
      <c r="U89" s="144"/>
      <c r="V89" s="144"/>
      <c r="W89" s="144"/>
      <c r="X89" s="144"/>
      <c r="Y89" s="143"/>
      <c r="Z89" s="143">
        <f t="shared" si="99"/>
        <v>0</v>
      </c>
      <c r="AA89" s="9">
        <f t="shared" si="100"/>
        <v>0.375</v>
      </c>
      <c r="AB89" s="9">
        <f t="shared" si="101"/>
        <v>0</v>
      </c>
      <c r="AC89" s="9">
        <f t="shared" si="102"/>
        <v>0</v>
      </c>
      <c r="AD89" s="9">
        <f t="shared" si="103"/>
        <v>0</v>
      </c>
      <c r="AE89" s="40" t="e">
        <f t="shared" ca="1" si="104"/>
        <v>#NUM!</v>
      </c>
      <c r="AF89" s="40" t="e">
        <f t="shared" ca="1" si="105"/>
        <v>#NUM!</v>
      </c>
      <c r="AG89" s="40" t="e">
        <f t="shared" ca="1" si="106"/>
        <v>#NUM!</v>
      </c>
      <c r="AH89" s="40" t="e">
        <f t="shared" ca="1" si="107"/>
        <v>#NUM!</v>
      </c>
      <c r="AI89" s="40" t="e">
        <f t="shared" ca="1" si="108"/>
        <v>#NUM!</v>
      </c>
      <c r="AJ89" s="40" t="e">
        <f t="shared" ca="1" si="109"/>
        <v>#NUM!</v>
      </c>
      <c r="AK89" s="203" t="e">
        <f t="shared" ca="1" si="110"/>
        <v>#NUM!</v>
      </c>
      <c r="AL89" s="40" t="e">
        <f t="shared" ca="1" si="111"/>
        <v>#NUM!</v>
      </c>
      <c r="AM89" s="40" t="e">
        <f t="shared" ca="1" si="112"/>
        <v>#NUM!</v>
      </c>
      <c r="AN89" s="40" t="e">
        <f t="shared" ca="1" si="113"/>
        <v>#NUM!</v>
      </c>
      <c r="AO89" s="40" t="e">
        <f t="shared" ca="1" si="114"/>
        <v>#NUM!</v>
      </c>
      <c r="AP89" s="40" t="e">
        <f t="shared" ca="1" si="115"/>
        <v>#NUM!</v>
      </c>
      <c r="AQ89" s="40" t="e">
        <f t="shared" ca="1" si="116"/>
        <v>#NUM!</v>
      </c>
      <c r="AR89" s="40" t="e">
        <f t="shared" ca="1" si="117"/>
        <v>#NUM!</v>
      </c>
      <c r="AS89" s="40" t="e">
        <f t="shared" ca="1" si="118"/>
        <v>#NUM!</v>
      </c>
    </row>
    <row r="90" spans="1:45" x14ac:dyDescent="0.25">
      <c r="A90" s="154"/>
      <c r="B90" s="73">
        <f t="shared" si="94"/>
        <v>-59090.909090909088</v>
      </c>
      <c r="E90" s="148">
        <v>42826</v>
      </c>
      <c r="G90" s="139">
        <v>33</v>
      </c>
      <c r="H90" s="139">
        <v>0</v>
      </c>
      <c r="I90" s="49">
        <f t="shared" si="95"/>
        <v>46522</v>
      </c>
      <c r="J90" s="76">
        <v>1950000</v>
      </c>
      <c r="K90" s="40">
        <f t="shared" si="96"/>
        <v>33</v>
      </c>
      <c r="L90" s="74">
        <f t="shared" si="97"/>
        <v>1950000</v>
      </c>
      <c r="M90" s="76"/>
      <c r="N90" s="76">
        <f t="shared" si="98"/>
        <v>0</v>
      </c>
      <c r="O90" s="142"/>
      <c r="P90" s="142"/>
      <c r="Q90" s="142"/>
      <c r="R90" s="144"/>
      <c r="S90" s="144"/>
      <c r="T90" s="144"/>
      <c r="U90" s="144"/>
      <c r="V90" s="144"/>
      <c r="W90" s="144"/>
      <c r="X90" s="144"/>
      <c r="Y90" s="143"/>
      <c r="Z90" s="143">
        <f t="shared" si="99"/>
        <v>0</v>
      </c>
      <c r="AA90" s="9">
        <f t="shared" si="100"/>
        <v>0.375</v>
      </c>
      <c r="AB90" s="9">
        <f t="shared" si="101"/>
        <v>0</v>
      </c>
      <c r="AC90" s="9">
        <f t="shared" si="102"/>
        <v>0</v>
      </c>
      <c r="AD90" s="9">
        <f t="shared" si="103"/>
        <v>0</v>
      </c>
      <c r="AE90" s="40" t="e">
        <f t="shared" ca="1" si="104"/>
        <v>#NUM!</v>
      </c>
      <c r="AF90" s="40" t="e">
        <f t="shared" ca="1" si="105"/>
        <v>#NUM!</v>
      </c>
      <c r="AG90" s="40" t="e">
        <f t="shared" ca="1" si="106"/>
        <v>#NUM!</v>
      </c>
      <c r="AH90" s="40" t="e">
        <f t="shared" ca="1" si="107"/>
        <v>#NUM!</v>
      </c>
      <c r="AI90" s="40" t="e">
        <f t="shared" ca="1" si="108"/>
        <v>#NUM!</v>
      </c>
      <c r="AJ90" s="40" t="e">
        <f t="shared" ca="1" si="109"/>
        <v>#NUM!</v>
      </c>
      <c r="AK90" s="203" t="e">
        <f t="shared" ca="1" si="110"/>
        <v>#NUM!</v>
      </c>
      <c r="AL90" s="40" t="e">
        <f t="shared" ca="1" si="111"/>
        <v>#NUM!</v>
      </c>
      <c r="AM90" s="40" t="e">
        <f t="shared" ca="1" si="112"/>
        <v>#NUM!</v>
      </c>
      <c r="AN90" s="40" t="e">
        <f t="shared" ca="1" si="113"/>
        <v>#NUM!</v>
      </c>
      <c r="AO90" s="40" t="e">
        <f t="shared" ca="1" si="114"/>
        <v>#NUM!</v>
      </c>
      <c r="AP90" s="40" t="e">
        <f t="shared" ca="1" si="115"/>
        <v>#NUM!</v>
      </c>
      <c r="AQ90" s="40" t="e">
        <f t="shared" ca="1" si="116"/>
        <v>#NUM!</v>
      </c>
      <c r="AR90" s="40" t="e">
        <f t="shared" ca="1" si="117"/>
        <v>#NUM!</v>
      </c>
      <c r="AS90" s="40" t="e">
        <f t="shared" ca="1" si="118"/>
        <v>#NUM!</v>
      </c>
    </row>
    <row r="91" spans="1:45" x14ac:dyDescent="0.25">
      <c r="A91" s="154"/>
      <c r="B91" s="73">
        <f t="shared" si="94"/>
        <v>-59090.909090909088</v>
      </c>
      <c r="E91" s="148">
        <v>42826</v>
      </c>
      <c r="G91" s="139">
        <v>33</v>
      </c>
      <c r="H91" s="139">
        <v>0</v>
      </c>
      <c r="I91" s="49">
        <f t="shared" si="95"/>
        <v>46522</v>
      </c>
      <c r="J91" s="76">
        <v>1950000</v>
      </c>
      <c r="K91" s="40">
        <f t="shared" si="96"/>
        <v>33</v>
      </c>
      <c r="L91" s="74">
        <f t="shared" si="97"/>
        <v>1950000</v>
      </c>
      <c r="M91" s="76"/>
      <c r="N91" s="76">
        <f t="shared" si="98"/>
        <v>0</v>
      </c>
      <c r="O91" s="142"/>
      <c r="P91" s="142"/>
      <c r="Q91" s="142"/>
      <c r="R91" s="144"/>
      <c r="S91" s="144"/>
      <c r="T91" s="144"/>
      <c r="U91" s="144"/>
      <c r="V91" s="144"/>
      <c r="W91" s="144"/>
      <c r="X91" s="144"/>
      <c r="Y91" s="143"/>
      <c r="Z91" s="143">
        <f t="shared" si="99"/>
        <v>0</v>
      </c>
      <c r="AA91" s="9">
        <f t="shared" si="100"/>
        <v>0.375</v>
      </c>
      <c r="AB91" s="9">
        <f t="shared" si="101"/>
        <v>0</v>
      </c>
      <c r="AC91" s="9">
        <f t="shared" si="102"/>
        <v>0</v>
      </c>
      <c r="AD91" s="9">
        <f t="shared" si="103"/>
        <v>0</v>
      </c>
      <c r="AE91" s="40" t="e">
        <f t="shared" ca="1" si="104"/>
        <v>#NUM!</v>
      </c>
      <c r="AF91" s="40" t="e">
        <f t="shared" ca="1" si="105"/>
        <v>#NUM!</v>
      </c>
      <c r="AG91" s="40" t="e">
        <f t="shared" ca="1" si="106"/>
        <v>#NUM!</v>
      </c>
      <c r="AH91" s="40" t="e">
        <f t="shared" ca="1" si="107"/>
        <v>#NUM!</v>
      </c>
      <c r="AI91" s="40" t="e">
        <f t="shared" ca="1" si="108"/>
        <v>#NUM!</v>
      </c>
      <c r="AJ91" s="40" t="e">
        <f t="shared" ca="1" si="109"/>
        <v>#NUM!</v>
      </c>
      <c r="AK91" s="203" t="e">
        <f t="shared" ca="1" si="110"/>
        <v>#NUM!</v>
      </c>
      <c r="AL91" s="40" t="e">
        <f t="shared" ca="1" si="111"/>
        <v>#NUM!</v>
      </c>
      <c r="AM91" s="40" t="e">
        <f t="shared" ca="1" si="112"/>
        <v>#NUM!</v>
      </c>
      <c r="AN91" s="40" t="e">
        <f t="shared" ca="1" si="113"/>
        <v>#NUM!</v>
      </c>
      <c r="AO91" s="40" t="e">
        <f t="shared" ca="1" si="114"/>
        <v>#NUM!</v>
      </c>
      <c r="AP91" s="40" t="e">
        <f t="shared" ca="1" si="115"/>
        <v>#NUM!</v>
      </c>
      <c r="AQ91" s="40" t="e">
        <f t="shared" ca="1" si="116"/>
        <v>#NUM!</v>
      </c>
      <c r="AR91" s="40" t="e">
        <f t="shared" ca="1" si="117"/>
        <v>#NUM!</v>
      </c>
      <c r="AS91" s="40" t="e">
        <f t="shared" ca="1" si="118"/>
        <v>#NUM!</v>
      </c>
    </row>
    <row r="92" spans="1:45" x14ac:dyDescent="0.25">
      <c r="A92" s="154"/>
      <c r="B92" s="73">
        <f t="shared" si="94"/>
        <v>-59090.909090909088</v>
      </c>
      <c r="E92" s="148">
        <v>42826</v>
      </c>
      <c r="G92" s="139">
        <v>33</v>
      </c>
      <c r="H92" s="139">
        <v>0</v>
      </c>
      <c r="I92" s="49">
        <f t="shared" si="95"/>
        <v>46522</v>
      </c>
      <c r="J92" s="76">
        <v>1950000</v>
      </c>
      <c r="K92" s="40">
        <f t="shared" si="96"/>
        <v>33</v>
      </c>
      <c r="L92" s="74">
        <f t="shared" si="97"/>
        <v>1950000</v>
      </c>
      <c r="M92" s="76"/>
      <c r="N92" s="76">
        <f t="shared" si="98"/>
        <v>0</v>
      </c>
      <c r="O92" s="142"/>
      <c r="P92" s="142"/>
      <c r="Q92" s="142"/>
      <c r="R92" s="144"/>
      <c r="S92" s="144"/>
      <c r="T92" s="144"/>
      <c r="U92" s="144"/>
      <c r="V92" s="144"/>
      <c r="W92" s="144"/>
      <c r="X92" s="144"/>
      <c r="Y92" s="143"/>
      <c r="Z92" s="143">
        <f t="shared" si="99"/>
        <v>0</v>
      </c>
      <c r="AA92" s="9">
        <f t="shared" si="100"/>
        <v>0.375</v>
      </c>
      <c r="AB92" s="9">
        <f t="shared" si="101"/>
        <v>0</v>
      </c>
      <c r="AC92" s="9">
        <f t="shared" si="102"/>
        <v>0</v>
      </c>
      <c r="AD92" s="9">
        <f t="shared" si="103"/>
        <v>0</v>
      </c>
      <c r="AE92" s="40" t="e">
        <f t="shared" ca="1" si="104"/>
        <v>#NUM!</v>
      </c>
      <c r="AF92" s="40" t="e">
        <f t="shared" ca="1" si="105"/>
        <v>#NUM!</v>
      </c>
      <c r="AG92" s="40" t="e">
        <f t="shared" ca="1" si="106"/>
        <v>#NUM!</v>
      </c>
      <c r="AH92" s="40" t="e">
        <f t="shared" ca="1" si="107"/>
        <v>#NUM!</v>
      </c>
      <c r="AI92" s="40" t="e">
        <f t="shared" ca="1" si="108"/>
        <v>#NUM!</v>
      </c>
      <c r="AJ92" s="40" t="e">
        <f t="shared" ca="1" si="109"/>
        <v>#NUM!</v>
      </c>
      <c r="AK92" s="203" t="e">
        <f t="shared" ca="1" si="110"/>
        <v>#NUM!</v>
      </c>
      <c r="AL92" s="40" t="e">
        <f t="shared" ca="1" si="111"/>
        <v>#NUM!</v>
      </c>
      <c r="AM92" s="40" t="e">
        <f t="shared" ca="1" si="112"/>
        <v>#NUM!</v>
      </c>
      <c r="AN92" s="40" t="e">
        <f t="shared" ca="1" si="113"/>
        <v>#NUM!</v>
      </c>
      <c r="AO92" s="40" t="e">
        <f t="shared" ca="1" si="114"/>
        <v>#NUM!</v>
      </c>
      <c r="AP92" s="40" t="e">
        <f t="shared" ca="1" si="115"/>
        <v>#NUM!</v>
      </c>
      <c r="AQ92" s="40" t="e">
        <f t="shared" ca="1" si="116"/>
        <v>#NUM!</v>
      </c>
      <c r="AR92" s="40" t="e">
        <f t="shared" ca="1" si="117"/>
        <v>#NUM!</v>
      </c>
      <c r="AS92" s="40" t="e">
        <f t="shared" ca="1" si="118"/>
        <v>#NUM!</v>
      </c>
    </row>
    <row r="93" spans="1:45" x14ac:dyDescent="0.25">
      <c r="A93" s="154"/>
      <c r="B93" s="73">
        <f t="shared" ref="B93:B156" si="119">(N93+F93-J93)/K93</f>
        <v>-59090.909090909088</v>
      </c>
      <c r="E93" s="148">
        <v>42826</v>
      </c>
      <c r="G93" s="139">
        <v>33</v>
      </c>
      <c r="H93" s="139">
        <v>0</v>
      </c>
      <c r="I93" s="49">
        <f t="shared" ref="I93:I156" si="120">E93+(H93-D93+(G93-C93)*112)</f>
        <v>46522</v>
      </c>
      <c r="J93" s="76">
        <v>1950000</v>
      </c>
      <c r="K93" s="40">
        <f t="shared" ref="K93:K156" si="121">(I93-E93)/112</f>
        <v>33</v>
      </c>
      <c r="L93" s="74">
        <f t="shared" ref="L93:L156" si="122">J93-F93</f>
        <v>1950000</v>
      </c>
      <c r="M93" s="76"/>
      <c r="N93" s="76">
        <f t="shared" ref="N93:N156" si="123">((G93-C93)*M93*16)+(H93-D93)/7*M93</f>
        <v>0</v>
      </c>
      <c r="O93" s="142"/>
      <c r="P93" s="142"/>
      <c r="Q93" s="142"/>
      <c r="R93" s="144"/>
      <c r="S93" s="144"/>
      <c r="T93" s="144"/>
      <c r="U93" s="144"/>
      <c r="V93" s="144"/>
      <c r="W93" s="144"/>
      <c r="X93" s="144"/>
      <c r="Y93" s="143"/>
      <c r="Z93" s="143">
        <f t="shared" ref="Z93:Z156" si="124">O93*P93*P93</f>
        <v>0</v>
      </c>
      <c r="AA93" s="9">
        <f t="shared" ref="AA93:AA156" si="125">((S93+1)+(V93+1)*2)/8</f>
        <v>0.375</v>
      </c>
      <c r="AB93" s="9">
        <f t="shared" ref="AB93:AB156" si="126">X93*0.7+W93*0.3</f>
        <v>0</v>
      </c>
      <c r="AC93" s="9">
        <f t="shared" ref="AC93:AC156" si="127">(0.5*W93+ 0.3*X93)/10</f>
        <v>0</v>
      </c>
      <c r="AD93" s="9">
        <f t="shared" ref="AD93:AD156" si="128">(0.4*S93+0.3*X93)/10</f>
        <v>0</v>
      </c>
      <c r="AE93" s="40" t="e">
        <f t="shared" ref="AE93:AE156" ca="1" si="129">IF(TODAY()-E93&gt;335,((S93+1+(LOG(O93)*4/3))*0.516),((S93+(((TODAY()-E93)^0.5)/(336^0.516))+(LOG(O93)*4/3))*0.516))</f>
        <v>#NUM!</v>
      </c>
      <c r="AF93" s="40" t="e">
        <f t="shared" ref="AF93:AF156" ca="1" si="130">IF(TODAY()-E93&gt;335,((S93+1+(LOG(O93)*4/3))*1),((S93+(((TODAY()-E93)^0.5)/(336^0.5))+(LOG(O93)*4/3))*1))</f>
        <v>#NUM!</v>
      </c>
      <c r="AG93" s="40" t="e">
        <f t="shared" ref="AG93:AG156" ca="1" si="131">IF(TODAY()-E93&gt;335,((T93+1+(LOG(O93)*4/3))*0.238),((T93+(((TODAY()-E93)^0.5)/(336^0.238))+(LOG(O93)*4/3))*0.238))</f>
        <v>#NUM!</v>
      </c>
      <c r="AH93" s="40" t="e">
        <f t="shared" ref="AH93:AH156" ca="1" si="132">IF(TODAY()-E93&gt;335,((S93+1+(LOG(O93)*4/3))*0.92),((S93+(((TODAY()-E93)^0.5)/(336^0.5))+(LOG(O93)*4/3))*0.92))</f>
        <v>#NUM!</v>
      </c>
      <c r="AI93" s="40" t="e">
        <f t="shared" ref="AI93:AI156" ca="1" si="133">IF(TODAY()-E93&gt;335,((S93+1+(LOG(O93)*4/3))*0.414),((S93+(((TODAY()-E93)^0.5)/(336^0.414))+(LOG(O93)*4/3))*0.414))</f>
        <v>#NUM!</v>
      </c>
      <c r="AJ93" s="40" t="e">
        <f t="shared" ref="AJ93:AJ156" ca="1" si="134">IF(TODAY()-E93&gt;335,((T93+1+(LOG(O93)*4/3))*0.167),((T93+(((TODAY()-E93)^0.5)/(336^0.5))+(LOG(O93)*4/3))*0.167))</f>
        <v>#NUM!</v>
      </c>
      <c r="AK93" s="203" t="e">
        <f t="shared" ref="AK93:AK156" ca="1" si="135">IF(TODAY()-E93&gt;335,((U93+1+(LOG(O93)*4/3))*0.588),((U93+(((TODAY()-E93)^0.5)/(336^0.5))+(LOG(O93)*4/3))*0.588))</f>
        <v>#NUM!</v>
      </c>
      <c r="AL93" s="40" t="e">
        <f t="shared" ref="AL93:AL156" ca="1" si="136">IF(TODAY()-E93&gt;335,((S93+1+(LOG(O93)*4/3))*0.4),((S93+(((TODAY()-E93)^0.5)/(336^0.5))+(LOG(O93)*4/3))*0.4))</f>
        <v>#NUM!</v>
      </c>
      <c r="AM93" s="40" t="e">
        <f t="shared" ref="AM93:AM156" ca="1" si="137">IF(TODAY()-E93&gt;335,((T93+1+(LOG(O93)*4/3))*1),((T93+(((TODAY()-E93)^0.5)/(336^0.5))+(LOG(O93)*4/3))*1))</f>
        <v>#NUM!</v>
      </c>
      <c r="AN93" s="40" t="e">
        <f t="shared" ref="AN93:AN156" ca="1" si="138">IF(TODAY()-E93&gt;335,((W93+1+(LOG(O93)*4/3))*0.21)+((V93+1+(LOG(O93)*4/3))*0.341),((W93+(((TODAY()-E93)^0.5)/(336^0.5))+(LOG(O93)*4/3))*0.21)+((V93+(((TODAY()-E93)^0.5)/(336^0.5))+(LOG(O93)*4/3))*0.341))</f>
        <v>#NUM!</v>
      </c>
      <c r="AO93" s="40" t="e">
        <f t="shared" ref="AO93:AO156" ca="1" si="139">IF(TODAY()-E93&gt;335,((T93+1+(LOG(O93)*4/3))*0.305),((T93+(((TODAY()-E93)^0.5)/(336^0.5))+(LOG(O93)*4/3))*0.305))</f>
        <v>#NUM!</v>
      </c>
      <c r="AP93" s="40" t="e">
        <f t="shared" ref="AP93:AP156" ca="1" si="140">IF(TODAY()-E93&gt;335,((U93+1+(LOG(O93)*4/3))*1)+((V93+1+(LOG(O93)*4/3))*0.286),((U93+(((TODAY()-E93)^0.5)/(336^0.5))+(LOG(O93)*4/3))*1)+((V93+(((TODAY()-E93)^0.5)/(336^0.5))+(LOG(O93)*4/3))*0.286))</f>
        <v>#NUM!</v>
      </c>
      <c r="AQ93" s="40" t="e">
        <f t="shared" ref="AQ93:AQ156" ca="1" si="141">IF(TODAY()-E93&gt;335,((T93+1+(LOG(O93)*4/3))*0.406),((T93+(((TODAY()-E93)^0.5)/(336^0.5))+(LOG(O93)*4/3))*0.406))</f>
        <v>#NUM!</v>
      </c>
      <c r="AR93" s="40" t="e">
        <f t="shared" ref="AR93:AR156" ca="1" si="142">IF(Q93="TEC",IF(TODAY()-E93&gt;335,((V93+1+(LOG(O93)*4/3))*0.15)+((V93+1+(LOG(O93)*4/3))*0.324)+((W93+1+(LOG(O93)*4/3))*0.127),((U93+(((TODAY()-E93)^0.5)/(336^0.5))+(LOG(O93)*4/3))*0.15)+((V93+(((TODAY()-E93)^0.5)/(336^0.5))+(LOG(O93)*4/3))*0.324)+((W93+(((TODAY()-E93)^0.5)/(336^0.5))+(LOG(O93)*4/3))*0.127)),IF(TODAY()-E93&gt;335,((V93+1+(LOG(O93)*4/3))*0.144)+((W93+1+(LOG(O93)*4/3))*0.25)+((W93+1+(LOG(O93)*4/3))*0.127),((U93+(((TODAY()-E93)^0.5)/(336^0.5))+(LOG(O93)*4/3))*0.144)+((V93+(((TODAY()-E93)^0.5)/(336^0.5))+(LOG(O93)*4/3))*0.25)+((W93+(((TODAY()-E93)^0.5)/(336^0.5))+(LOG(O93)*4/3))*0.127)))</f>
        <v>#NUM!</v>
      </c>
      <c r="AS93" s="40" t="e">
        <f t="shared" ref="AS93:AS156" ca="1" si="143">IF(Q93="TEC",IF(TODAY()-E93&gt;335,((V93+1+(LOG(O93)*4/3))*0.543)+((W93+1+(LOG(O93)*4/3))*0.583),((V93+(((TODAY()-E93)^0.5)/(336^0.5))+(LOG(O93)*4/3))*0.543)+((W93+(((TODAY()-E93)^0.5)/(336^0.5))+(LOG(O93)*4/3))*0.583)),IF(TODAY()-E93&gt;335,((V93+1+(LOG(O93)*4/3))*0.543)+((W93+1+(LOG(O93)*4/3))*0.583),((V93+(((TODAY()-E93)^0.5)/(336^0.5))+(LOG(O93)*4/3))*0.543)+((W93+(((TODAY()-E93)^0.5)/(336^0.5))+(LOG(O93)*4/3))*0.583)))</f>
        <v>#NUM!</v>
      </c>
    </row>
    <row r="94" spans="1:45" x14ac:dyDescent="0.25">
      <c r="A94" s="154"/>
      <c r="B94" s="73">
        <f t="shared" si="119"/>
        <v>-59090.909090909088</v>
      </c>
      <c r="E94" s="148">
        <v>42826</v>
      </c>
      <c r="G94" s="139">
        <v>33</v>
      </c>
      <c r="H94" s="139">
        <v>0</v>
      </c>
      <c r="I94" s="49">
        <f t="shared" si="120"/>
        <v>46522</v>
      </c>
      <c r="J94" s="76">
        <v>1950000</v>
      </c>
      <c r="K94" s="40">
        <f t="shared" si="121"/>
        <v>33</v>
      </c>
      <c r="L94" s="74">
        <f t="shared" si="122"/>
        <v>1950000</v>
      </c>
      <c r="M94" s="76"/>
      <c r="N94" s="76">
        <f t="shared" si="123"/>
        <v>0</v>
      </c>
      <c r="O94" s="142"/>
      <c r="P94" s="142"/>
      <c r="Q94" s="142"/>
      <c r="R94" s="144"/>
      <c r="S94" s="144"/>
      <c r="T94" s="144"/>
      <c r="U94" s="144"/>
      <c r="V94" s="144"/>
      <c r="W94" s="144"/>
      <c r="X94" s="144"/>
      <c r="Y94" s="143"/>
      <c r="Z94" s="143">
        <f t="shared" si="124"/>
        <v>0</v>
      </c>
      <c r="AA94" s="9">
        <f t="shared" si="125"/>
        <v>0.375</v>
      </c>
      <c r="AB94" s="9">
        <f t="shared" si="126"/>
        <v>0</v>
      </c>
      <c r="AC94" s="9">
        <f t="shared" si="127"/>
        <v>0</v>
      </c>
      <c r="AD94" s="9">
        <f t="shared" si="128"/>
        <v>0</v>
      </c>
      <c r="AE94" s="40" t="e">
        <f t="shared" ca="1" si="129"/>
        <v>#NUM!</v>
      </c>
      <c r="AF94" s="40" t="e">
        <f t="shared" ca="1" si="130"/>
        <v>#NUM!</v>
      </c>
      <c r="AG94" s="40" t="e">
        <f t="shared" ca="1" si="131"/>
        <v>#NUM!</v>
      </c>
      <c r="AH94" s="40" t="e">
        <f t="shared" ca="1" si="132"/>
        <v>#NUM!</v>
      </c>
      <c r="AI94" s="40" t="e">
        <f t="shared" ca="1" si="133"/>
        <v>#NUM!</v>
      </c>
      <c r="AJ94" s="40" t="e">
        <f t="shared" ca="1" si="134"/>
        <v>#NUM!</v>
      </c>
      <c r="AK94" s="203" t="e">
        <f t="shared" ca="1" si="135"/>
        <v>#NUM!</v>
      </c>
      <c r="AL94" s="40" t="e">
        <f t="shared" ca="1" si="136"/>
        <v>#NUM!</v>
      </c>
      <c r="AM94" s="40" t="e">
        <f t="shared" ca="1" si="137"/>
        <v>#NUM!</v>
      </c>
      <c r="AN94" s="40" t="e">
        <f t="shared" ca="1" si="138"/>
        <v>#NUM!</v>
      </c>
      <c r="AO94" s="40" t="e">
        <f t="shared" ca="1" si="139"/>
        <v>#NUM!</v>
      </c>
      <c r="AP94" s="40" t="e">
        <f t="shared" ca="1" si="140"/>
        <v>#NUM!</v>
      </c>
      <c r="AQ94" s="40" t="e">
        <f t="shared" ca="1" si="141"/>
        <v>#NUM!</v>
      </c>
      <c r="AR94" s="40" t="e">
        <f t="shared" ca="1" si="142"/>
        <v>#NUM!</v>
      </c>
      <c r="AS94" s="40" t="e">
        <f t="shared" ca="1" si="143"/>
        <v>#NUM!</v>
      </c>
    </row>
    <row r="95" spans="1:45" x14ac:dyDescent="0.25">
      <c r="A95" s="154"/>
      <c r="B95" s="73">
        <f t="shared" si="119"/>
        <v>-59090.909090909088</v>
      </c>
      <c r="E95" s="148">
        <v>42826</v>
      </c>
      <c r="G95" s="139">
        <v>33</v>
      </c>
      <c r="H95" s="139">
        <v>0</v>
      </c>
      <c r="I95" s="49">
        <f t="shared" si="120"/>
        <v>46522</v>
      </c>
      <c r="J95" s="76">
        <v>1950000</v>
      </c>
      <c r="K95" s="40">
        <f t="shared" si="121"/>
        <v>33</v>
      </c>
      <c r="L95" s="74">
        <f t="shared" si="122"/>
        <v>1950000</v>
      </c>
      <c r="M95" s="76"/>
      <c r="N95" s="76">
        <f t="shared" si="123"/>
        <v>0</v>
      </c>
      <c r="O95" s="142"/>
      <c r="P95" s="142"/>
      <c r="Q95" s="142"/>
      <c r="R95" s="144"/>
      <c r="S95" s="144"/>
      <c r="T95" s="144"/>
      <c r="U95" s="144"/>
      <c r="V95" s="144"/>
      <c r="W95" s="144"/>
      <c r="X95" s="144"/>
      <c r="Y95" s="143"/>
      <c r="Z95" s="143">
        <f t="shared" si="124"/>
        <v>0</v>
      </c>
      <c r="AA95" s="9">
        <f t="shared" si="125"/>
        <v>0.375</v>
      </c>
      <c r="AB95" s="9">
        <f t="shared" si="126"/>
        <v>0</v>
      </c>
      <c r="AC95" s="9">
        <f t="shared" si="127"/>
        <v>0</v>
      </c>
      <c r="AD95" s="9">
        <f t="shared" si="128"/>
        <v>0</v>
      </c>
      <c r="AE95" s="40" t="e">
        <f t="shared" ca="1" si="129"/>
        <v>#NUM!</v>
      </c>
      <c r="AF95" s="40" t="e">
        <f t="shared" ca="1" si="130"/>
        <v>#NUM!</v>
      </c>
      <c r="AG95" s="40" t="e">
        <f t="shared" ca="1" si="131"/>
        <v>#NUM!</v>
      </c>
      <c r="AH95" s="40" t="e">
        <f t="shared" ca="1" si="132"/>
        <v>#NUM!</v>
      </c>
      <c r="AI95" s="40" t="e">
        <f t="shared" ca="1" si="133"/>
        <v>#NUM!</v>
      </c>
      <c r="AJ95" s="40" t="e">
        <f t="shared" ca="1" si="134"/>
        <v>#NUM!</v>
      </c>
      <c r="AK95" s="203" t="e">
        <f t="shared" ca="1" si="135"/>
        <v>#NUM!</v>
      </c>
      <c r="AL95" s="40" t="e">
        <f t="shared" ca="1" si="136"/>
        <v>#NUM!</v>
      </c>
      <c r="AM95" s="40" t="e">
        <f t="shared" ca="1" si="137"/>
        <v>#NUM!</v>
      </c>
      <c r="AN95" s="40" t="e">
        <f t="shared" ca="1" si="138"/>
        <v>#NUM!</v>
      </c>
      <c r="AO95" s="40" t="e">
        <f t="shared" ca="1" si="139"/>
        <v>#NUM!</v>
      </c>
      <c r="AP95" s="40" t="e">
        <f t="shared" ca="1" si="140"/>
        <v>#NUM!</v>
      </c>
      <c r="AQ95" s="40" t="e">
        <f t="shared" ca="1" si="141"/>
        <v>#NUM!</v>
      </c>
      <c r="AR95" s="40" t="e">
        <f t="shared" ca="1" si="142"/>
        <v>#NUM!</v>
      </c>
      <c r="AS95" s="40" t="e">
        <f t="shared" ca="1" si="143"/>
        <v>#NUM!</v>
      </c>
    </row>
    <row r="96" spans="1:45" x14ac:dyDescent="0.25">
      <c r="A96" s="154"/>
      <c r="B96" s="73">
        <f t="shared" si="119"/>
        <v>-59090.909090909088</v>
      </c>
      <c r="E96" s="148">
        <v>42826</v>
      </c>
      <c r="G96" s="139">
        <v>33</v>
      </c>
      <c r="H96" s="139">
        <v>0</v>
      </c>
      <c r="I96" s="49">
        <f t="shared" si="120"/>
        <v>46522</v>
      </c>
      <c r="J96" s="76">
        <v>1950000</v>
      </c>
      <c r="K96" s="40">
        <f t="shared" si="121"/>
        <v>33</v>
      </c>
      <c r="L96" s="74">
        <f t="shared" si="122"/>
        <v>1950000</v>
      </c>
      <c r="M96" s="76"/>
      <c r="N96" s="76">
        <f t="shared" si="123"/>
        <v>0</v>
      </c>
      <c r="O96" s="142"/>
      <c r="P96" s="142"/>
      <c r="Q96" s="142"/>
      <c r="R96" s="144"/>
      <c r="S96" s="144"/>
      <c r="T96" s="144"/>
      <c r="U96" s="144"/>
      <c r="V96" s="144"/>
      <c r="W96" s="144"/>
      <c r="X96" s="144"/>
      <c r="Y96" s="143"/>
      <c r="Z96" s="143">
        <f t="shared" si="124"/>
        <v>0</v>
      </c>
      <c r="AA96" s="9">
        <f t="shared" si="125"/>
        <v>0.375</v>
      </c>
      <c r="AB96" s="9">
        <f t="shared" si="126"/>
        <v>0</v>
      </c>
      <c r="AC96" s="9">
        <f t="shared" si="127"/>
        <v>0</v>
      </c>
      <c r="AD96" s="9">
        <f t="shared" si="128"/>
        <v>0</v>
      </c>
      <c r="AE96" s="40" t="e">
        <f t="shared" ca="1" si="129"/>
        <v>#NUM!</v>
      </c>
      <c r="AF96" s="40" t="e">
        <f t="shared" ca="1" si="130"/>
        <v>#NUM!</v>
      </c>
      <c r="AG96" s="40" t="e">
        <f t="shared" ca="1" si="131"/>
        <v>#NUM!</v>
      </c>
      <c r="AH96" s="40" t="e">
        <f t="shared" ca="1" si="132"/>
        <v>#NUM!</v>
      </c>
      <c r="AI96" s="40" t="e">
        <f t="shared" ca="1" si="133"/>
        <v>#NUM!</v>
      </c>
      <c r="AJ96" s="40" t="e">
        <f t="shared" ca="1" si="134"/>
        <v>#NUM!</v>
      </c>
      <c r="AK96" s="203" t="e">
        <f t="shared" ca="1" si="135"/>
        <v>#NUM!</v>
      </c>
      <c r="AL96" s="40" t="e">
        <f t="shared" ca="1" si="136"/>
        <v>#NUM!</v>
      </c>
      <c r="AM96" s="40" t="e">
        <f t="shared" ca="1" si="137"/>
        <v>#NUM!</v>
      </c>
      <c r="AN96" s="40" t="e">
        <f t="shared" ca="1" si="138"/>
        <v>#NUM!</v>
      </c>
      <c r="AO96" s="40" t="e">
        <f t="shared" ca="1" si="139"/>
        <v>#NUM!</v>
      </c>
      <c r="AP96" s="40" t="e">
        <f t="shared" ca="1" si="140"/>
        <v>#NUM!</v>
      </c>
      <c r="AQ96" s="40" t="e">
        <f t="shared" ca="1" si="141"/>
        <v>#NUM!</v>
      </c>
      <c r="AR96" s="40" t="e">
        <f t="shared" ca="1" si="142"/>
        <v>#NUM!</v>
      </c>
      <c r="AS96" s="40" t="e">
        <f t="shared" ca="1" si="143"/>
        <v>#NUM!</v>
      </c>
    </row>
    <row r="97" spans="1:45" x14ac:dyDescent="0.25">
      <c r="A97" s="154"/>
      <c r="B97" s="73">
        <f t="shared" si="119"/>
        <v>-59090.909090909088</v>
      </c>
      <c r="E97" s="148">
        <v>42826</v>
      </c>
      <c r="G97" s="139">
        <v>33</v>
      </c>
      <c r="H97" s="139">
        <v>0</v>
      </c>
      <c r="I97" s="49">
        <f t="shared" si="120"/>
        <v>46522</v>
      </c>
      <c r="J97" s="76">
        <v>1950000</v>
      </c>
      <c r="K97" s="40">
        <f t="shared" si="121"/>
        <v>33</v>
      </c>
      <c r="L97" s="74">
        <f t="shared" si="122"/>
        <v>1950000</v>
      </c>
      <c r="M97" s="76"/>
      <c r="N97" s="76">
        <f t="shared" si="123"/>
        <v>0</v>
      </c>
      <c r="O97" s="142"/>
      <c r="P97" s="142"/>
      <c r="Q97" s="142"/>
      <c r="R97" s="144"/>
      <c r="S97" s="144"/>
      <c r="T97" s="144"/>
      <c r="U97" s="144"/>
      <c r="V97" s="144"/>
      <c r="W97" s="144"/>
      <c r="X97" s="144"/>
      <c r="Y97" s="143"/>
      <c r="Z97" s="143">
        <f t="shared" si="124"/>
        <v>0</v>
      </c>
      <c r="AA97" s="9">
        <f t="shared" si="125"/>
        <v>0.375</v>
      </c>
      <c r="AB97" s="9">
        <f t="shared" si="126"/>
        <v>0</v>
      </c>
      <c r="AC97" s="9">
        <f t="shared" si="127"/>
        <v>0</v>
      </c>
      <c r="AD97" s="9">
        <f t="shared" si="128"/>
        <v>0</v>
      </c>
      <c r="AE97" s="40" t="e">
        <f t="shared" ca="1" si="129"/>
        <v>#NUM!</v>
      </c>
      <c r="AF97" s="40" t="e">
        <f t="shared" ca="1" si="130"/>
        <v>#NUM!</v>
      </c>
      <c r="AG97" s="40" t="e">
        <f t="shared" ca="1" si="131"/>
        <v>#NUM!</v>
      </c>
      <c r="AH97" s="40" t="e">
        <f t="shared" ca="1" si="132"/>
        <v>#NUM!</v>
      </c>
      <c r="AI97" s="40" t="e">
        <f t="shared" ca="1" si="133"/>
        <v>#NUM!</v>
      </c>
      <c r="AJ97" s="40" t="e">
        <f t="shared" ca="1" si="134"/>
        <v>#NUM!</v>
      </c>
      <c r="AK97" s="203" t="e">
        <f t="shared" ca="1" si="135"/>
        <v>#NUM!</v>
      </c>
      <c r="AL97" s="40" t="e">
        <f t="shared" ca="1" si="136"/>
        <v>#NUM!</v>
      </c>
      <c r="AM97" s="40" t="e">
        <f t="shared" ca="1" si="137"/>
        <v>#NUM!</v>
      </c>
      <c r="AN97" s="40" t="e">
        <f t="shared" ca="1" si="138"/>
        <v>#NUM!</v>
      </c>
      <c r="AO97" s="40" t="e">
        <f t="shared" ca="1" si="139"/>
        <v>#NUM!</v>
      </c>
      <c r="AP97" s="40" t="e">
        <f t="shared" ca="1" si="140"/>
        <v>#NUM!</v>
      </c>
      <c r="AQ97" s="40" t="e">
        <f t="shared" ca="1" si="141"/>
        <v>#NUM!</v>
      </c>
      <c r="AR97" s="40" t="e">
        <f t="shared" ca="1" si="142"/>
        <v>#NUM!</v>
      </c>
      <c r="AS97" s="40" t="e">
        <f t="shared" ca="1" si="143"/>
        <v>#NUM!</v>
      </c>
    </row>
    <row r="98" spans="1:45" x14ac:dyDescent="0.25">
      <c r="A98" s="154"/>
      <c r="B98" s="73">
        <f t="shared" si="119"/>
        <v>-59090.909090909088</v>
      </c>
      <c r="E98" s="148">
        <v>42826</v>
      </c>
      <c r="G98" s="139">
        <v>33</v>
      </c>
      <c r="H98" s="139">
        <v>0</v>
      </c>
      <c r="I98" s="49">
        <f t="shared" si="120"/>
        <v>46522</v>
      </c>
      <c r="J98" s="76">
        <v>1950000</v>
      </c>
      <c r="K98" s="40">
        <f t="shared" si="121"/>
        <v>33</v>
      </c>
      <c r="L98" s="74">
        <f t="shared" si="122"/>
        <v>1950000</v>
      </c>
      <c r="M98" s="76"/>
      <c r="N98" s="76">
        <f t="shared" si="123"/>
        <v>0</v>
      </c>
      <c r="O98" s="142"/>
      <c r="P98" s="142"/>
      <c r="Q98" s="142"/>
      <c r="R98" s="144"/>
      <c r="S98" s="144"/>
      <c r="T98" s="144"/>
      <c r="U98" s="144"/>
      <c r="V98" s="144"/>
      <c r="W98" s="144"/>
      <c r="X98" s="144"/>
      <c r="Y98" s="143"/>
      <c r="Z98" s="143">
        <f t="shared" si="124"/>
        <v>0</v>
      </c>
      <c r="AA98" s="9">
        <f t="shared" si="125"/>
        <v>0.375</v>
      </c>
      <c r="AB98" s="9">
        <f t="shared" si="126"/>
        <v>0</v>
      </c>
      <c r="AC98" s="9">
        <f t="shared" si="127"/>
        <v>0</v>
      </c>
      <c r="AD98" s="9">
        <f t="shared" si="128"/>
        <v>0</v>
      </c>
      <c r="AE98" s="40" t="e">
        <f t="shared" ca="1" si="129"/>
        <v>#NUM!</v>
      </c>
      <c r="AF98" s="40" t="e">
        <f t="shared" ca="1" si="130"/>
        <v>#NUM!</v>
      </c>
      <c r="AG98" s="40" t="e">
        <f t="shared" ca="1" si="131"/>
        <v>#NUM!</v>
      </c>
      <c r="AH98" s="40" t="e">
        <f t="shared" ca="1" si="132"/>
        <v>#NUM!</v>
      </c>
      <c r="AI98" s="40" t="e">
        <f t="shared" ca="1" si="133"/>
        <v>#NUM!</v>
      </c>
      <c r="AJ98" s="40" t="e">
        <f t="shared" ca="1" si="134"/>
        <v>#NUM!</v>
      </c>
      <c r="AK98" s="203" t="e">
        <f t="shared" ca="1" si="135"/>
        <v>#NUM!</v>
      </c>
      <c r="AL98" s="40" t="e">
        <f t="shared" ca="1" si="136"/>
        <v>#NUM!</v>
      </c>
      <c r="AM98" s="40" t="e">
        <f t="shared" ca="1" si="137"/>
        <v>#NUM!</v>
      </c>
      <c r="AN98" s="40" t="e">
        <f t="shared" ca="1" si="138"/>
        <v>#NUM!</v>
      </c>
      <c r="AO98" s="40" t="e">
        <f t="shared" ca="1" si="139"/>
        <v>#NUM!</v>
      </c>
      <c r="AP98" s="40" t="e">
        <f t="shared" ca="1" si="140"/>
        <v>#NUM!</v>
      </c>
      <c r="AQ98" s="40" t="e">
        <f t="shared" ca="1" si="141"/>
        <v>#NUM!</v>
      </c>
      <c r="AR98" s="40" t="e">
        <f t="shared" ca="1" si="142"/>
        <v>#NUM!</v>
      </c>
      <c r="AS98" s="40" t="e">
        <f t="shared" ca="1" si="143"/>
        <v>#NUM!</v>
      </c>
    </row>
    <row r="99" spans="1:45" x14ac:dyDescent="0.25">
      <c r="A99" s="154"/>
      <c r="B99" s="73">
        <f t="shared" si="119"/>
        <v>-59090.909090909088</v>
      </c>
      <c r="E99" s="148">
        <v>42826</v>
      </c>
      <c r="G99" s="139">
        <v>33</v>
      </c>
      <c r="H99" s="139">
        <v>0</v>
      </c>
      <c r="I99" s="49">
        <f t="shared" si="120"/>
        <v>46522</v>
      </c>
      <c r="J99" s="76">
        <v>1950000</v>
      </c>
      <c r="K99" s="40">
        <f t="shared" si="121"/>
        <v>33</v>
      </c>
      <c r="L99" s="74">
        <f t="shared" si="122"/>
        <v>1950000</v>
      </c>
      <c r="M99" s="76"/>
      <c r="N99" s="76">
        <f t="shared" si="123"/>
        <v>0</v>
      </c>
      <c r="O99" s="142"/>
      <c r="P99" s="142"/>
      <c r="Q99" s="142"/>
      <c r="R99" s="144"/>
      <c r="S99" s="144"/>
      <c r="T99" s="144"/>
      <c r="U99" s="144"/>
      <c r="V99" s="144"/>
      <c r="W99" s="144"/>
      <c r="X99" s="144"/>
      <c r="Y99" s="143"/>
      <c r="Z99" s="143">
        <f t="shared" si="124"/>
        <v>0</v>
      </c>
      <c r="AA99" s="9">
        <f t="shared" si="125"/>
        <v>0.375</v>
      </c>
      <c r="AB99" s="9">
        <f t="shared" si="126"/>
        <v>0</v>
      </c>
      <c r="AC99" s="9">
        <f t="shared" si="127"/>
        <v>0</v>
      </c>
      <c r="AD99" s="9">
        <f t="shared" si="128"/>
        <v>0</v>
      </c>
      <c r="AE99" s="40" t="e">
        <f t="shared" ca="1" si="129"/>
        <v>#NUM!</v>
      </c>
      <c r="AF99" s="40" t="e">
        <f t="shared" ca="1" si="130"/>
        <v>#NUM!</v>
      </c>
      <c r="AG99" s="40" t="e">
        <f t="shared" ca="1" si="131"/>
        <v>#NUM!</v>
      </c>
      <c r="AH99" s="40" t="e">
        <f t="shared" ca="1" si="132"/>
        <v>#NUM!</v>
      </c>
      <c r="AI99" s="40" t="e">
        <f t="shared" ca="1" si="133"/>
        <v>#NUM!</v>
      </c>
      <c r="AJ99" s="40" t="e">
        <f t="shared" ca="1" si="134"/>
        <v>#NUM!</v>
      </c>
      <c r="AK99" s="203" t="e">
        <f t="shared" ca="1" si="135"/>
        <v>#NUM!</v>
      </c>
      <c r="AL99" s="40" t="e">
        <f t="shared" ca="1" si="136"/>
        <v>#NUM!</v>
      </c>
      <c r="AM99" s="40" t="e">
        <f t="shared" ca="1" si="137"/>
        <v>#NUM!</v>
      </c>
      <c r="AN99" s="40" t="e">
        <f t="shared" ca="1" si="138"/>
        <v>#NUM!</v>
      </c>
      <c r="AO99" s="40" t="e">
        <f t="shared" ca="1" si="139"/>
        <v>#NUM!</v>
      </c>
      <c r="AP99" s="40" t="e">
        <f t="shared" ca="1" si="140"/>
        <v>#NUM!</v>
      </c>
      <c r="AQ99" s="40" t="e">
        <f t="shared" ca="1" si="141"/>
        <v>#NUM!</v>
      </c>
      <c r="AR99" s="40" t="e">
        <f t="shared" ca="1" si="142"/>
        <v>#NUM!</v>
      </c>
      <c r="AS99" s="40" t="e">
        <f t="shared" ca="1" si="143"/>
        <v>#NUM!</v>
      </c>
    </row>
    <row r="100" spans="1:45" x14ac:dyDescent="0.25">
      <c r="A100" s="154"/>
      <c r="B100" s="73">
        <f t="shared" si="119"/>
        <v>-59090.909090909088</v>
      </c>
      <c r="E100" s="148">
        <v>42826</v>
      </c>
      <c r="G100" s="139">
        <v>33</v>
      </c>
      <c r="H100" s="139">
        <v>0</v>
      </c>
      <c r="I100" s="49">
        <f t="shared" si="120"/>
        <v>46522</v>
      </c>
      <c r="J100" s="76">
        <v>1950000</v>
      </c>
      <c r="K100" s="40">
        <f t="shared" si="121"/>
        <v>33</v>
      </c>
      <c r="L100" s="74">
        <f t="shared" si="122"/>
        <v>1950000</v>
      </c>
      <c r="M100" s="76"/>
      <c r="N100" s="76">
        <f t="shared" si="123"/>
        <v>0</v>
      </c>
      <c r="O100" s="142"/>
      <c r="P100" s="142"/>
      <c r="Q100" s="142"/>
      <c r="R100" s="144"/>
      <c r="S100" s="144"/>
      <c r="T100" s="144"/>
      <c r="U100" s="144"/>
      <c r="V100" s="144"/>
      <c r="W100" s="144"/>
      <c r="X100" s="144"/>
      <c r="Y100" s="143"/>
      <c r="Z100" s="143">
        <f t="shared" si="124"/>
        <v>0</v>
      </c>
      <c r="AA100" s="9">
        <f t="shared" si="125"/>
        <v>0.375</v>
      </c>
      <c r="AB100" s="9">
        <f t="shared" si="126"/>
        <v>0</v>
      </c>
      <c r="AC100" s="9">
        <f t="shared" si="127"/>
        <v>0</v>
      </c>
      <c r="AD100" s="9">
        <f t="shared" si="128"/>
        <v>0</v>
      </c>
      <c r="AE100" s="40" t="e">
        <f t="shared" ca="1" si="129"/>
        <v>#NUM!</v>
      </c>
      <c r="AF100" s="40" t="e">
        <f t="shared" ca="1" si="130"/>
        <v>#NUM!</v>
      </c>
      <c r="AG100" s="40" t="e">
        <f t="shared" ca="1" si="131"/>
        <v>#NUM!</v>
      </c>
      <c r="AH100" s="40" t="e">
        <f t="shared" ca="1" si="132"/>
        <v>#NUM!</v>
      </c>
      <c r="AI100" s="40" t="e">
        <f t="shared" ca="1" si="133"/>
        <v>#NUM!</v>
      </c>
      <c r="AJ100" s="40" t="e">
        <f t="shared" ca="1" si="134"/>
        <v>#NUM!</v>
      </c>
      <c r="AK100" s="203" t="e">
        <f t="shared" ca="1" si="135"/>
        <v>#NUM!</v>
      </c>
      <c r="AL100" s="40" t="e">
        <f t="shared" ca="1" si="136"/>
        <v>#NUM!</v>
      </c>
      <c r="AM100" s="40" t="e">
        <f t="shared" ca="1" si="137"/>
        <v>#NUM!</v>
      </c>
      <c r="AN100" s="40" t="e">
        <f t="shared" ca="1" si="138"/>
        <v>#NUM!</v>
      </c>
      <c r="AO100" s="40" t="e">
        <f t="shared" ca="1" si="139"/>
        <v>#NUM!</v>
      </c>
      <c r="AP100" s="40" t="e">
        <f t="shared" ca="1" si="140"/>
        <v>#NUM!</v>
      </c>
      <c r="AQ100" s="40" t="e">
        <f t="shared" ca="1" si="141"/>
        <v>#NUM!</v>
      </c>
      <c r="AR100" s="40" t="e">
        <f t="shared" ca="1" si="142"/>
        <v>#NUM!</v>
      </c>
      <c r="AS100" s="40" t="e">
        <f t="shared" ca="1" si="143"/>
        <v>#NUM!</v>
      </c>
    </row>
    <row r="101" spans="1:45" x14ac:dyDescent="0.25">
      <c r="A101" s="154"/>
      <c r="B101" s="73">
        <f t="shared" si="119"/>
        <v>-59090.909090909088</v>
      </c>
      <c r="E101" s="148">
        <v>42826</v>
      </c>
      <c r="G101" s="139">
        <v>33</v>
      </c>
      <c r="H101" s="139">
        <v>0</v>
      </c>
      <c r="I101" s="49">
        <f t="shared" si="120"/>
        <v>46522</v>
      </c>
      <c r="J101" s="76">
        <v>1950000</v>
      </c>
      <c r="K101" s="40">
        <f t="shared" si="121"/>
        <v>33</v>
      </c>
      <c r="L101" s="74">
        <f t="shared" si="122"/>
        <v>1950000</v>
      </c>
      <c r="M101" s="76"/>
      <c r="N101" s="76">
        <f t="shared" si="123"/>
        <v>0</v>
      </c>
      <c r="O101" s="142"/>
      <c r="P101" s="142"/>
      <c r="Q101" s="142"/>
      <c r="R101" s="144"/>
      <c r="S101" s="144"/>
      <c r="T101" s="144"/>
      <c r="U101" s="144"/>
      <c r="V101" s="144"/>
      <c r="W101" s="144"/>
      <c r="X101" s="144"/>
      <c r="Y101" s="143"/>
      <c r="Z101" s="143">
        <f t="shared" si="124"/>
        <v>0</v>
      </c>
      <c r="AA101" s="9">
        <f t="shared" si="125"/>
        <v>0.375</v>
      </c>
      <c r="AB101" s="9">
        <f t="shared" si="126"/>
        <v>0</v>
      </c>
      <c r="AC101" s="9">
        <f t="shared" si="127"/>
        <v>0</v>
      </c>
      <c r="AD101" s="9">
        <f t="shared" si="128"/>
        <v>0</v>
      </c>
      <c r="AE101" s="40" t="e">
        <f t="shared" ca="1" si="129"/>
        <v>#NUM!</v>
      </c>
      <c r="AF101" s="40" t="e">
        <f t="shared" ca="1" si="130"/>
        <v>#NUM!</v>
      </c>
      <c r="AG101" s="40" t="e">
        <f t="shared" ca="1" si="131"/>
        <v>#NUM!</v>
      </c>
      <c r="AH101" s="40" t="e">
        <f t="shared" ca="1" si="132"/>
        <v>#NUM!</v>
      </c>
      <c r="AI101" s="40" t="e">
        <f t="shared" ca="1" si="133"/>
        <v>#NUM!</v>
      </c>
      <c r="AJ101" s="40" t="e">
        <f t="shared" ca="1" si="134"/>
        <v>#NUM!</v>
      </c>
      <c r="AK101" s="203" t="e">
        <f t="shared" ca="1" si="135"/>
        <v>#NUM!</v>
      </c>
      <c r="AL101" s="40" t="e">
        <f t="shared" ca="1" si="136"/>
        <v>#NUM!</v>
      </c>
      <c r="AM101" s="40" t="e">
        <f t="shared" ca="1" si="137"/>
        <v>#NUM!</v>
      </c>
      <c r="AN101" s="40" t="e">
        <f t="shared" ca="1" si="138"/>
        <v>#NUM!</v>
      </c>
      <c r="AO101" s="40" t="e">
        <f t="shared" ca="1" si="139"/>
        <v>#NUM!</v>
      </c>
      <c r="AP101" s="40" t="e">
        <f t="shared" ca="1" si="140"/>
        <v>#NUM!</v>
      </c>
      <c r="AQ101" s="40" t="e">
        <f t="shared" ca="1" si="141"/>
        <v>#NUM!</v>
      </c>
      <c r="AR101" s="40" t="e">
        <f t="shared" ca="1" si="142"/>
        <v>#NUM!</v>
      </c>
      <c r="AS101" s="40" t="e">
        <f t="shared" ca="1" si="143"/>
        <v>#NUM!</v>
      </c>
    </row>
    <row r="102" spans="1:45" x14ac:dyDescent="0.25">
      <c r="A102" s="154"/>
      <c r="B102" s="73">
        <f t="shared" si="119"/>
        <v>-59090.909090909088</v>
      </c>
      <c r="E102" s="148">
        <v>42826</v>
      </c>
      <c r="G102" s="139">
        <v>33</v>
      </c>
      <c r="H102" s="139">
        <v>0</v>
      </c>
      <c r="I102" s="49">
        <f t="shared" si="120"/>
        <v>46522</v>
      </c>
      <c r="J102" s="76">
        <v>1950000</v>
      </c>
      <c r="K102" s="40">
        <f t="shared" si="121"/>
        <v>33</v>
      </c>
      <c r="L102" s="74">
        <f t="shared" si="122"/>
        <v>1950000</v>
      </c>
      <c r="M102" s="76"/>
      <c r="N102" s="76">
        <f t="shared" si="123"/>
        <v>0</v>
      </c>
      <c r="O102" s="142"/>
      <c r="P102" s="142"/>
      <c r="Q102" s="142"/>
      <c r="R102" s="144"/>
      <c r="S102" s="144"/>
      <c r="T102" s="144"/>
      <c r="U102" s="144"/>
      <c r="V102" s="144"/>
      <c r="W102" s="144"/>
      <c r="X102" s="144"/>
      <c r="Y102" s="143"/>
      <c r="Z102" s="143">
        <f t="shared" si="124"/>
        <v>0</v>
      </c>
      <c r="AA102" s="9">
        <f t="shared" si="125"/>
        <v>0.375</v>
      </c>
      <c r="AB102" s="9">
        <f t="shared" si="126"/>
        <v>0</v>
      </c>
      <c r="AC102" s="9">
        <f t="shared" si="127"/>
        <v>0</v>
      </c>
      <c r="AD102" s="9">
        <f t="shared" si="128"/>
        <v>0</v>
      </c>
      <c r="AE102" s="40" t="e">
        <f t="shared" ca="1" si="129"/>
        <v>#NUM!</v>
      </c>
      <c r="AF102" s="40" t="e">
        <f t="shared" ca="1" si="130"/>
        <v>#NUM!</v>
      </c>
      <c r="AG102" s="40" t="e">
        <f t="shared" ca="1" si="131"/>
        <v>#NUM!</v>
      </c>
      <c r="AH102" s="40" t="e">
        <f t="shared" ca="1" si="132"/>
        <v>#NUM!</v>
      </c>
      <c r="AI102" s="40" t="e">
        <f t="shared" ca="1" si="133"/>
        <v>#NUM!</v>
      </c>
      <c r="AJ102" s="40" t="e">
        <f t="shared" ca="1" si="134"/>
        <v>#NUM!</v>
      </c>
      <c r="AK102" s="203" t="e">
        <f t="shared" ca="1" si="135"/>
        <v>#NUM!</v>
      </c>
      <c r="AL102" s="40" t="e">
        <f t="shared" ca="1" si="136"/>
        <v>#NUM!</v>
      </c>
      <c r="AM102" s="40" t="e">
        <f t="shared" ca="1" si="137"/>
        <v>#NUM!</v>
      </c>
      <c r="AN102" s="40" t="e">
        <f t="shared" ca="1" si="138"/>
        <v>#NUM!</v>
      </c>
      <c r="AO102" s="40" t="e">
        <f t="shared" ca="1" si="139"/>
        <v>#NUM!</v>
      </c>
      <c r="AP102" s="40" t="e">
        <f t="shared" ca="1" si="140"/>
        <v>#NUM!</v>
      </c>
      <c r="AQ102" s="40" t="e">
        <f t="shared" ca="1" si="141"/>
        <v>#NUM!</v>
      </c>
      <c r="AR102" s="40" t="e">
        <f t="shared" ca="1" si="142"/>
        <v>#NUM!</v>
      </c>
      <c r="AS102" s="40" t="e">
        <f t="shared" ca="1" si="143"/>
        <v>#NUM!</v>
      </c>
    </row>
    <row r="103" spans="1:45" x14ac:dyDescent="0.25">
      <c r="A103" s="154"/>
      <c r="B103" s="73">
        <f t="shared" si="119"/>
        <v>-59090.909090909088</v>
      </c>
      <c r="E103" s="148">
        <v>42826</v>
      </c>
      <c r="G103" s="139">
        <v>33</v>
      </c>
      <c r="H103" s="139">
        <v>0</v>
      </c>
      <c r="I103" s="49">
        <f t="shared" si="120"/>
        <v>46522</v>
      </c>
      <c r="J103" s="76">
        <v>1950000</v>
      </c>
      <c r="K103" s="40">
        <f t="shared" si="121"/>
        <v>33</v>
      </c>
      <c r="L103" s="74">
        <f t="shared" si="122"/>
        <v>1950000</v>
      </c>
      <c r="M103" s="76"/>
      <c r="N103" s="76">
        <f t="shared" si="123"/>
        <v>0</v>
      </c>
      <c r="O103" s="142"/>
      <c r="P103" s="142"/>
      <c r="Q103" s="142"/>
      <c r="R103" s="144"/>
      <c r="S103" s="144"/>
      <c r="T103" s="144"/>
      <c r="U103" s="144"/>
      <c r="V103" s="144"/>
      <c r="W103" s="144"/>
      <c r="X103" s="144"/>
      <c r="Y103" s="143"/>
      <c r="Z103" s="143">
        <f t="shared" si="124"/>
        <v>0</v>
      </c>
      <c r="AA103" s="9">
        <f t="shared" si="125"/>
        <v>0.375</v>
      </c>
      <c r="AB103" s="9">
        <f t="shared" si="126"/>
        <v>0</v>
      </c>
      <c r="AC103" s="9">
        <f t="shared" si="127"/>
        <v>0</v>
      </c>
      <c r="AD103" s="9">
        <f t="shared" si="128"/>
        <v>0</v>
      </c>
      <c r="AE103" s="40" t="e">
        <f t="shared" ca="1" si="129"/>
        <v>#NUM!</v>
      </c>
      <c r="AF103" s="40" t="e">
        <f t="shared" ca="1" si="130"/>
        <v>#NUM!</v>
      </c>
      <c r="AG103" s="40" t="e">
        <f t="shared" ca="1" si="131"/>
        <v>#NUM!</v>
      </c>
      <c r="AH103" s="40" t="e">
        <f t="shared" ca="1" si="132"/>
        <v>#NUM!</v>
      </c>
      <c r="AI103" s="40" t="e">
        <f t="shared" ca="1" si="133"/>
        <v>#NUM!</v>
      </c>
      <c r="AJ103" s="40" t="e">
        <f t="shared" ca="1" si="134"/>
        <v>#NUM!</v>
      </c>
      <c r="AK103" s="203" t="e">
        <f t="shared" ca="1" si="135"/>
        <v>#NUM!</v>
      </c>
      <c r="AL103" s="40" t="e">
        <f t="shared" ca="1" si="136"/>
        <v>#NUM!</v>
      </c>
      <c r="AM103" s="40" t="e">
        <f t="shared" ca="1" si="137"/>
        <v>#NUM!</v>
      </c>
      <c r="AN103" s="40" t="e">
        <f t="shared" ca="1" si="138"/>
        <v>#NUM!</v>
      </c>
      <c r="AO103" s="40" t="e">
        <f t="shared" ca="1" si="139"/>
        <v>#NUM!</v>
      </c>
      <c r="AP103" s="40" t="e">
        <f t="shared" ca="1" si="140"/>
        <v>#NUM!</v>
      </c>
      <c r="AQ103" s="40" t="e">
        <f t="shared" ca="1" si="141"/>
        <v>#NUM!</v>
      </c>
      <c r="AR103" s="40" t="e">
        <f t="shared" ca="1" si="142"/>
        <v>#NUM!</v>
      </c>
      <c r="AS103" s="40" t="e">
        <f t="shared" ca="1" si="143"/>
        <v>#NUM!</v>
      </c>
    </row>
    <row r="104" spans="1:45" x14ac:dyDescent="0.25">
      <c r="A104" s="154"/>
      <c r="B104" s="73">
        <f t="shared" si="119"/>
        <v>-59090.909090909088</v>
      </c>
      <c r="E104" s="148">
        <v>42826</v>
      </c>
      <c r="G104" s="139">
        <v>33</v>
      </c>
      <c r="H104" s="139">
        <v>0</v>
      </c>
      <c r="I104" s="49">
        <f t="shared" si="120"/>
        <v>46522</v>
      </c>
      <c r="J104" s="76">
        <v>1950000</v>
      </c>
      <c r="K104" s="40">
        <f t="shared" si="121"/>
        <v>33</v>
      </c>
      <c r="L104" s="74">
        <f t="shared" si="122"/>
        <v>1950000</v>
      </c>
      <c r="M104" s="76"/>
      <c r="N104" s="76">
        <f t="shared" si="123"/>
        <v>0</v>
      </c>
      <c r="O104" s="142"/>
      <c r="P104" s="142"/>
      <c r="Q104" s="142"/>
      <c r="R104" s="144"/>
      <c r="S104" s="144"/>
      <c r="T104" s="144"/>
      <c r="U104" s="144"/>
      <c r="V104" s="144"/>
      <c r="W104" s="144"/>
      <c r="X104" s="144"/>
      <c r="Y104" s="143"/>
      <c r="Z104" s="143">
        <f t="shared" si="124"/>
        <v>0</v>
      </c>
      <c r="AA104" s="9">
        <f t="shared" si="125"/>
        <v>0.375</v>
      </c>
      <c r="AB104" s="9">
        <f t="shared" si="126"/>
        <v>0</v>
      </c>
      <c r="AC104" s="9">
        <f t="shared" si="127"/>
        <v>0</v>
      </c>
      <c r="AD104" s="9">
        <f t="shared" si="128"/>
        <v>0</v>
      </c>
      <c r="AE104" s="40" t="e">
        <f t="shared" ca="1" si="129"/>
        <v>#NUM!</v>
      </c>
      <c r="AF104" s="40" t="e">
        <f t="shared" ca="1" si="130"/>
        <v>#NUM!</v>
      </c>
      <c r="AG104" s="40" t="e">
        <f t="shared" ca="1" si="131"/>
        <v>#NUM!</v>
      </c>
      <c r="AH104" s="40" t="e">
        <f t="shared" ca="1" si="132"/>
        <v>#NUM!</v>
      </c>
      <c r="AI104" s="40" t="e">
        <f t="shared" ca="1" si="133"/>
        <v>#NUM!</v>
      </c>
      <c r="AJ104" s="40" t="e">
        <f t="shared" ca="1" si="134"/>
        <v>#NUM!</v>
      </c>
      <c r="AK104" s="203" t="e">
        <f t="shared" ca="1" si="135"/>
        <v>#NUM!</v>
      </c>
      <c r="AL104" s="40" t="e">
        <f t="shared" ca="1" si="136"/>
        <v>#NUM!</v>
      </c>
      <c r="AM104" s="40" t="e">
        <f t="shared" ca="1" si="137"/>
        <v>#NUM!</v>
      </c>
      <c r="AN104" s="40" t="e">
        <f t="shared" ca="1" si="138"/>
        <v>#NUM!</v>
      </c>
      <c r="AO104" s="40" t="e">
        <f t="shared" ca="1" si="139"/>
        <v>#NUM!</v>
      </c>
      <c r="AP104" s="40" t="e">
        <f t="shared" ca="1" si="140"/>
        <v>#NUM!</v>
      </c>
      <c r="AQ104" s="40" t="e">
        <f t="shared" ca="1" si="141"/>
        <v>#NUM!</v>
      </c>
      <c r="AR104" s="40" t="e">
        <f t="shared" ca="1" si="142"/>
        <v>#NUM!</v>
      </c>
      <c r="AS104" s="40" t="e">
        <f t="shared" ca="1" si="143"/>
        <v>#NUM!</v>
      </c>
    </row>
    <row r="105" spans="1:45" x14ac:dyDescent="0.25">
      <c r="A105" s="154"/>
      <c r="B105" s="73">
        <f t="shared" si="119"/>
        <v>-59090.909090909088</v>
      </c>
      <c r="E105" s="148">
        <v>42826</v>
      </c>
      <c r="G105" s="139">
        <v>33</v>
      </c>
      <c r="H105" s="139">
        <v>0</v>
      </c>
      <c r="I105" s="49">
        <f t="shared" si="120"/>
        <v>46522</v>
      </c>
      <c r="J105" s="76">
        <v>1950000</v>
      </c>
      <c r="K105" s="40">
        <f t="shared" si="121"/>
        <v>33</v>
      </c>
      <c r="L105" s="74">
        <f t="shared" si="122"/>
        <v>1950000</v>
      </c>
      <c r="M105" s="76"/>
      <c r="N105" s="76">
        <f t="shared" si="123"/>
        <v>0</v>
      </c>
      <c r="O105" s="142"/>
      <c r="P105" s="142"/>
      <c r="Q105" s="142"/>
      <c r="R105" s="144"/>
      <c r="S105" s="144"/>
      <c r="T105" s="144"/>
      <c r="U105" s="144"/>
      <c r="V105" s="144"/>
      <c r="W105" s="144"/>
      <c r="X105" s="144"/>
      <c r="Y105" s="143"/>
      <c r="Z105" s="143">
        <f t="shared" si="124"/>
        <v>0</v>
      </c>
      <c r="AA105" s="9">
        <f t="shared" si="125"/>
        <v>0.375</v>
      </c>
      <c r="AB105" s="9">
        <f t="shared" si="126"/>
        <v>0</v>
      </c>
      <c r="AC105" s="9">
        <f t="shared" si="127"/>
        <v>0</v>
      </c>
      <c r="AD105" s="9">
        <f t="shared" si="128"/>
        <v>0</v>
      </c>
      <c r="AE105" s="40" t="e">
        <f t="shared" ca="1" si="129"/>
        <v>#NUM!</v>
      </c>
      <c r="AF105" s="40" t="e">
        <f t="shared" ca="1" si="130"/>
        <v>#NUM!</v>
      </c>
      <c r="AG105" s="40" t="e">
        <f t="shared" ca="1" si="131"/>
        <v>#NUM!</v>
      </c>
      <c r="AH105" s="40" t="e">
        <f t="shared" ca="1" si="132"/>
        <v>#NUM!</v>
      </c>
      <c r="AI105" s="40" t="e">
        <f t="shared" ca="1" si="133"/>
        <v>#NUM!</v>
      </c>
      <c r="AJ105" s="40" t="e">
        <f t="shared" ca="1" si="134"/>
        <v>#NUM!</v>
      </c>
      <c r="AK105" s="203" t="e">
        <f t="shared" ca="1" si="135"/>
        <v>#NUM!</v>
      </c>
      <c r="AL105" s="40" t="e">
        <f t="shared" ca="1" si="136"/>
        <v>#NUM!</v>
      </c>
      <c r="AM105" s="40" t="e">
        <f t="shared" ca="1" si="137"/>
        <v>#NUM!</v>
      </c>
      <c r="AN105" s="40" t="e">
        <f t="shared" ca="1" si="138"/>
        <v>#NUM!</v>
      </c>
      <c r="AO105" s="40" t="e">
        <f t="shared" ca="1" si="139"/>
        <v>#NUM!</v>
      </c>
      <c r="AP105" s="40" t="e">
        <f t="shared" ca="1" si="140"/>
        <v>#NUM!</v>
      </c>
      <c r="AQ105" s="40" t="e">
        <f t="shared" ca="1" si="141"/>
        <v>#NUM!</v>
      </c>
      <c r="AR105" s="40" t="e">
        <f t="shared" ca="1" si="142"/>
        <v>#NUM!</v>
      </c>
      <c r="AS105" s="40" t="e">
        <f t="shared" ca="1" si="143"/>
        <v>#NUM!</v>
      </c>
    </row>
    <row r="106" spans="1:45" x14ac:dyDescent="0.25">
      <c r="A106" s="154"/>
      <c r="B106" s="73">
        <f t="shared" si="119"/>
        <v>-59090.909090909088</v>
      </c>
      <c r="E106" s="148">
        <v>42826</v>
      </c>
      <c r="G106" s="139">
        <v>33</v>
      </c>
      <c r="H106" s="139">
        <v>0</v>
      </c>
      <c r="I106" s="49">
        <f t="shared" si="120"/>
        <v>46522</v>
      </c>
      <c r="J106" s="76">
        <v>1950000</v>
      </c>
      <c r="K106" s="40">
        <f t="shared" si="121"/>
        <v>33</v>
      </c>
      <c r="L106" s="74">
        <f t="shared" si="122"/>
        <v>1950000</v>
      </c>
      <c r="M106" s="76"/>
      <c r="N106" s="76">
        <f t="shared" si="123"/>
        <v>0</v>
      </c>
      <c r="O106" s="142"/>
      <c r="P106" s="142"/>
      <c r="Q106" s="142"/>
      <c r="R106" s="144"/>
      <c r="S106" s="144"/>
      <c r="T106" s="144"/>
      <c r="U106" s="144"/>
      <c r="V106" s="144"/>
      <c r="W106" s="144"/>
      <c r="X106" s="144"/>
      <c r="Y106" s="143"/>
      <c r="Z106" s="143">
        <f t="shared" si="124"/>
        <v>0</v>
      </c>
      <c r="AA106" s="9">
        <f t="shared" si="125"/>
        <v>0.375</v>
      </c>
      <c r="AB106" s="9">
        <f t="shared" si="126"/>
        <v>0</v>
      </c>
      <c r="AC106" s="9">
        <f t="shared" si="127"/>
        <v>0</v>
      </c>
      <c r="AD106" s="9">
        <f t="shared" si="128"/>
        <v>0</v>
      </c>
      <c r="AE106" s="40" t="e">
        <f t="shared" ca="1" si="129"/>
        <v>#NUM!</v>
      </c>
      <c r="AF106" s="40" t="e">
        <f t="shared" ca="1" si="130"/>
        <v>#NUM!</v>
      </c>
      <c r="AG106" s="40" t="e">
        <f t="shared" ca="1" si="131"/>
        <v>#NUM!</v>
      </c>
      <c r="AH106" s="40" t="e">
        <f t="shared" ca="1" si="132"/>
        <v>#NUM!</v>
      </c>
      <c r="AI106" s="40" t="e">
        <f t="shared" ca="1" si="133"/>
        <v>#NUM!</v>
      </c>
      <c r="AJ106" s="40" t="e">
        <f t="shared" ca="1" si="134"/>
        <v>#NUM!</v>
      </c>
      <c r="AK106" s="203" t="e">
        <f t="shared" ca="1" si="135"/>
        <v>#NUM!</v>
      </c>
      <c r="AL106" s="40" t="e">
        <f t="shared" ca="1" si="136"/>
        <v>#NUM!</v>
      </c>
      <c r="AM106" s="40" t="e">
        <f t="shared" ca="1" si="137"/>
        <v>#NUM!</v>
      </c>
      <c r="AN106" s="40" t="e">
        <f t="shared" ca="1" si="138"/>
        <v>#NUM!</v>
      </c>
      <c r="AO106" s="40" t="e">
        <f t="shared" ca="1" si="139"/>
        <v>#NUM!</v>
      </c>
      <c r="AP106" s="40" t="e">
        <f t="shared" ca="1" si="140"/>
        <v>#NUM!</v>
      </c>
      <c r="AQ106" s="40" t="e">
        <f t="shared" ca="1" si="141"/>
        <v>#NUM!</v>
      </c>
      <c r="AR106" s="40" t="e">
        <f t="shared" ca="1" si="142"/>
        <v>#NUM!</v>
      </c>
      <c r="AS106" s="40" t="e">
        <f t="shared" ca="1" si="143"/>
        <v>#NUM!</v>
      </c>
    </row>
    <row r="107" spans="1:45" x14ac:dyDescent="0.25">
      <c r="A107" s="154"/>
      <c r="B107" s="73">
        <f t="shared" si="119"/>
        <v>-59090.909090909088</v>
      </c>
      <c r="E107" s="148">
        <v>42826</v>
      </c>
      <c r="G107" s="139">
        <v>33</v>
      </c>
      <c r="H107" s="139">
        <v>0</v>
      </c>
      <c r="I107" s="49">
        <f t="shared" si="120"/>
        <v>46522</v>
      </c>
      <c r="J107" s="76">
        <v>1950000</v>
      </c>
      <c r="K107" s="40">
        <f t="shared" si="121"/>
        <v>33</v>
      </c>
      <c r="L107" s="74">
        <f t="shared" si="122"/>
        <v>1950000</v>
      </c>
      <c r="M107" s="76"/>
      <c r="N107" s="76">
        <f t="shared" si="123"/>
        <v>0</v>
      </c>
      <c r="O107" s="142"/>
      <c r="P107" s="142"/>
      <c r="Q107" s="142"/>
      <c r="R107" s="144"/>
      <c r="S107" s="144"/>
      <c r="T107" s="144"/>
      <c r="U107" s="144"/>
      <c r="V107" s="144"/>
      <c r="W107" s="144"/>
      <c r="X107" s="144"/>
      <c r="Y107" s="143"/>
      <c r="Z107" s="143">
        <f t="shared" si="124"/>
        <v>0</v>
      </c>
      <c r="AA107" s="9">
        <f t="shared" si="125"/>
        <v>0.375</v>
      </c>
      <c r="AB107" s="9">
        <f t="shared" si="126"/>
        <v>0</v>
      </c>
      <c r="AC107" s="9">
        <f t="shared" si="127"/>
        <v>0</v>
      </c>
      <c r="AD107" s="9">
        <f t="shared" si="128"/>
        <v>0</v>
      </c>
      <c r="AE107" s="40" t="e">
        <f t="shared" ca="1" si="129"/>
        <v>#NUM!</v>
      </c>
      <c r="AF107" s="40" t="e">
        <f t="shared" ca="1" si="130"/>
        <v>#NUM!</v>
      </c>
      <c r="AG107" s="40" t="e">
        <f t="shared" ca="1" si="131"/>
        <v>#NUM!</v>
      </c>
      <c r="AH107" s="40" t="e">
        <f t="shared" ca="1" si="132"/>
        <v>#NUM!</v>
      </c>
      <c r="AI107" s="40" t="e">
        <f t="shared" ca="1" si="133"/>
        <v>#NUM!</v>
      </c>
      <c r="AJ107" s="40" t="e">
        <f t="shared" ca="1" si="134"/>
        <v>#NUM!</v>
      </c>
      <c r="AK107" s="203" t="e">
        <f t="shared" ca="1" si="135"/>
        <v>#NUM!</v>
      </c>
      <c r="AL107" s="40" t="e">
        <f t="shared" ca="1" si="136"/>
        <v>#NUM!</v>
      </c>
      <c r="AM107" s="40" t="e">
        <f t="shared" ca="1" si="137"/>
        <v>#NUM!</v>
      </c>
      <c r="AN107" s="40" t="e">
        <f t="shared" ca="1" si="138"/>
        <v>#NUM!</v>
      </c>
      <c r="AO107" s="40" t="e">
        <f t="shared" ca="1" si="139"/>
        <v>#NUM!</v>
      </c>
      <c r="AP107" s="40" t="e">
        <f t="shared" ca="1" si="140"/>
        <v>#NUM!</v>
      </c>
      <c r="AQ107" s="40" t="e">
        <f t="shared" ca="1" si="141"/>
        <v>#NUM!</v>
      </c>
      <c r="AR107" s="40" t="e">
        <f t="shared" ca="1" si="142"/>
        <v>#NUM!</v>
      </c>
      <c r="AS107" s="40" t="e">
        <f t="shared" ca="1" si="143"/>
        <v>#NUM!</v>
      </c>
    </row>
    <row r="108" spans="1:45" x14ac:dyDescent="0.25">
      <c r="A108" s="154"/>
      <c r="B108" s="73">
        <f t="shared" si="119"/>
        <v>-59090.909090909088</v>
      </c>
      <c r="E108" s="148">
        <v>42826</v>
      </c>
      <c r="G108" s="139">
        <v>33</v>
      </c>
      <c r="H108" s="139">
        <v>0</v>
      </c>
      <c r="I108" s="49">
        <f t="shared" si="120"/>
        <v>46522</v>
      </c>
      <c r="J108" s="76">
        <v>1950000</v>
      </c>
      <c r="K108" s="40">
        <f t="shared" si="121"/>
        <v>33</v>
      </c>
      <c r="L108" s="74">
        <f t="shared" si="122"/>
        <v>1950000</v>
      </c>
      <c r="M108" s="76"/>
      <c r="N108" s="76">
        <f t="shared" si="123"/>
        <v>0</v>
      </c>
      <c r="O108" s="142"/>
      <c r="P108" s="142"/>
      <c r="Q108" s="142"/>
      <c r="R108" s="144"/>
      <c r="S108" s="144"/>
      <c r="T108" s="144"/>
      <c r="U108" s="144"/>
      <c r="V108" s="144"/>
      <c r="W108" s="144"/>
      <c r="X108" s="144"/>
      <c r="Y108" s="143"/>
      <c r="Z108" s="143">
        <f t="shared" si="124"/>
        <v>0</v>
      </c>
      <c r="AA108" s="9">
        <f t="shared" si="125"/>
        <v>0.375</v>
      </c>
      <c r="AB108" s="9">
        <f t="shared" si="126"/>
        <v>0</v>
      </c>
      <c r="AC108" s="9">
        <f t="shared" si="127"/>
        <v>0</v>
      </c>
      <c r="AD108" s="9">
        <f t="shared" si="128"/>
        <v>0</v>
      </c>
      <c r="AE108" s="40" t="e">
        <f t="shared" ca="1" si="129"/>
        <v>#NUM!</v>
      </c>
      <c r="AF108" s="40" t="e">
        <f t="shared" ca="1" si="130"/>
        <v>#NUM!</v>
      </c>
      <c r="AG108" s="40" t="e">
        <f t="shared" ca="1" si="131"/>
        <v>#NUM!</v>
      </c>
      <c r="AH108" s="40" t="e">
        <f t="shared" ca="1" si="132"/>
        <v>#NUM!</v>
      </c>
      <c r="AI108" s="40" t="e">
        <f t="shared" ca="1" si="133"/>
        <v>#NUM!</v>
      </c>
      <c r="AJ108" s="40" t="e">
        <f t="shared" ca="1" si="134"/>
        <v>#NUM!</v>
      </c>
      <c r="AK108" s="203" t="e">
        <f t="shared" ca="1" si="135"/>
        <v>#NUM!</v>
      </c>
      <c r="AL108" s="40" t="e">
        <f t="shared" ca="1" si="136"/>
        <v>#NUM!</v>
      </c>
      <c r="AM108" s="40" t="e">
        <f t="shared" ca="1" si="137"/>
        <v>#NUM!</v>
      </c>
      <c r="AN108" s="40" t="e">
        <f t="shared" ca="1" si="138"/>
        <v>#NUM!</v>
      </c>
      <c r="AO108" s="40" t="e">
        <f t="shared" ca="1" si="139"/>
        <v>#NUM!</v>
      </c>
      <c r="AP108" s="40" t="e">
        <f t="shared" ca="1" si="140"/>
        <v>#NUM!</v>
      </c>
      <c r="AQ108" s="40" t="e">
        <f t="shared" ca="1" si="141"/>
        <v>#NUM!</v>
      </c>
      <c r="AR108" s="40" t="e">
        <f t="shared" ca="1" si="142"/>
        <v>#NUM!</v>
      </c>
      <c r="AS108" s="40" t="e">
        <f t="shared" ca="1" si="143"/>
        <v>#NUM!</v>
      </c>
    </row>
    <row r="109" spans="1:45" x14ac:dyDescent="0.25">
      <c r="A109" s="154"/>
      <c r="B109" s="73">
        <f t="shared" si="119"/>
        <v>-59090.909090909088</v>
      </c>
      <c r="E109" s="148">
        <v>42826</v>
      </c>
      <c r="G109" s="139">
        <v>33</v>
      </c>
      <c r="H109" s="139">
        <v>0</v>
      </c>
      <c r="I109" s="49">
        <f t="shared" si="120"/>
        <v>46522</v>
      </c>
      <c r="J109" s="76">
        <v>1950000</v>
      </c>
      <c r="K109" s="40">
        <f t="shared" si="121"/>
        <v>33</v>
      </c>
      <c r="L109" s="74">
        <f t="shared" si="122"/>
        <v>1950000</v>
      </c>
      <c r="M109" s="76"/>
      <c r="N109" s="76">
        <f t="shared" si="123"/>
        <v>0</v>
      </c>
      <c r="O109" s="142"/>
      <c r="P109" s="142"/>
      <c r="Q109" s="142"/>
      <c r="R109" s="144"/>
      <c r="S109" s="144"/>
      <c r="T109" s="144"/>
      <c r="U109" s="144"/>
      <c r="V109" s="144"/>
      <c r="W109" s="144"/>
      <c r="X109" s="144"/>
      <c r="Y109" s="143"/>
      <c r="Z109" s="143">
        <f t="shared" si="124"/>
        <v>0</v>
      </c>
      <c r="AA109" s="9">
        <f t="shared" si="125"/>
        <v>0.375</v>
      </c>
      <c r="AB109" s="9">
        <f t="shared" si="126"/>
        <v>0</v>
      </c>
      <c r="AC109" s="9">
        <f t="shared" si="127"/>
        <v>0</v>
      </c>
      <c r="AD109" s="9">
        <f t="shared" si="128"/>
        <v>0</v>
      </c>
      <c r="AE109" s="40" t="e">
        <f t="shared" ca="1" si="129"/>
        <v>#NUM!</v>
      </c>
      <c r="AF109" s="40" t="e">
        <f t="shared" ca="1" si="130"/>
        <v>#NUM!</v>
      </c>
      <c r="AG109" s="40" t="e">
        <f t="shared" ca="1" si="131"/>
        <v>#NUM!</v>
      </c>
      <c r="AH109" s="40" t="e">
        <f t="shared" ca="1" si="132"/>
        <v>#NUM!</v>
      </c>
      <c r="AI109" s="40" t="e">
        <f t="shared" ca="1" si="133"/>
        <v>#NUM!</v>
      </c>
      <c r="AJ109" s="40" t="e">
        <f t="shared" ca="1" si="134"/>
        <v>#NUM!</v>
      </c>
      <c r="AK109" s="203" t="e">
        <f t="shared" ca="1" si="135"/>
        <v>#NUM!</v>
      </c>
      <c r="AL109" s="40" t="e">
        <f t="shared" ca="1" si="136"/>
        <v>#NUM!</v>
      </c>
      <c r="AM109" s="40" t="e">
        <f t="shared" ca="1" si="137"/>
        <v>#NUM!</v>
      </c>
      <c r="AN109" s="40" t="e">
        <f t="shared" ca="1" si="138"/>
        <v>#NUM!</v>
      </c>
      <c r="AO109" s="40" t="e">
        <f t="shared" ca="1" si="139"/>
        <v>#NUM!</v>
      </c>
      <c r="AP109" s="40" t="e">
        <f t="shared" ca="1" si="140"/>
        <v>#NUM!</v>
      </c>
      <c r="AQ109" s="40" t="e">
        <f t="shared" ca="1" si="141"/>
        <v>#NUM!</v>
      </c>
      <c r="AR109" s="40" t="e">
        <f t="shared" ca="1" si="142"/>
        <v>#NUM!</v>
      </c>
      <c r="AS109" s="40" t="e">
        <f t="shared" ca="1" si="143"/>
        <v>#NUM!</v>
      </c>
    </row>
    <row r="110" spans="1:45" x14ac:dyDescent="0.25">
      <c r="A110" s="154"/>
      <c r="B110" s="73">
        <f t="shared" si="119"/>
        <v>-59090.909090909088</v>
      </c>
      <c r="E110" s="148">
        <v>42826</v>
      </c>
      <c r="G110" s="139">
        <v>33</v>
      </c>
      <c r="H110" s="139">
        <v>0</v>
      </c>
      <c r="I110" s="49">
        <f t="shared" si="120"/>
        <v>46522</v>
      </c>
      <c r="J110" s="76">
        <v>1950000</v>
      </c>
      <c r="K110" s="40">
        <f t="shared" si="121"/>
        <v>33</v>
      </c>
      <c r="L110" s="74">
        <f t="shared" si="122"/>
        <v>1950000</v>
      </c>
      <c r="M110" s="76"/>
      <c r="N110" s="76">
        <f t="shared" si="123"/>
        <v>0</v>
      </c>
      <c r="O110" s="142"/>
      <c r="P110" s="142"/>
      <c r="Q110" s="142"/>
      <c r="R110" s="144"/>
      <c r="S110" s="144"/>
      <c r="T110" s="144"/>
      <c r="U110" s="144"/>
      <c r="V110" s="144"/>
      <c r="W110" s="144"/>
      <c r="X110" s="144"/>
      <c r="Y110" s="143"/>
      <c r="Z110" s="143">
        <f t="shared" si="124"/>
        <v>0</v>
      </c>
      <c r="AA110" s="9">
        <f t="shared" si="125"/>
        <v>0.375</v>
      </c>
      <c r="AB110" s="9">
        <f t="shared" si="126"/>
        <v>0</v>
      </c>
      <c r="AC110" s="9">
        <f t="shared" si="127"/>
        <v>0</v>
      </c>
      <c r="AD110" s="9">
        <f t="shared" si="128"/>
        <v>0</v>
      </c>
      <c r="AE110" s="40" t="e">
        <f t="shared" ca="1" si="129"/>
        <v>#NUM!</v>
      </c>
      <c r="AF110" s="40" t="e">
        <f t="shared" ca="1" si="130"/>
        <v>#NUM!</v>
      </c>
      <c r="AG110" s="40" t="e">
        <f t="shared" ca="1" si="131"/>
        <v>#NUM!</v>
      </c>
      <c r="AH110" s="40" t="e">
        <f t="shared" ca="1" si="132"/>
        <v>#NUM!</v>
      </c>
      <c r="AI110" s="40" t="e">
        <f t="shared" ca="1" si="133"/>
        <v>#NUM!</v>
      </c>
      <c r="AJ110" s="40" t="e">
        <f t="shared" ca="1" si="134"/>
        <v>#NUM!</v>
      </c>
      <c r="AK110" s="203" t="e">
        <f t="shared" ca="1" si="135"/>
        <v>#NUM!</v>
      </c>
      <c r="AL110" s="40" t="e">
        <f t="shared" ca="1" si="136"/>
        <v>#NUM!</v>
      </c>
      <c r="AM110" s="40" t="e">
        <f t="shared" ca="1" si="137"/>
        <v>#NUM!</v>
      </c>
      <c r="AN110" s="40" t="e">
        <f t="shared" ca="1" si="138"/>
        <v>#NUM!</v>
      </c>
      <c r="AO110" s="40" t="e">
        <f t="shared" ca="1" si="139"/>
        <v>#NUM!</v>
      </c>
      <c r="AP110" s="40" t="e">
        <f t="shared" ca="1" si="140"/>
        <v>#NUM!</v>
      </c>
      <c r="AQ110" s="40" t="e">
        <f t="shared" ca="1" si="141"/>
        <v>#NUM!</v>
      </c>
      <c r="AR110" s="40" t="e">
        <f t="shared" ca="1" si="142"/>
        <v>#NUM!</v>
      </c>
      <c r="AS110" s="40" t="e">
        <f t="shared" ca="1" si="143"/>
        <v>#NUM!</v>
      </c>
    </row>
    <row r="111" spans="1:45" x14ac:dyDescent="0.25">
      <c r="A111" s="154"/>
      <c r="B111" s="73">
        <f t="shared" si="119"/>
        <v>-59090.909090909088</v>
      </c>
      <c r="E111" s="148">
        <v>42826</v>
      </c>
      <c r="G111" s="139">
        <v>33</v>
      </c>
      <c r="H111" s="139">
        <v>0</v>
      </c>
      <c r="I111" s="49">
        <f t="shared" si="120"/>
        <v>46522</v>
      </c>
      <c r="J111" s="76">
        <v>1950000</v>
      </c>
      <c r="K111" s="40">
        <f t="shared" si="121"/>
        <v>33</v>
      </c>
      <c r="L111" s="74">
        <f t="shared" si="122"/>
        <v>1950000</v>
      </c>
      <c r="M111" s="76"/>
      <c r="N111" s="76">
        <f t="shared" si="123"/>
        <v>0</v>
      </c>
      <c r="O111" s="142"/>
      <c r="P111" s="142"/>
      <c r="Q111" s="142"/>
      <c r="R111" s="144"/>
      <c r="S111" s="144"/>
      <c r="T111" s="144"/>
      <c r="U111" s="144"/>
      <c r="V111" s="144"/>
      <c r="W111" s="144"/>
      <c r="X111" s="144"/>
      <c r="Y111" s="143"/>
      <c r="Z111" s="143">
        <f t="shared" si="124"/>
        <v>0</v>
      </c>
      <c r="AA111" s="9">
        <f t="shared" si="125"/>
        <v>0.375</v>
      </c>
      <c r="AB111" s="9">
        <f t="shared" si="126"/>
        <v>0</v>
      </c>
      <c r="AC111" s="9">
        <f t="shared" si="127"/>
        <v>0</v>
      </c>
      <c r="AD111" s="9">
        <f t="shared" si="128"/>
        <v>0</v>
      </c>
      <c r="AE111" s="40" t="e">
        <f t="shared" ca="1" si="129"/>
        <v>#NUM!</v>
      </c>
      <c r="AF111" s="40" t="e">
        <f t="shared" ca="1" si="130"/>
        <v>#NUM!</v>
      </c>
      <c r="AG111" s="40" t="e">
        <f t="shared" ca="1" si="131"/>
        <v>#NUM!</v>
      </c>
      <c r="AH111" s="40" t="e">
        <f t="shared" ca="1" si="132"/>
        <v>#NUM!</v>
      </c>
      <c r="AI111" s="40" t="e">
        <f t="shared" ca="1" si="133"/>
        <v>#NUM!</v>
      </c>
      <c r="AJ111" s="40" t="e">
        <f t="shared" ca="1" si="134"/>
        <v>#NUM!</v>
      </c>
      <c r="AK111" s="203" t="e">
        <f t="shared" ca="1" si="135"/>
        <v>#NUM!</v>
      </c>
      <c r="AL111" s="40" t="e">
        <f t="shared" ca="1" si="136"/>
        <v>#NUM!</v>
      </c>
      <c r="AM111" s="40" t="e">
        <f t="shared" ca="1" si="137"/>
        <v>#NUM!</v>
      </c>
      <c r="AN111" s="40" t="e">
        <f t="shared" ca="1" si="138"/>
        <v>#NUM!</v>
      </c>
      <c r="AO111" s="40" t="e">
        <f t="shared" ca="1" si="139"/>
        <v>#NUM!</v>
      </c>
      <c r="AP111" s="40" t="e">
        <f t="shared" ca="1" si="140"/>
        <v>#NUM!</v>
      </c>
      <c r="AQ111" s="40" t="e">
        <f t="shared" ca="1" si="141"/>
        <v>#NUM!</v>
      </c>
      <c r="AR111" s="40" t="e">
        <f t="shared" ca="1" si="142"/>
        <v>#NUM!</v>
      </c>
      <c r="AS111" s="40" t="e">
        <f t="shared" ca="1" si="143"/>
        <v>#NUM!</v>
      </c>
    </row>
    <row r="112" spans="1:45" x14ac:dyDescent="0.25">
      <c r="A112" s="154"/>
      <c r="B112" s="73">
        <f t="shared" si="119"/>
        <v>-59090.909090909088</v>
      </c>
      <c r="E112" s="148">
        <v>42826</v>
      </c>
      <c r="G112" s="139">
        <v>33</v>
      </c>
      <c r="H112" s="139">
        <v>0</v>
      </c>
      <c r="I112" s="49">
        <f t="shared" si="120"/>
        <v>46522</v>
      </c>
      <c r="J112" s="76">
        <v>1950000</v>
      </c>
      <c r="K112" s="40">
        <f t="shared" si="121"/>
        <v>33</v>
      </c>
      <c r="L112" s="74">
        <f t="shared" si="122"/>
        <v>1950000</v>
      </c>
      <c r="M112" s="76"/>
      <c r="N112" s="76">
        <f t="shared" si="123"/>
        <v>0</v>
      </c>
      <c r="O112" s="142"/>
      <c r="P112" s="142"/>
      <c r="Q112" s="142"/>
      <c r="R112" s="144"/>
      <c r="S112" s="144"/>
      <c r="T112" s="144"/>
      <c r="U112" s="144"/>
      <c r="V112" s="144"/>
      <c r="W112" s="144"/>
      <c r="X112" s="144"/>
      <c r="Y112" s="143"/>
      <c r="Z112" s="143">
        <f t="shared" si="124"/>
        <v>0</v>
      </c>
      <c r="AA112" s="9">
        <f t="shared" si="125"/>
        <v>0.375</v>
      </c>
      <c r="AB112" s="9">
        <f t="shared" si="126"/>
        <v>0</v>
      </c>
      <c r="AC112" s="9">
        <f t="shared" si="127"/>
        <v>0</v>
      </c>
      <c r="AD112" s="9">
        <f t="shared" si="128"/>
        <v>0</v>
      </c>
      <c r="AE112" s="40" t="e">
        <f t="shared" ca="1" si="129"/>
        <v>#NUM!</v>
      </c>
      <c r="AF112" s="40" t="e">
        <f t="shared" ca="1" si="130"/>
        <v>#NUM!</v>
      </c>
      <c r="AG112" s="40" t="e">
        <f t="shared" ca="1" si="131"/>
        <v>#NUM!</v>
      </c>
      <c r="AH112" s="40" t="e">
        <f t="shared" ca="1" si="132"/>
        <v>#NUM!</v>
      </c>
      <c r="AI112" s="40" t="e">
        <f t="shared" ca="1" si="133"/>
        <v>#NUM!</v>
      </c>
      <c r="AJ112" s="40" t="e">
        <f t="shared" ca="1" si="134"/>
        <v>#NUM!</v>
      </c>
      <c r="AK112" s="203" t="e">
        <f t="shared" ca="1" si="135"/>
        <v>#NUM!</v>
      </c>
      <c r="AL112" s="40" t="e">
        <f t="shared" ca="1" si="136"/>
        <v>#NUM!</v>
      </c>
      <c r="AM112" s="40" t="e">
        <f t="shared" ca="1" si="137"/>
        <v>#NUM!</v>
      </c>
      <c r="AN112" s="40" t="e">
        <f t="shared" ca="1" si="138"/>
        <v>#NUM!</v>
      </c>
      <c r="AO112" s="40" t="e">
        <f t="shared" ca="1" si="139"/>
        <v>#NUM!</v>
      </c>
      <c r="AP112" s="40" t="e">
        <f t="shared" ca="1" si="140"/>
        <v>#NUM!</v>
      </c>
      <c r="AQ112" s="40" t="e">
        <f t="shared" ca="1" si="141"/>
        <v>#NUM!</v>
      </c>
      <c r="AR112" s="40" t="e">
        <f t="shared" ca="1" si="142"/>
        <v>#NUM!</v>
      </c>
      <c r="AS112" s="40" t="e">
        <f t="shared" ca="1" si="143"/>
        <v>#NUM!</v>
      </c>
    </row>
    <row r="113" spans="1:45" x14ac:dyDescent="0.25">
      <c r="A113" s="154"/>
      <c r="B113" s="73">
        <f t="shared" si="119"/>
        <v>-59090.909090909088</v>
      </c>
      <c r="E113" s="148">
        <v>42826</v>
      </c>
      <c r="G113" s="139">
        <v>33</v>
      </c>
      <c r="H113" s="139">
        <v>0</v>
      </c>
      <c r="I113" s="49">
        <f t="shared" si="120"/>
        <v>46522</v>
      </c>
      <c r="J113" s="76">
        <v>1950000</v>
      </c>
      <c r="K113" s="40">
        <f t="shared" si="121"/>
        <v>33</v>
      </c>
      <c r="L113" s="74">
        <f t="shared" si="122"/>
        <v>1950000</v>
      </c>
      <c r="M113" s="76"/>
      <c r="N113" s="76">
        <f t="shared" si="123"/>
        <v>0</v>
      </c>
      <c r="O113" s="142"/>
      <c r="P113" s="142"/>
      <c r="Q113" s="142"/>
      <c r="R113" s="144"/>
      <c r="S113" s="144"/>
      <c r="T113" s="144"/>
      <c r="U113" s="144"/>
      <c r="V113" s="144"/>
      <c r="W113" s="144"/>
      <c r="X113" s="144"/>
      <c r="Y113" s="143"/>
      <c r="Z113" s="143">
        <f t="shared" si="124"/>
        <v>0</v>
      </c>
      <c r="AA113" s="9">
        <f t="shared" si="125"/>
        <v>0.375</v>
      </c>
      <c r="AB113" s="9">
        <f t="shared" si="126"/>
        <v>0</v>
      </c>
      <c r="AC113" s="9">
        <f t="shared" si="127"/>
        <v>0</v>
      </c>
      <c r="AD113" s="9">
        <f t="shared" si="128"/>
        <v>0</v>
      </c>
      <c r="AE113" s="40" t="e">
        <f t="shared" ca="1" si="129"/>
        <v>#NUM!</v>
      </c>
      <c r="AF113" s="40" t="e">
        <f t="shared" ca="1" si="130"/>
        <v>#NUM!</v>
      </c>
      <c r="AG113" s="40" t="e">
        <f t="shared" ca="1" si="131"/>
        <v>#NUM!</v>
      </c>
      <c r="AH113" s="40" t="e">
        <f t="shared" ca="1" si="132"/>
        <v>#NUM!</v>
      </c>
      <c r="AI113" s="40" t="e">
        <f t="shared" ca="1" si="133"/>
        <v>#NUM!</v>
      </c>
      <c r="AJ113" s="40" t="e">
        <f t="shared" ca="1" si="134"/>
        <v>#NUM!</v>
      </c>
      <c r="AK113" s="203" t="e">
        <f t="shared" ca="1" si="135"/>
        <v>#NUM!</v>
      </c>
      <c r="AL113" s="40" t="e">
        <f t="shared" ca="1" si="136"/>
        <v>#NUM!</v>
      </c>
      <c r="AM113" s="40" t="e">
        <f t="shared" ca="1" si="137"/>
        <v>#NUM!</v>
      </c>
      <c r="AN113" s="40" t="e">
        <f t="shared" ca="1" si="138"/>
        <v>#NUM!</v>
      </c>
      <c r="AO113" s="40" t="e">
        <f t="shared" ca="1" si="139"/>
        <v>#NUM!</v>
      </c>
      <c r="AP113" s="40" t="e">
        <f t="shared" ca="1" si="140"/>
        <v>#NUM!</v>
      </c>
      <c r="AQ113" s="40" t="e">
        <f t="shared" ca="1" si="141"/>
        <v>#NUM!</v>
      </c>
      <c r="AR113" s="40" t="e">
        <f t="shared" ca="1" si="142"/>
        <v>#NUM!</v>
      </c>
      <c r="AS113" s="40" t="e">
        <f t="shared" ca="1" si="143"/>
        <v>#NUM!</v>
      </c>
    </row>
    <row r="114" spans="1:45" x14ac:dyDescent="0.25">
      <c r="A114" s="154"/>
      <c r="B114" s="73">
        <f t="shared" si="119"/>
        <v>-59090.909090909088</v>
      </c>
      <c r="E114" s="148">
        <v>42826</v>
      </c>
      <c r="G114" s="139">
        <v>33</v>
      </c>
      <c r="H114" s="139">
        <v>0</v>
      </c>
      <c r="I114" s="49">
        <f t="shared" si="120"/>
        <v>46522</v>
      </c>
      <c r="J114" s="76">
        <v>1950000</v>
      </c>
      <c r="K114" s="40">
        <f t="shared" si="121"/>
        <v>33</v>
      </c>
      <c r="L114" s="74">
        <f t="shared" si="122"/>
        <v>1950000</v>
      </c>
      <c r="M114" s="76"/>
      <c r="N114" s="76">
        <f t="shared" si="123"/>
        <v>0</v>
      </c>
      <c r="O114" s="142"/>
      <c r="P114" s="142"/>
      <c r="Q114" s="142"/>
      <c r="R114" s="144"/>
      <c r="S114" s="144"/>
      <c r="T114" s="144"/>
      <c r="U114" s="144"/>
      <c r="V114" s="144"/>
      <c r="W114" s="144"/>
      <c r="X114" s="144"/>
      <c r="Y114" s="143"/>
      <c r="Z114" s="143">
        <f t="shared" si="124"/>
        <v>0</v>
      </c>
      <c r="AA114" s="9">
        <f t="shared" si="125"/>
        <v>0.375</v>
      </c>
      <c r="AB114" s="9">
        <f t="shared" si="126"/>
        <v>0</v>
      </c>
      <c r="AC114" s="9">
        <f t="shared" si="127"/>
        <v>0</v>
      </c>
      <c r="AD114" s="9">
        <f t="shared" si="128"/>
        <v>0</v>
      </c>
      <c r="AE114" s="40" t="e">
        <f t="shared" ca="1" si="129"/>
        <v>#NUM!</v>
      </c>
      <c r="AF114" s="40" t="e">
        <f t="shared" ca="1" si="130"/>
        <v>#NUM!</v>
      </c>
      <c r="AG114" s="40" t="e">
        <f t="shared" ca="1" si="131"/>
        <v>#NUM!</v>
      </c>
      <c r="AH114" s="40" t="e">
        <f t="shared" ca="1" si="132"/>
        <v>#NUM!</v>
      </c>
      <c r="AI114" s="40" t="e">
        <f t="shared" ca="1" si="133"/>
        <v>#NUM!</v>
      </c>
      <c r="AJ114" s="40" t="e">
        <f t="shared" ca="1" si="134"/>
        <v>#NUM!</v>
      </c>
      <c r="AK114" s="203" t="e">
        <f t="shared" ca="1" si="135"/>
        <v>#NUM!</v>
      </c>
      <c r="AL114" s="40" t="e">
        <f t="shared" ca="1" si="136"/>
        <v>#NUM!</v>
      </c>
      <c r="AM114" s="40" t="e">
        <f t="shared" ca="1" si="137"/>
        <v>#NUM!</v>
      </c>
      <c r="AN114" s="40" t="e">
        <f t="shared" ca="1" si="138"/>
        <v>#NUM!</v>
      </c>
      <c r="AO114" s="40" t="e">
        <f t="shared" ca="1" si="139"/>
        <v>#NUM!</v>
      </c>
      <c r="AP114" s="40" t="e">
        <f t="shared" ca="1" si="140"/>
        <v>#NUM!</v>
      </c>
      <c r="AQ114" s="40" t="e">
        <f t="shared" ca="1" si="141"/>
        <v>#NUM!</v>
      </c>
      <c r="AR114" s="40" t="e">
        <f t="shared" ca="1" si="142"/>
        <v>#NUM!</v>
      </c>
      <c r="AS114" s="40" t="e">
        <f t="shared" ca="1" si="143"/>
        <v>#NUM!</v>
      </c>
    </row>
    <row r="115" spans="1:45" x14ac:dyDescent="0.25">
      <c r="A115" s="154"/>
      <c r="B115" s="73">
        <f t="shared" si="119"/>
        <v>-59090.909090909088</v>
      </c>
      <c r="E115" s="148">
        <v>42826</v>
      </c>
      <c r="G115" s="139">
        <v>33</v>
      </c>
      <c r="H115" s="139">
        <v>0</v>
      </c>
      <c r="I115" s="49">
        <f t="shared" si="120"/>
        <v>46522</v>
      </c>
      <c r="J115" s="76">
        <v>1950000</v>
      </c>
      <c r="K115" s="40">
        <f t="shared" si="121"/>
        <v>33</v>
      </c>
      <c r="L115" s="74">
        <f t="shared" si="122"/>
        <v>1950000</v>
      </c>
      <c r="M115" s="76"/>
      <c r="N115" s="76">
        <f t="shared" si="123"/>
        <v>0</v>
      </c>
      <c r="O115" s="142"/>
      <c r="P115" s="142"/>
      <c r="Q115" s="142"/>
      <c r="R115" s="144"/>
      <c r="S115" s="144"/>
      <c r="T115" s="144"/>
      <c r="U115" s="144"/>
      <c r="V115" s="144"/>
      <c r="W115" s="144"/>
      <c r="X115" s="144"/>
      <c r="Y115" s="143"/>
      <c r="Z115" s="143">
        <f t="shared" si="124"/>
        <v>0</v>
      </c>
      <c r="AA115" s="9">
        <f t="shared" si="125"/>
        <v>0.375</v>
      </c>
      <c r="AB115" s="9">
        <f t="shared" si="126"/>
        <v>0</v>
      </c>
      <c r="AC115" s="9">
        <f t="shared" si="127"/>
        <v>0</v>
      </c>
      <c r="AD115" s="9">
        <f t="shared" si="128"/>
        <v>0</v>
      </c>
      <c r="AE115" s="40" t="e">
        <f t="shared" ca="1" si="129"/>
        <v>#NUM!</v>
      </c>
      <c r="AF115" s="40" t="e">
        <f t="shared" ca="1" si="130"/>
        <v>#NUM!</v>
      </c>
      <c r="AG115" s="40" t="e">
        <f t="shared" ca="1" si="131"/>
        <v>#NUM!</v>
      </c>
      <c r="AH115" s="40" t="e">
        <f t="shared" ca="1" si="132"/>
        <v>#NUM!</v>
      </c>
      <c r="AI115" s="40" t="e">
        <f t="shared" ca="1" si="133"/>
        <v>#NUM!</v>
      </c>
      <c r="AJ115" s="40" t="e">
        <f t="shared" ca="1" si="134"/>
        <v>#NUM!</v>
      </c>
      <c r="AK115" s="203" t="e">
        <f t="shared" ca="1" si="135"/>
        <v>#NUM!</v>
      </c>
      <c r="AL115" s="40" t="e">
        <f t="shared" ca="1" si="136"/>
        <v>#NUM!</v>
      </c>
      <c r="AM115" s="40" t="e">
        <f t="shared" ca="1" si="137"/>
        <v>#NUM!</v>
      </c>
      <c r="AN115" s="40" t="e">
        <f t="shared" ca="1" si="138"/>
        <v>#NUM!</v>
      </c>
      <c r="AO115" s="40" t="e">
        <f t="shared" ca="1" si="139"/>
        <v>#NUM!</v>
      </c>
      <c r="AP115" s="40" t="e">
        <f t="shared" ca="1" si="140"/>
        <v>#NUM!</v>
      </c>
      <c r="AQ115" s="40" t="e">
        <f t="shared" ca="1" si="141"/>
        <v>#NUM!</v>
      </c>
      <c r="AR115" s="40" t="e">
        <f t="shared" ca="1" si="142"/>
        <v>#NUM!</v>
      </c>
      <c r="AS115" s="40" t="e">
        <f t="shared" ca="1" si="143"/>
        <v>#NUM!</v>
      </c>
    </row>
    <row r="116" spans="1:45" x14ac:dyDescent="0.25">
      <c r="A116" s="154"/>
      <c r="B116" s="73">
        <f t="shared" si="119"/>
        <v>-59090.909090909088</v>
      </c>
      <c r="E116" s="148">
        <v>42826</v>
      </c>
      <c r="G116" s="139">
        <v>33</v>
      </c>
      <c r="H116" s="139">
        <v>0</v>
      </c>
      <c r="I116" s="49">
        <f t="shared" si="120"/>
        <v>46522</v>
      </c>
      <c r="J116" s="76">
        <v>1950000</v>
      </c>
      <c r="K116" s="40">
        <f t="shared" si="121"/>
        <v>33</v>
      </c>
      <c r="L116" s="74">
        <f t="shared" si="122"/>
        <v>1950000</v>
      </c>
      <c r="M116" s="76"/>
      <c r="N116" s="76">
        <f t="shared" si="123"/>
        <v>0</v>
      </c>
      <c r="O116" s="142"/>
      <c r="P116" s="142"/>
      <c r="Q116" s="142"/>
      <c r="R116" s="144"/>
      <c r="S116" s="144"/>
      <c r="T116" s="144"/>
      <c r="U116" s="144"/>
      <c r="V116" s="144"/>
      <c r="W116" s="144"/>
      <c r="X116" s="144"/>
      <c r="Y116" s="143"/>
      <c r="Z116" s="143">
        <f t="shared" si="124"/>
        <v>0</v>
      </c>
      <c r="AA116" s="9">
        <f t="shared" si="125"/>
        <v>0.375</v>
      </c>
      <c r="AB116" s="9">
        <f t="shared" si="126"/>
        <v>0</v>
      </c>
      <c r="AC116" s="9">
        <f t="shared" si="127"/>
        <v>0</v>
      </c>
      <c r="AD116" s="9">
        <f t="shared" si="128"/>
        <v>0</v>
      </c>
      <c r="AE116" s="40" t="e">
        <f t="shared" ca="1" si="129"/>
        <v>#NUM!</v>
      </c>
      <c r="AF116" s="40" t="e">
        <f t="shared" ca="1" si="130"/>
        <v>#NUM!</v>
      </c>
      <c r="AG116" s="40" t="e">
        <f t="shared" ca="1" si="131"/>
        <v>#NUM!</v>
      </c>
      <c r="AH116" s="40" t="e">
        <f t="shared" ca="1" si="132"/>
        <v>#NUM!</v>
      </c>
      <c r="AI116" s="40" t="e">
        <f t="shared" ca="1" si="133"/>
        <v>#NUM!</v>
      </c>
      <c r="AJ116" s="40" t="e">
        <f t="shared" ca="1" si="134"/>
        <v>#NUM!</v>
      </c>
      <c r="AK116" s="203" t="e">
        <f t="shared" ca="1" si="135"/>
        <v>#NUM!</v>
      </c>
      <c r="AL116" s="40" t="e">
        <f t="shared" ca="1" si="136"/>
        <v>#NUM!</v>
      </c>
      <c r="AM116" s="40" t="e">
        <f t="shared" ca="1" si="137"/>
        <v>#NUM!</v>
      </c>
      <c r="AN116" s="40" t="e">
        <f t="shared" ca="1" si="138"/>
        <v>#NUM!</v>
      </c>
      <c r="AO116" s="40" t="e">
        <f t="shared" ca="1" si="139"/>
        <v>#NUM!</v>
      </c>
      <c r="AP116" s="40" t="e">
        <f t="shared" ca="1" si="140"/>
        <v>#NUM!</v>
      </c>
      <c r="AQ116" s="40" t="e">
        <f t="shared" ca="1" si="141"/>
        <v>#NUM!</v>
      </c>
      <c r="AR116" s="40" t="e">
        <f t="shared" ca="1" si="142"/>
        <v>#NUM!</v>
      </c>
      <c r="AS116" s="40" t="e">
        <f t="shared" ca="1" si="143"/>
        <v>#NUM!</v>
      </c>
    </row>
    <row r="117" spans="1:45" x14ac:dyDescent="0.25">
      <c r="A117" s="154"/>
      <c r="B117" s="73">
        <f t="shared" si="119"/>
        <v>-59090.909090909088</v>
      </c>
      <c r="E117" s="148">
        <v>42826</v>
      </c>
      <c r="G117" s="139">
        <v>33</v>
      </c>
      <c r="H117" s="139">
        <v>0</v>
      </c>
      <c r="I117" s="49">
        <f t="shared" si="120"/>
        <v>46522</v>
      </c>
      <c r="J117" s="76">
        <v>1950000</v>
      </c>
      <c r="K117" s="40">
        <f t="shared" si="121"/>
        <v>33</v>
      </c>
      <c r="L117" s="74">
        <f t="shared" si="122"/>
        <v>1950000</v>
      </c>
      <c r="M117" s="76"/>
      <c r="N117" s="76">
        <f t="shared" si="123"/>
        <v>0</v>
      </c>
      <c r="O117" s="142"/>
      <c r="P117" s="142"/>
      <c r="Q117" s="142"/>
      <c r="R117" s="144"/>
      <c r="S117" s="144"/>
      <c r="T117" s="144"/>
      <c r="U117" s="144"/>
      <c r="V117" s="144"/>
      <c r="W117" s="144"/>
      <c r="X117" s="144"/>
      <c r="Y117" s="143"/>
      <c r="Z117" s="143">
        <f t="shared" si="124"/>
        <v>0</v>
      </c>
      <c r="AA117" s="9">
        <f t="shared" si="125"/>
        <v>0.375</v>
      </c>
      <c r="AB117" s="9">
        <f t="shared" si="126"/>
        <v>0</v>
      </c>
      <c r="AC117" s="9">
        <f t="shared" si="127"/>
        <v>0</v>
      </c>
      <c r="AD117" s="9">
        <f t="shared" si="128"/>
        <v>0</v>
      </c>
      <c r="AE117" s="40" t="e">
        <f t="shared" ca="1" si="129"/>
        <v>#NUM!</v>
      </c>
      <c r="AF117" s="40" t="e">
        <f t="shared" ca="1" si="130"/>
        <v>#NUM!</v>
      </c>
      <c r="AG117" s="40" t="e">
        <f t="shared" ca="1" si="131"/>
        <v>#NUM!</v>
      </c>
      <c r="AH117" s="40" t="e">
        <f t="shared" ca="1" si="132"/>
        <v>#NUM!</v>
      </c>
      <c r="AI117" s="40" t="e">
        <f t="shared" ca="1" si="133"/>
        <v>#NUM!</v>
      </c>
      <c r="AJ117" s="40" t="e">
        <f t="shared" ca="1" si="134"/>
        <v>#NUM!</v>
      </c>
      <c r="AK117" s="203" t="e">
        <f t="shared" ca="1" si="135"/>
        <v>#NUM!</v>
      </c>
      <c r="AL117" s="40" t="e">
        <f t="shared" ca="1" si="136"/>
        <v>#NUM!</v>
      </c>
      <c r="AM117" s="40" t="e">
        <f t="shared" ca="1" si="137"/>
        <v>#NUM!</v>
      </c>
      <c r="AN117" s="40" t="e">
        <f t="shared" ca="1" si="138"/>
        <v>#NUM!</v>
      </c>
      <c r="AO117" s="40" t="e">
        <f t="shared" ca="1" si="139"/>
        <v>#NUM!</v>
      </c>
      <c r="AP117" s="40" t="e">
        <f t="shared" ca="1" si="140"/>
        <v>#NUM!</v>
      </c>
      <c r="AQ117" s="40" t="e">
        <f t="shared" ca="1" si="141"/>
        <v>#NUM!</v>
      </c>
      <c r="AR117" s="40" t="e">
        <f t="shared" ca="1" si="142"/>
        <v>#NUM!</v>
      </c>
      <c r="AS117" s="40" t="e">
        <f t="shared" ca="1" si="143"/>
        <v>#NUM!</v>
      </c>
    </row>
    <row r="118" spans="1:45" x14ac:dyDescent="0.25">
      <c r="A118" s="154"/>
      <c r="B118" s="73">
        <f t="shared" si="119"/>
        <v>-59090.909090909088</v>
      </c>
      <c r="E118" s="148">
        <v>42826</v>
      </c>
      <c r="G118" s="139">
        <v>33</v>
      </c>
      <c r="H118" s="139">
        <v>0</v>
      </c>
      <c r="I118" s="49">
        <f t="shared" si="120"/>
        <v>46522</v>
      </c>
      <c r="J118" s="76">
        <v>1950000</v>
      </c>
      <c r="K118" s="40">
        <f t="shared" si="121"/>
        <v>33</v>
      </c>
      <c r="L118" s="74">
        <f t="shared" si="122"/>
        <v>1950000</v>
      </c>
      <c r="M118" s="76"/>
      <c r="N118" s="76">
        <f t="shared" si="123"/>
        <v>0</v>
      </c>
      <c r="O118" s="142"/>
      <c r="P118" s="142"/>
      <c r="Q118" s="142"/>
      <c r="R118" s="144"/>
      <c r="S118" s="144"/>
      <c r="T118" s="144"/>
      <c r="U118" s="144"/>
      <c r="V118" s="144"/>
      <c r="W118" s="144"/>
      <c r="X118" s="144"/>
      <c r="Y118" s="143"/>
      <c r="Z118" s="143">
        <f t="shared" si="124"/>
        <v>0</v>
      </c>
      <c r="AA118" s="9">
        <f t="shared" si="125"/>
        <v>0.375</v>
      </c>
      <c r="AB118" s="9">
        <f t="shared" si="126"/>
        <v>0</v>
      </c>
      <c r="AC118" s="9">
        <f t="shared" si="127"/>
        <v>0</v>
      </c>
      <c r="AD118" s="9">
        <f t="shared" si="128"/>
        <v>0</v>
      </c>
      <c r="AE118" s="40" t="e">
        <f t="shared" ca="1" si="129"/>
        <v>#NUM!</v>
      </c>
      <c r="AF118" s="40" t="e">
        <f t="shared" ca="1" si="130"/>
        <v>#NUM!</v>
      </c>
      <c r="AG118" s="40" t="e">
        <f t="shared" ca="1" si="131"/>
        <v>#NUM!</v>
      </c>
      <c r="AH118" s="40" t="e">
        <f t="shared" ca="1" si="132"/>
        <v>#NUM!</v>
      </c>
      <c r="AI118" s="40" t="e">
        <f t="shared" ca="1" si="133"/>
        <v>#NUM!</v>
      </c>
      <c r="AJ118" s="40" t="e">
        <f t="shared" ca="1" si="134"/>
        <v>#NUM!</v>
      </c>
      <c r="AK118" s="203" t="e">
        <f t="shared" ca="1" si="135"/>
        <v>#NUM!</v>
      </c>
      <c r="AL118" s="40" t="e">
        <f t="shared" ca="1" si="136"/>
        <v>#NUM!</v>
      </c>
      <c r="AM118" s="40" t="e">
        <f t="shared" ca="1" si="137"/>
        <v>#NUM!</v>
      </c>
      <c r="AN118" s="40" t="e">
        <f t="shared" ca="1" si="138"/>
        <v>#NUM!</v>
      </c>
      <c r="AO118" s="40" t="e">
        <f t="shared" ca="1" si="139"/>
        <v>#NUM!</v>
      </c>
      <c r="AP118" s="40" t="e">
        <f t="shared" ca="1" si="140"/>
        <v>#NUM!</v>
      </c>
      <c r="AQ118" s="40" t="e">
        <f t="shared" ca="1" si="141"/>
        <v>#NUM!</v>
      </c>
      <c r="AR118" s="40" t="e">
        <f t="shared" ca="1" si="142"/>
        <v>#NUM!</v>
      </c>
      <c r="AS118" s="40" t="e">
        <f t="shared" ca="1" si="143"/>
        <v>#NUM!</v>
      </c>
    </row>
    <row r="119" spans="1:45" x14ac:dyDescent="0.25">
      <c r="A119" s="154"/>
      <c r="B119" s="73">
        <f t="shared" si="119"/>
        <v>-59090.909090909088</v>
      </c>
      <c r="E119" s="148">
        <v>42826</v>
      </c>
      <c r="G119" s="139">
        <v>33</v>
      </c>
      <c r="H119" s="139">
        <v>0</v>
      </c>
      <c r="I119" s="49">
        <f t="shared" si="120"/>
        <v>46522</v>
      </c>
      <c r="J119" s="76">
        <v>1950000</v>
      </c>
      <c r="K119" s="40">
        <f t="shared" si="121"/>
        <v>33</v>
      </c>
      <c r="L119" s="74">
        <f t="shared" si="122"/>
        <v>1950000</v>
      </c>
      <c r="M119" s="76"/>
      <c r="N119" s="76">
        <f t="shared" si="123"/>
        <v>0</v>
      </c>
      <c r="O119" s="142"/>
      <c r="P119" s="142"/>
      <c r="Q119" s="142"/>
      <c r="R119" s="144"/>
      <c r="S119" s="144"/>
      <c r="T119" s="144"/>
      <c r="U119" s="144"/>
      <c r="V119" s="144"/>
      <c r="W119" s="144"/>
      <c r="X119" s="144"/>
      <c r="Y119" s="143"/>
      <c r="Z119" s="143">
        <f t="shared" si="124"/>
        <v>0</v>
      </c>
      <c r="AA119" s="9">
        <f t="shared" si="125"/>
        <v>0.375</v>
      </c>
      <c r="AB119" s="9">
        <f t="shared" si="126"/>
        <v>0</v>
      </c>
      <c r="AC119" s="9">
        <f t="shared" si="127"/>
        <v>0</v>
      </c>
      <c r="AD119" s="9">
        <f t="shared" si="128"/>
        <v>0</v>
      </c>
      <c r="AE119" s="40" t="e">
        <f t="shared" ca="1" si="129"/>
        <v>#NUM!</v>
      </c>
      <c r="AF119" s="40" t="e">
        <f t="shared" ca="1" si="130"/>
        <v>#NUM!</v>
      </c>
      <c r="AG119" s="40" t="e">
        <f t="shared" ca="1" si="131"/>
        <v>#NUM!</v>
      </c>
      <c r="AH119" s="40" t="e">
        <f t="shared" ca="1" si="132"/>
        <v>#NUM!</v>
      </c>
      <c r="AI119" s="40" t="e">
        <f t="shared" ca="1" si="133"/>
        <v>#NUM!</v>
      </c>
      <c r="AJ119" s="40" t="e">
        <f t="shared" ca="1" si="134"/>
        <v>#NUM!</v>
      </c>
      <c r="AK119" s="203" t="e">
        <f t="shared" ca="1" si="135"/>
        <v>#NUM!</v>
      </c>
      <c r="AL119" s="40" t="e">
        <f t="shared" ca="1" si="136"/>
        <v>#NUM!</v>
      </c>
      <c r="AM119" s="40" t="e">
        <f t="shared" ca="1" si="137"/>
        <v>#NUM!</v>
      </c>
      <c r="AN119" s="40" t="e">
        <f t="shared" ca="1" si="138"/>
        <v>#NUM!</v>
      </c>
      <c r="AO119" s="40" t="e">
        <f t="shared" ca="1" si="139"/>
        <v>#NUM!</v>
      </c>
      <c r="AP119" s="40" t="e">
        <f t="shared" ca="1" si="140"/>
        <v>#NUM!</v>
      </c>
      <c r="AQ119" s="40" t="e">
        <f t="shared" ca="1" si="141"/>
        <v>#NUM!</v>
      </c>
      <c r="AR119" s="40" t="e">
        <f t="shared" ca="1" si="142"/>
        <v>#NUM!</v>
      </c>
      <c r="AS119" s="40" t="e">
        <f t="shared" ca="1" si="143"/>
        <v>#NUM!</v>
      </c>
    </row>
    <row r="120" spans="1:45" x14ac:dyDescent="0.25">
      <c r="A120" s="154"/>
      <c r="B120" s="73">
        <f t="shared" si="119"/>
        <v>-59090.909090909088</v>
      </c>
      <c r="E120" s="148">
        <v>42826</v>
      </c>
      <c r="G120" s="139">
        <v>33</v>
      </c>
      <c r="H120" s="139">
        <v>0</v>
      </c>
      <c r="I120" s="49">
        <f t="shared" si="120"/>
        <v>46522</v>
      </c>
      <c r="J120" s="76">
        <v>1950000</v>
      </c>
      <c r="K120" s="40">
        <f t="shared" si="121"/>
        <v>33</v>
      </c>
      <c r="L120" s="74">
        <f t="shared" si="122"/>
        <v>1950000</v>
      </c>
      <c r="M120" s="76"/>
      <c r="N120" s="76">
        <f t="shared" si="123"/>
        <v>0</v>
      </c>
      <c r="O120" s="142"/>
      <c r="P120" s="142"/>
      <c r="Q120" s="142"/>
      <c r="R120" s="144"/>
      <c r="S120" s="144"/>
      <c r="T120" s="144"/>
      <c r="U120" s="144"/>
      <c r="V120" s="144"/>
      <c r="W120" s="144"/>
      <c r="X120" s="144"/>
      <c r="Y120" s="143"/>
      <c r="Z120" s="143">
        <f t="shared" si="124"/>
        <v>0</v>
      </c>
      <c r="AA120" s="9">
        <f t="shared" si="125"/>
        <v>0.375</v>
      </c>
      <c r="AB120" s="9">
        <f t="shared" si="126"/>
        <v>0</v>
      </c>
      <c r="AC120" s="9">
        <f t="shared" si="127"/>
        <v>0</v>
      </c>
      <c r="AD120" s="9">
        <f t="shared" si="128"/>
        <v>0</v>
      </c>
      <c r="AE120" s="40" t="e">
        <f t="shared" ca="1" si="129"/>
        <v>#NUM!</v>
      </c>
      <c r="AF120" s="40" t="e">
        <f t="shared" ca="1" si="130"/>
        <v>#NUM!</v>
      </c>
      <c r="AG120" s="40" t="e">
        <f t="shared" ca="1" si="131"/>
        <v>#NUM!</v>
      </c>
      <c r="AH120" s="40" t="e">
        <f t="shared" ca="1" si="132"/>
        <v>#NUM!</v>
      </c>
      <c r="AI120" s="40" t="e">
        <f t="shared" ca="1" si="133"/>
        <v>#NUM!</v>
      </c>
      <c r="AJ120" s="40" t="e">
        <f t="shared" ca="1" si="134"/>
        <v>#NUM!</v>
      </c>
      <c r="AK120" s="203" t="e">
        <f t="shared" ca="1" si="135"/>
        <v>#NUM!</v>
      </c>
      <c r="AL120" s="40" t="e">
        <f t="shared" ca="1" si="136"/>
        <v>#NUM!</v>
      </c>
      <c r="AM120" s="40" t="e">
        <f t="shared" ca="1" si="137"/>
        <v>#NUM!</v>
      </c>
      <c r="AN120" s="40" t="e">
        <f t="shared" ca="1" si="138"/>
        <v>#NUM!</v>
      </c>
      <c r="AO120" s="40" t="e">
        <f t="shared" ca="1" si="139"/>
        <v>#NUM!</v>
      </c>
      <c r="AP120" s="40" t="e">
        <f t="shared" ca="1" si="140"/>
        <v>#NUM!</v>
      </c>
      <c r="AQ120" s="40" t="e">
        <f t="shared" ca="1" si="141"/>
        <v>#NUM!</v>
      </c>
      <c r="AR120" s="40" t="e">
        <f t="shared" ca="1" si="142"/>
        <v>#NUM!</v>
      </c>
      <c r="AS120" s="40" t="e">
        <f t="shared" ca="1" si="143"/>
        <v>#NUM!</v>
      </c>
    </row>
    <row r="121" spans="1:45" x14ac:dyDescent="0.25">
      <c r="A121" s="154"/>
      <c r="B121" s="73">
        <f t="shared" si="119"/>
        <v>-59090.909090909088</v>
      </c>
      <c r="E121" s="148">
        <v>42826</v>
      </c>
      <c r="G121" s="139">
        <v>33</v>
      </c>
      <c r="H121" s="139">
        <v>0</v>
      </c>
      <c r="I121" s="49">
        <f t="shared" si="120"/>
        <v>46522</v>
      </c>
      <c r="J121" s="76">
        <v>1950000</v>
      </c>
      <c r="K121" s="40">
        <f t="shared" si="121"/>
        <v>33</v>
      </c>
      <c r="L121" s="74">
        <f t="shared" si="122"/>
        <v>1950000</v>
      </c>
      <c r="M121" s="76"/>
      <c r="N121" s="76">
        <f t="shared" si="123"/>
        <v>0</v>
      </c>
      <c r="O121" s="142"/>
      <c r="P121" s="142"/>
      <c r="Q121" s="142"/>
      <c r="R121" s="144"/>
      <c r="S121" s="144"/>
      <c r="T121" s="144"/>
      <c r="U121" s="144"/>
      <c r="V121" s="144"/>
      <c r="W121" s="144"/>
      <c r="X121" s="144"/>
      <c r="Y121" s="143"/>
      <c r="Z121" s="143">
        <f t="shared" si="124"/>
        <v>0</v>
      </c>
      <c r="AA121" s="9">
        <f t="shared" si="125"/>
        <v>0.375</v>
      </c>
      <c r="AB121" s="9">
        <f t="shared" si="126"/>
        <v>0</v>
      </c>
      <c r="AC121" s="9">
        <f t="shared" si="127"/>
        <v>0</v>
      </c>
      <c r="AD121" s="9">
        <f t="shared" si="128"/>
        <v>0</v>
      </c>
      <c r="AE121" s="40" t="e">
        <f t="shared" ca="1" si="129"/>
        <v>#NUM!</v>
      </c>
      <c r="AF121" s="40" t="e">
        <f t="shared" ca="1" si="130"/>
        <v>#NUM!</v>
      </c>
      <c r="AG121" s="40" t="e">
        <f t="shared" ca="1" si="131"/>
        <v>#NUM!</v>
      </c>
      <c r="AH121" s="40" t="e">
        <f t="shared" ca="1" si="132"/>
        <v>#NUM!</v>
      </c>
      <c r="AI121" s="40" t="e">
        <f t="shared" ca="1" si="133"/>
        <v>#NUM!</v>
      </c>
      <c r="AJ121" s="40" t="e">
        <f t="shared" ca="1" si="134"/>
        <v>#NUM!</v>
      </c>
      <c r="AK121" s="203" t="e">
        <f t="shared" ca="1" si="135"/>
        <v>#NUM!</v>
      </c>
      <c r="AL121" s="40" t="e">
        <f t="shared" ca="1" si="136"/>
        <v>#NUM!</v>
      </c>
      <c r="AM121" s="40" t="e">
        <f t="shared" ca="1" si="137"/>
        <v>#NUM!</v>
      </c>
      <c r="AN121" s="40" t="e">
        <f t="shared" ca="1" si="138"/>
        <v>#NUM!</v>
      </c>
      <c r="AO121" s="40" t="e">
        <f t="shared" ca="1" si="139"/>
        <v>#NUM!</v>
      </c>
      <c r="AP121" s="40" t="e">
        <f t="shared" ca="1" si="140"/>
        <v>#NUM!</v>
      </c>
      <c r="AQ121" s="40" t="e">
        <f t="shared" ca="1" si="141"/>
        <v>#NUM!</v>
      </c>
      <c r="AR121" s="40" t="e">
        <f t="shared" ca="1" si="142"/>
        <v>#NUM!</v>
      </c>
      <c r="AS121" s="40" t="e">
        <f t="shared" ca="1" si="143"/>
        <v>#NUM!</v>
      </c>
    </row>
    <row r="122" spans="1:45" x14ac:dyDescent="0.25">
      <c r="A122" s="154"/>
      <c r="B122" s="73">
        <f t="shared" si="119"/>
        <v>-59090.909090909088</v>
      </c>
      <c r="E122" s="148">
        <v>42826</v>
      </c>
      <c r="G122" s="139">
        <v>33</v>
      </c>
      <c r="H122" s="139">
        <v>0</v>
      </c>
      <c r="I122" s="49">
        <f t="shared" si="120"/>
        <v>46522</v>
      </c>
      <c r="J122" s="76">
        <v>1950000</v>
      </c>
      <c r="K122" s="40">
        <f t="shared" si="121"/>
        <v>33</v>
      </c>
      <c r="L122" s="74">
        <f t="shared" si="122"/>
        <v>1950000</v>
      </c>
      <c r="M122" s="76"/>
      <c r="N122" s="76">
        <f t="shared" si="123"/>
        <v>0</v>
      </c>
      <c r="O122" s="142"/>
      <c r="P122" s="142"/>
      <c r="Q122" s="142"/>
      <c r="R122" s="144"/>
      <c r="S122" s="144"/>
      <c r="T122" s="144"/>
      <c r="U122" s="144"/>
      <c r="V122" s="144"/>
      <c r="W122" s="144"/>
      <c r="X122" s="144"/>
      <c r="Y122" s="143"/>
      <c r="Z122" s="143">
        <f t="shared" si="124"/>
        <v>0</v>
      </c>
      <c r="AA122" s="9">
        <f t="shared" si="125"/>
        <v>0.375</v>
      </c>
      <c r="AB122" s="9">
        <f t="shared" si="126"/>
        <v>0</v>
      </c>
      <c r="AC122" s="9">
        <f t="shared" si="127"/>
        <v>0</v>
      </c>
      <c r="AD122" s="9">
        <f t="shared" si="128"/>
        <v>0</v>
      </c>
      <c r="AE122" s="40" t="e">
        <f t="shared" ca="1" si="129"/>
        <v>#NUM!</v>
      </c>
      <c r="AF122" s="40" t="e">
        <f t="shared" ca="1" si="130"/>
        <v>#NUM!</v>
      </c>
      <c r="AG122" s="40" t="e">
        <f t="shared" ca="1" si="131"/>
        <v>#NUM!</v>
      </c>
      <c r="AH122" s="40" t="e">
        <f t="shared" ca="1" si="132"/>
        <v>#NUM!</v>
      </c>
      <c r="AI122" s="40" t="e">
        <f t="shared" ca="1" si="133"/>
        <v>#NUM!</v>
      </c>
      <c r="AJ122" s="40" t="e">
        <f t="shared" ca="1" si="134"/>
        <v>#NUM!</v>
      </c>
      <c r="AK122" s="203" t="e">
        <f t="shared" ca="1" si="135"/>
        <v>#NUM!</v>
      </c>
      <c r="AL122" s="40" t="e">
        <f t="shared" ca="1" si="136"/>
        <v>#NUM!</v>
      </c>
      <c r="AM122" s="40" t="e">
        <f t="shared" ca="1" si="137"/>
        <v>#NUM!</v>
      </c>
      <c r="AN122" s="40" t="e">
        <f t="shared" ca="1" si="138"/>
        <v>#NUM!</v>
      </c>
      <c r="AO122" s="40" t="e">
        <f t="shared" ca="1" si="139"/>
        <v>#NUM!</v>
      </c>
      <c r="AP122" s="40" t="e">
        <f t="shared" ca="1" si="140"/>
        <v>#NUM!</v>
      </c>
      <c r="AQ122" s="40" t="e">
        <f t="shared" ca="1" si="141"/>
        <v>#NUM!</v>
      </c>
      <c r="AR122" s="40" t="e">
        <f t="shared" ca="1" si="142"/>
        <v>#NUM!</v>
      </c>
      <c r="AS122" s="40" t="e">
        <f t="shared" ca="1" si="143"/>
        <v>#NUM!</v>
      </c>
    </row>
    <row r="123" spans="1:45" x14ac:dyDescent="0.25">
      <c r="A123" s="154"/>
      <c r="B123" s="73">
        <f t="shared" si="119"/>
        <v>-59090.909090909088</v>
      </c>
      <c r="E123" s="148">
        <v>42826</v>
      </c>
      <c r="G123" s="139">
        <v>33</v>
      </c>
      <c r="H123" s="139">
        <v>0</v>
      </c>
      <c r="I123" s="49">
        <f t="shared" si="120"/>
        <v>46522</v>
      </c>
      <c r="J123" s="76">
        <v>1950000</v>
      </c>
      <c r="K123" s="40">
        <f t="shared" si="121"/>
        <v>33</v>
      </c>
      <c r="L123" s="74">
        <f t="shared" si="122"/>
        <v>1950000</v>
      </c>
      <c r="M123" s="76"/>
      <c r="N123" s="76">
        <f t="shared" si="123"/>
        <v>0</v>
      </c>
      <c r="O123" s="142"/>
      <c r="P123" s="142"/>
      <c r="Q123" s="142"/>
      <c r="R123" s="144"/>
      <c r="S123" s="144"/>
      <c r="T123" s="144"/>
      <c r="U123" s="144"/>
      <c r="V123" s="144"/>
      <c r="W123" s="144"/>
      <c r="X123" s="144"/>
      <c r="Y123" s="143"/>
      <c r="Z123" s="143">
        <f t="shared" si="124"/>
        <v>0</v>
      </c>
      <c r="AA123" s="9">
        <f t="shared" si="125"/>
        <v>0.375</v>
      </c>
      <c r="AB123" s="9">
        <f t="shared" si="126"/>
        <v>0</v>
      </c>
      <c r="AC123" s="9">
        <f t="shared" si="127"/>
        <v>0</v>
      </c>
      <c r="AD123" s="9">
        <f t="shared" si="128"/>
        <v>0</v>
      </c>
      <c r="AE123" s="40" t="e">
        <f t="shared" ca="1" si="129"/>
        <v>#NUM!</v>
      </c>
      <c r="AF123" s="40" t="e">
        <f t="shared" ca="1" si="130"/>
        <v>#NUM!</v>
      </c>
      <c r="AG123" s="40" t="e">
        <f t="shared" ca="1" si="131"/>
        <v>#NUM!</v>
      </c>
      <c r="AH123" s="40" t="e">
        <f t="shared" ca="1" si="132"/>
        <v>#NUM!</v>
      </c>
      <c r="AI123" s="40" t="e">
        <f t="shared" ca="1" si="133"/>
        <v>#NUM!</v>
      </c>
      <c r="AJ123" s="40" t="e">
        <f t="shared" ca="1" si="134"/>
        <v>#NUM!</v>
      </c>
      <c r="AK123" s="203" t="e">
        <f t="shared" ca="1" si="135"/>
        <v>#NUM!</v>
      </c>
      <c r="AL123" s="40" t="e">
        <f t="shared" ca="1" si="136"/>
        <v>#NUM!</v>
      </c>
      <c r="AM123" s="40" t="e">
        <f t="shared" ca="1" si="137"/>
        <v>#NUM!</v>
      </c>
      <c r="AN123" s="40" t="e">
        <f t="shared" ca="1" si="138"/>
        <v>#NUM!</v>
      </c>
      <c r="AO123" s="40" t="e">
        <f t="shared" ca="1" si="139"/>
        <v>#NUM!</v>
      </c>
      <c r="AP123" s="40" t="e">
        <f t="shared" ca="1" si="140"/>
        <v>#NUM!</v>
      </c>
      <c r="AQ123" s="40" t="e">
        <f t="shared" ca="1" si="141"/>
        <v>#NUM!</v>
      </c>
      <c r="AR123" s="40" t="e">
        <f t="shared" ca="1" si="142"/>
        <v>#NUM!</v>
      </c>
      <c r="AS123" s="40" t="e">
        <f t="shared" ca="1" si="143"/>
        <v>#NUM!</v>
      </c>
    </row>
    <row r="124" spans="1:45" x14ac:dyDescent="0.25">
      <c r="A124" s="154"/>
      <c r="B124" s="73">
        <f t="shared" si="119"/>
        <v>-59090.909090909088</v>
      </c>
      <c r="E124" s="148">
        <v>42826</v>
      </c>
      <c r="G124" s="139">
        <v>33</v>
      </c>
      <c r="H124" s="139">
        <v>0</v>
      </c>
      <c r="I124" s="49">
        <f t="shared" si="120"/>
        <v>46522</v>
      </c>
      <c r="J124" s="76">
        <v>1950000</v>
      </c>
      <c r="K124" s="40">
        <f t="shared" si="121"/>
        <v>33</v>
      </c>
      <c r="L124" s="74">
        <f t="shared" si="122"/>
        <v>1950000</v>
      </c>
      <c r="M124" s="76"/>
      <c r="N124" s="76">
        <f t="shared" si="123"/>
        <v>0</v>
      </c>
      <c r="O124" s="142"/>
      <c r="P124" s="142"/>
      <c r="Q124" s="142"/>
      <c r="R124" s="144"/>
      <c r="S124" s="144"/>
      <c r="T124" s="144"/>
      <c r="U124" s="144"/>
      <c r="V124" s="144"/>
      <c r="W124" s="144"/>
      <c r="X124" s="144"/>
      <c r="Y124" s="143"/>
      <c r="Z124" s="143">
        <f t="shared" si="124"/>
        <v>0</v>
      </c>
      <c r="AA124" s="9">
        <f t="shared" si="125"/>
        <v>0.375</v>
      </c>
      <c r="AB124" s="9">
        <f t="shared" si="126"/>
        <v>0</v>
      </c>
      <c r="AC124" s="9">
        <f t="shared" si="127"/>
        <v>0</v>
      </c>
      <c r="AD124" s="9">
        <f t="shared" si="128"/>
        <v>0</v>
      </c>
      <c r="AE124" s="40" t="e">
        <f t="shared" ca="1" si="129"/>
        <v>#NUM!</v>
      </c>
      <c r="AF124" s="40" t="e">
        <f t="shared" ca="1" si="130"/>
        <v>#NUM!</v>
      </c>
      <c r="AG124" s="40" t="e">
        <f t="shared" ca="1" si="131"/>
        <v>#NUM!</v>
      </c>
      <c r="AH124" s="40" t="e">
        <f t="shared" ca="1" si="132"/>
        <v>#NUM!</v>
      </c>
      <c r="AI124" s="40" t="e">
        <f t="shared" ca="1" si="133"/>
        <v>#NUM!</v>
      </c>
      <c r="AJ124" s="40" t="e">
        <f t="shared" ca="1" si="134"/>
        <v>#NUM!</v>
      </c>
      <c r="AK124" s="203" t="e">
        <f t="shared" ca="1" si="135"/>
        <v>#NUM!</v>
      </c>
      <c r="AL124" s="40" t="e">
        <f t="shared" ca="1" si="136"/>
        <v>#NUM!</v>
      </c>
      <c r="AM124" s="40" t="e">
        <f t="shared" ca="1" si="137"/>
        <v>#NUM!</v>
      </c>
      <c r="AN124" s="40" t="e">
        <f t="shared" ca="1" si="138"/>
        <v>#NUM!</v>
      </c>
      <c r="AO124" s="40" t="e">
        <f t="shared" ca="1" si="139"/>
        <v>#NUM!</v>
      </c>
      <c r="AP124" s="40" t="e">
        <f t="shared" ca="1" si="140"/>
        <v>#NUM!</v>
      </c>
      <c r="AQ124" s="40" t="e">
        <f t="shared" ca="1" si="141"/>
        <v>#NUM!</v>
      </c>
      <c r="AR124" s="40" t="e">
        <f t="shared" ca="1" si="142"/>
        <v>#NUM!</v>
      </c>
      <c r="AS124" s="40" t="e">
        <f t="shared" ca="1" si="143"/>
        <v>#NUM!</v>
      </c>
    </row>
    <row r="125" spans="1:45" x14ac:dyDescent="0.25">
      <c r="A125" s="154"/>
      <c r="B125" s="73">
        <f t="shared" si="119"/>
        <v>-59090.909090909088</v>
      </c>
      <c r="E125" s="148">
        <v>42826</v>
      </c>
      <c r="G125" s="139">
        <v>33</v>
      </c>
      <c r="H125" s="139">
        <v>0</v>
      </c>
      <c r="I125" s="49">
        <f t="shared" si="120"/>
        <v>46522</v>
      </c>
      <c r="J125" s="76">
        <v>1950000</v>
      </c>
      <c r="K125" s="40">
        <f t="shared" si="121"/>
        <v>33</v>
      </c>
      <c r="L125" s="74">
        <f t="shared" si="122"/>
        <v>1950000</v>
      </c>
      <c r="M125" s="76"/>
      <c r="N125" s="76">
        <f t="shared" si="123"/>
        <v>0</v>
      </c>
      <c r="O125" s="142"/>
      <c r="P125" s="142"/>
      <c r="Q125" s="142"/>
      <c r="R125" s="144"/>
      <c r="S125" s="144"/>
      <c r="T125" s="144"/>
      <c r="U125" s="144"/>
      <c r="V125" s="144"/>
      <c r="W125" s="144"/>
      <c r="X125" s="144"/>
      <c r="Y125" s="143"/>
      <c r="Z125" s="143">
        <f t="shared" si="124"/>
        <v>0</v>
      </c>
      <c r="AA125" s="9">
        <f t="shared" si="125"/>
        <v>0.375</v>
      </c>
      <c r="AB125" s="9">
        <f t="shared" si="126"/>
        <v>0</v>
      </c>
      <c r="AC125" s="9">
        <f t="shared" si="127"/>
        <v>0</v>
      </c>
      <c r="AD125" s="9">
        <f t="shared" si="128"/>
        <v>0</v>
      </c>
      <c r="AE125" s="40" t="e">
        <f t="shared" ca="1" si="129"/>
        <v>#NUM!</v>
      </c>
      <c r="AF125" s="40" t="e">
        <f t="shared" ca="1" si="130"/>
        <v>#NUM!</v>
      </c>
      <c r="AG125" s="40" t="e">
        <f t="shared" ca="1" si="131"/>
        <v>#NUM!</v>
      </c>
      <c r="AH125" s="40" t="e">
        <f t="shared" ca="1" si="132"/>
        <v>#NUM!</v>
      </c>
      <c r="AI125" s="40" t="e">
        <f t="shared" ca="1" si="133"/>
        <v>#NUM!</v>
      </c>
      <c r="AJ125" s="40" t="e">
        <f t="shared" ca="1" si="134"/>
        <v>#NUM!</v>
      </c>
      <c r="AK125" s="203" t="e">
        <f t="shared" ca="1" si="135"/>
        <v>#NUM!</v>
      </c>
      <c r="AL125" s="40" t="e">
        <f t="shared" ca="1" si="136"/>
        <v>#NUM!</v>
      </c>
      <c r="AM125" s="40" t="e">
        <f t="shared" ca="1" si="137"/>
        <v>#NUM!</v>
      </c>
      <c r="AN125" s="40" t="e">
        <f t="shared" ca="1" si="138"/>
        <v>#NUM!</v>
      </c>
      <c r="AO125" s="40" t="e">
        <f t="shared" ca="1" si="139"/>
        <v>#NUM!</v>
      </c>
      <c r="AP125" s="40" t="e">
        <f t="shared" ca="1" si="140"/>
        <v>#NUM!</v>
      </c>
      <c r="AQ125" s="40" t="e">
        <f t="shared" ca="1" si="141"/>
        <v>#NUM!</v>
      </c>
      <c r="AR125" s="40" t="e">
        <f t="shared" ca="1" si="142"/>
        <v>#NUM!</v>
      </c>
      <c r="AS125" s="40" t="e">
        <f t="shared" ca="1" si="143"/>
        <v>#NUM!</v>
      </c>
    </row>
    <row r="126" spans="1:45" x14ac:dyDescent="0.25">
      <c r="A126" s="154"/>
      <c r="B126" s="73">
        <f t="shared" si="119"/>
        <v>-59090.909090909088</v>
      </c>
      <c r="E126" s="148">
        <v>42826</v>
      </c>
      <c r="G126" s="139">
        <v>33</v>
      </c>
      <c r="H126" s="139">
        <v>0</v>
      </c>
      <c r="I126" s="49">
        <f t="shared" si="120"/>
        <v>46522</v>
      </c>
      <c r="J126" s="76">
        <v>1950000</v>
      </c>
      <c r="K126" s="40">
        <f t="shared" si="121"/>
        <v>33</v>
      </c>
      <c r="L126" s="74">
        <f t="shared" si="122"/>
        <v>1950000</v>
      </c>
      <c r="M126" s="76"/>
      <c r="N126" s="76">
        <f t="shared" si="123"/>
        <v>0</v>
      </c>
      <c r="O126" s="142"/>
      <c r="P126" s="142"/>
      <c r="Q126" s="142"/>
      <c r="R126" s="144"/>
      <c r="S126" s="144"/>
      <c r="T126" s="144"/>
      <c r="U126" s="144"/>
      <c r="V126" s="144"/>
      <c r="W126" s="144"/>
      <c r="X126" s="144"/>
      <c r="Y126" s="143"/>
      <c r="Z126" s="143">
        <f t="shared" si="124"/>
        <v>0</v>
      </c>
      <c r="AA126" s="9">
        <f t="shared" si="125"/>
        <v>0.375</v>
      </c>
      <c r="AB126" s="9">
        <f t="shared" si="126"/>
        <v>0</v>
      </c>
      <c r="AC126" s="9">
        <f t="shared" si="127"/>
        <v>0</v>
      </c>
      <c r="AD126" s="9">
        <f t="shared" si="128"/>
        <v>0</v>
      </c>
      <c r="AE126" s="40" t="e">
        <f t="shared" ca="1" si="129"/>
        <v>#NUM!</v>
      </c>
      <c r="AF126" s="40" t="e">
        <f t="shared" ca="1" si="130"/>
        <v>#NUM!</v>
      </c>
      <c r="AG126" s="40" t="e">
        <f t="shared" ca="1" si="131"/>
        <v>#NUM!</v>
      </c>
      <c r="AH126" s="40" t="e">
        <f t="shared" ca="1" si="132"/>
        <v>#NUM!</v>
      </c>
      <c r="AI126" s="40" t="e">
        <f t="shared" ca="1" si="133"/>
        <v>#NUM!</v>
      </c>
      <c r="AJ126" s="40" t="e">
        <f t="shared" ca="1" si="134"/>
        <v>#NUM!</v>
      </c>
      <c r="AK126" s="203" t="e">
        <f t="shared" ca="1" si="135"/>
        <v>#NUM!</v>
      </c>
      <c r="AL126" s="40" t="e">
        <f t="shared" ca="1" si="136"/>
        <v>#NUM!</v>
      </c>
      <c r="AM126" s="40" t="e">
        <f t="shared" ca="1" si="137"/>
        <v>#NUM!</v>
      </c>
      <c r="AN126" s="40" t="e">
        <f t="shared" ca="1" si="138"/>
        <v>#NUM!</v>
      </c>
      <c r="AO126" s="40" t="e">
        <f t="shared" ca="1" si="139"/>
        <v>#NUM!</v>
      </c>
      <c r="AP126" s="40" t="e">
        <f t="shared" ca="1" si="140"/>
        <v>#NUM!</v>
      </c>
      <c r="AQ126" s="40" t="e">
        <f t="shared" ca="1" si="141"/>
        <v>#NUM!</v>
      </c>
      <c r="AR126" s="40" t="e">
        <f t="shared" ca="1" si="142"/>
        <v>#NUM!</v>
      </c>
      <c r="AS126" s="40" t="e">
        <f t="shared" ca="1" si="143"/>
        <v>#NUM!</v>
      </c>
    </row>
    <row r="127" spans="1:45" x14ac:dyDescent="0.25">
      <c r="A127" s="154"/>
      <c r="B127" s="73">
        <f t="shared" si="119"/>
        <v>-59090.909090909088</v>
      </c>
      <c r="E127" s="148">
        <v>42826</v>
      </c>
      <c r="G127" s="139">
        <v>33</v>
      </c>
      <c r="H127" s="139">
        <v>0</v>
      </c>
      <c r="I127" s="49">
        <f t="shared" si="120"/>
        <v>46522</v>
      </c>
      <c r="J127" s="76">
        <v>1950000</v>
      </c>
      <c r="K127" s="40">
        <f t="shared" si="121"/>
        <v>33</v>
      </c>
      <c r="L127" s="74">
        <f t="shared" si="122"/>
        <v>1950000</v>
      </c>
      <c r="M127" s="76"/>
      <c r="N127" s="76">
        <f t="shared" si="123"/>
        <v>0</v>
      </c>
      <c r="O127" s="142"/>
      <c r="P127" s="142"/>
      <c r="Q127" s="142"/>
      <c r="R127" s="144"/>
      <c r="S127" s="144"/>
      <c r="T127" s="144"/>
      <c r="U127" s="144"/>
      <c r="V127" s="144"/>
      <c r="W127" s="144"/>
      <c r="X127" s="144"/>
      <c r="Y127" s="143"/>
      <c r="Z127" s="143">
        <f t="shared" si="124"/>
        <v>0</v>
      </c>
      <c r="AA127" s="9">
        <f t="shared" si="125"/>
        <v>0.375</v>
      </c>
      <c r="AB127" s="9">
        <f t="shared" si="126"/>
        <v>0</v>
      </c>
      <c r="AC127" s="9">
        <f t="shared" si="127"/>
        <v>0</v>
      </c>
      <c r="AD127" s="9">
        <f t="shared" si="128"/>
        <v>0</v>
      </c>
      <c r="AE127" s="40" t="e">
        <f t="shared" ca="1" si="129"/>
        <v>#NUM!</v>
      </c>
      <c r="AF127" s="40" t="e">
        <f t="shared" ca="1" si="130"/>
        <v>#NUM!</v>
      </c>
      <c r="AG127" s="40" t="e">
        <f t="shared" ca="1" si="131"/>
        <v>#NUM!</v>
      </c>
      <c r="AH127" s="40" t="e">
        <f t="shared" ca="1" si="132"/>
        <v>#NUM!</v>
      </c>
      <c r="AI127" s="40" t="e">
        <f t="shared" ca="1" si="133"/>
        <v>#NUM!</v>
      </c>
      <c r="AJ127" s="40" t="e">
        <f t="shared" ca="1" si="134"/>
        <v>#NUM!</v>
      </c>
      <c r="AK127" s="203" t="e">
        <f t="shared" ca="1" si="135"/>
        <v>#NUM!</v>
      </c>
      <c r="AL127" s="40" t="e">
        <f t="shared" ca="1" si="136"/>
        <v>#NUM!</v>
      </c>
      <c r="AM127" s="40" t="e">
        <f t="shared" ca="1" si="137"/>
        <v>#NUM!</v>
      </c>
      <c r="AN127" s="40" t="e">
        <f t="shared" ca="1" si="138"/>
        <v>#NUM!</v>
      </c>
      <c r="AO127" s="40" t="e">
        <f t="shared" ca="1" si="139"/>
        <v>#NUM!</v>
      </c>
      <c r="AP127" s="40" t="e">
        <f t="shared" ca="1" si="140"/>
        <v>#NUM!</v>
      </c>
      <c r="AQ127" s="40" t="e">
        <f t="shared" ca="1" si="141"/>
        <v>#NUM!</v>
      </c>
      <c r="AR127" s="40" t="e">
        <f t="shared" ca="1" si="142"/>
        <v>#NUM!</v>
      </c>
      <c r="AS127" s="40" t="e">
        <f t="shared" ca="1" si="143"/>
        <v>#NUM!</v>
      </c>
    </row>
    <row r="128" spans="1:45" x14ac:dyDescent="0.25">
      <c r="A128" s="154"/>
      <c r="B128" s="73">
        <f t="shared" si="119"/>
        <v>-59090.909090909088</v>
      </c>
      <c r="E128" s="148">
        <v>42826</v>
      </c>
      <c r="G128" s="139">
        <v>33</v>
      </c>
      <c r="H128" s="139">
        <v>0</v>
      </c>
      <c r="I128" s="49">
        <f t="shared" si="120"/>
        <v>46522</v>
      </c>
      <c r="J128" s="76">
        <v>1950000</v>
      </c>
      <c r="K128" s="40">
        <f t="shared" si="121"/>
        <v>33</v>
      </c>
      <c r="L128" s="74">
        <f t="shared" si="122"/>
        <v>1950000</v>
      </c>
      <c r="M128" s="76"/>
      <c r="N128" s="76">
        <f t="shared" si="123"/>
        <v>0</v>
      </c>
      <c r="O128" s="142"/>
      <c r="P128" s="142"/>
      <c r="Q128" s="142"/>
      <c r="R128" s="144"/>
      <c r="S128" s="144"/>
      <c r="T128" s="144"/>
      <c r="U128" s="144"/>
      <c r="V128" s="144"/>
      <c r="W128" s="144"/>
      <c r="X128" s="144"/>
      <c r="Y128" s="143"/>
      <c r="Z128" s="143">
        <f t="shared" si="124"/>
        <v>0</v>
      </c>
      <c r="AA128" s="9">
        <f t="shared" si="125"/>
        <v>0.375</v>
      </c>
      <c r="AB128" s="9">
        <f t="shared" si="126"/>
        <v>0</v>
      </c>
      <c r="AC128" s="9">
        <f t="shared" si="127"/>
        <v>0</v>
      </c>
      <c r="AD128" s="9">
        <f t="shared" si="128"/>
        <v>0</v>
      </c>
      <c r="AE128" s="40" t="e">
        <f t="shared" ca="1" si="129"/>
        <v>#NUM!</v>
      </c>
      <c r="AF128" s="40" t="e">
        <f t="shared" ca="1" si="130"/>
        <v>#NUM!</v>
      </c>
      <c r="AG128" s="40" t="e">
        <f t="shared" ca="1" si="131"/>
        <v>#NUM!</v>
      </c>
      <c r="AH128" s="40" t="e">
        <f t="shared" ca="1" si="132"/>
        <v>#NUM!</v>
      </c>
      <c r="AI128" s="40" t="e">
        <f t="shared" ca="1" si="133"/>
        <v>#NUM!</v>
      </c>
      <c r="AJ128" s="40" t="e">
        <f t="shared" ca="1" si="134"/>
        <v>#NUM!</v>
      </c>
      <c r="AK128" s="203" t="e">
        <f t="shared" ca="1" si="135"/>
        <v>#NUM!</v>
      </c>
      <c r="AL128" s="40" t="e">
        <f t="shared" ca="1" si="136"/>
        <v>#NUM!</v>
      </c>
      <c r="AM128" s="40" t="e">
        <f t="shared" ca="1" si="137"/>
        <v>#NUM!</v>
      </c>
      <c r="AN128" s="40" t="e">
        <f t="shared" ca="1" si="138"/>
        <v>#NUM!</v>
      </c>
      <c r="AO128" s="40" t="e">
        <f t="shared" ca="1" si="139"/>
        <v>#NUM!</v>
      </c>
      <c r="AP128" s="40" t="e">
        <f t="shared" ca="1" si="140"/>
        <v>#NUM!</v>
      </c>
      <c r="AQ128" s="40" t="e">
        <f t="shared" ca="1" si="141"/>
        <v>#NUM!</v>
      </c>
      <c r="AR128" s="40" t="e">
        <f t="shared" ca="1" si="142"/>
        <v>#NUM!</v>
      </c>
      <c r="AS128" s="40" t="e">
        <f t="shared" ca="1" si="143"/>
        <v>#NUM!</v>
      </c>
    </row>
    <row r="129" spans="1:45" x14ac:dyDescent="0.25">
      <c r="A129" s="154"/>
      <c r="B129" s="73">
        <f t="shared" si="119"/>
        <v>-59090.909090909088</v>
      </c>
      <c r="E129" s="148">
        <v>42826</v>
      </c>
      <c r="G129" s="139">
        <v>33</v>
      </c>
      <c r="H129" s="139">
        <v>0</v>
      </c>
      <c r="I129" s="49">
        <f t="shared" si="120"/>
        <v>46522</v>
      </c>
      <c r="J129" s="76">
        <v>1950000</v>
      </c>
      <c r="K129" s="40">
        <f t="shared" si="121"/>
        <v>33</v>
      </c>
      <c r="L129" s="74">
        <f t="shared" si="122"/>
        <v>1950000</v>
      </c>
      <c r="M129" s="76"/>
      <c r="N129" s="76">
        <f t="shared" si="123"/>
        <v>0</v>
      </c>
      <c r="O129" s="142"/>
      <c r="P129" s="142"/>
      <c r="Q129" s="142"/>
      <c r="R129" s="144"/>
      <c r="S129" s="144"/>
      <c r="T129" s="144"/>
      <c r="U129" s="144"/>
      <c r="V129" s="144"/>
      <c r="W129" s="144"/>
      <c r="X129" s="144"/>
      <c r="Y129" s="143"/>
      <c r="Z129" s="143">
        <f t="shared" si="124"/>
        <v>0</v>
      </c>
      <c r="AA129" s="9">
        <f t="shared" si="125"/>
        <v>0.375</v>
      </c>
      <c r="AB129" s="9">
        <f t="shared" si="126"/>
        <v>0</v>
      </c>
      <c r="AC129" s="9">
        <f t="shared" si="127"/>
        <v>0</v>
      </c>
      <c r="AD129" s="9">
        <f t="shared" si="128"/>
        <v>0</v>
      </c>
      <c r="AE129" s="40" t="e">
        <f t="shared" ca="1" si="129"/>
        <v>#NUM!</v>
      </c>
      <c r="AF129" s="40" t="e">
        <f t="shared" ca="1" si="130"/>
        <v>#NUM!</v>
      </c>
      <c r="AG129" s="40" t="e">
        <f t="shared" ca="1" si="131"/>
        <v>#NUM!</v>
      </c>
      <c r="AH129" s="40" t="e">
        <f t="shared" ca="1" si="132"/>
        <v>#NUM!</v>
      </c>
      <c r="AI129" s="40" t="e">
        <f t="shared" ca="1" si="133"/>
        <v>#NUM!</v>
      </c>
      <c r="AJ129" s="40" t="e">
        <f t="shared" ca="1" si="134"/>
        <v>#NUM!</v>
      </c>
      <c r="AK129" s="203" t="e">
        <f t="shared" ca="1" si="135"/>
        <v>#NUM!</v>
      </c>
      <c r="AL129" s="40" t="e">
        <f t="shared" ca="1" si="136"/>
        <v>#NUM!</v>
      </c>
      <c r="AM129" s="40" t="e">
        <f t="shared" ca="1" si="137"/>
        <v>#NUM!</v>
      </c>
      <c r="AN129" s="40" t="e">
        <f t="shared" ca="1" si="138"/>
        <v>#NUM!</v>
      </c>
      <c r="AO129" s="40" t="e">
        <f t="shared" ca="1" si="139"/>
        <v>#NUM!</v>
      </c>
      <c r="AP129" s="40" t="e">
        <f t="shared" ca="1" si="140"/>
        <v>#NUM!</v>
      </c>
      <c r="AQ129" s="40" t="e">
        <f t="shared" ca="1" si="141"/>
        <v>#NUM!</v>
      </c>
      <c r="AR129" s="40" t="e">
        <f t="shared" ca="1" si="142"/>
        <v>#NUM!</v>
      </c>
      <c r="AS129" s="40" t="e">
        <f t="shared" ca="1" si="143"/>
        <v>#NUM!</v>
      </c>
    </row>
    <row r="130" spans="1:45" x14ac:dyDescent="0.25">
      <c r="A130" s="154"/>
      <c r="B130" s="73">
        <f t="shared" si="119"/>
        <v>-59090.909090909088</v>
      </c>
      <c r="E130" s="148">
        <v>42826</v>
      </c>
      <c r="G130" s="139">
        <v>33</v>
      </c>
      <c r="H130" s="139">
        <v>0</v>
      </c>
      <c r="I130" s="49">
        <f t="shared" si="120"/>
        <v>46522</v>
      </c>
      <c r="J130" s="76">
        <v>1950000</v>
      </c>
      <c r="K130" s="40">
        <f t="shared" si="121"/>
        <v>33</v>
      </c>
      <c r="L130" s="74">
        <f t="shared" si="122"/>
        <v>1950000</v>
      </c>
      <c r="M130" s="76"/>
      <c r="N130" s="76">
        <f t="shared" si="123"/>
        <v>0</v>
      </c>
      <c r="O130" s="142"/>
      <c r="P130" s="142"/>
      <c r="Q130" s="142"/>
      <c r="R130" s="144"/>
      <c r="S130" s="144"/>
      <c r="T130" s="144"/>
      <c r="U130" s="144"/>
      <c r="V130" s="144"/>
      <c r="W130" s="144"/>
      <c r="X130" s="144"/>
      <c r="Y130" s="143"/>
      <c r="Z130" s="143">
        <f t="shared" si="124"/>
        <v>0</v>
      </c>
      <c r="AA130" s="9">
        <f t="shared" si="125"/>
        <v>0.375</v>
      </c>
      <c r="AB130" s="9">
        <f t="shared" si="126"/>
        <v>0</v>
      </c>
      <c r="AC130" s="9">
        <f t="shared" si="127"/>
        <v>0</v>
      </c>
      <c r="AD130" s="9">
        <f t="shared" si="128"/>
        <v>0</v>
      </c>
      <c r="AE130" s="40" t="e">
        <f t="shared" ca="1" si="129"/>
        <v>#NUM!</v>
      </c>
      <c r="AF130" s="40" t="e">
        <f t="shared" ca="1" si="130"/>
        <v>#NUM!</v>
      </c>
      <c r="AG130" s="40" t="e">
        <f t="shared" ca="1" si="131"/>
        <v>#NUM!</v>
      </c>
      <c r="AH130" s="40" t="e">
        <f t="shared" ca="1" si="132"/>
        <v>#NUM!</v>
      </c>
      <c r="AI130" s="40" t="e">
        <f t="shared" ca="1" si="133"/>
        <v>#NUM!</v>
      </c>
      <c r="AJ130" s="40" t="e">
        <f t="shared" ca="1" si="134"/>
        <v>#NUM!</v>
      </c>
      <c r="AK130" s="203" t="e">
        <f t="shared" ca="1" si="135"/>
        <v>#NUM!</v>
      </c>
      <c r="AL130" s="40" t="e">
        <f t="shared" ca="1" si="136"/>
        <v>#NUM!</v>
      </c>
      <c r="AM130" s="40" t="e">
        <f t="shared" ca="1" si="137"/>
        <v>#NUM!</v>
      </c>
      <c r="AN130" s="40" t="e">
        <f t="shared" ca="1" si="138"/>
        <v>#NUM!</v>
      </c>
      <c r="AO130" s="40" t="e">
        <f t="shared" ca="1" si="139"/>
        <v>#NUM!</v>
      </c>
      <c r="AP130" s="40" t="e">
        <f t="shared" ca="1" si="140"/>
        <v>#NUM!</v>
      </c>
      <c r="AQ130" s="40" t="e">
        <f t="shared" ca="1" si="141"/>
        <v>#NUM!</v>
      </c>
      <c r="AR130" s="40" t="e">
        <f t="shared" ca="1" si="142"/>
        <v>#NUM!</v>
      </c>
      <c r="AS130" s="40" t="e">
        <f t="shared" ca="1" si="143"/>
        <v>#NUM!</v>
      </c>
    </row>
    <row r="131" spans="1:45" x14ac:dyDescent="0.25">
      <c r="A131" s="154"/>
      <c r="B131" s="73">
        <f t="shared" si="119"/>
        <v>-59090.909090909088</v>
      </c>
      <c r="E131" s="148">
        <v>42826</v>
      </c>
      <c r="G131" s="139">
        <v>33</v>
      </c>
      <c r="H131" s="139">
        <v>0</v>
      </c>
      <c r="I131" s="49">
        <f t="shared" si="120"/>
        <v>46522</v>
      </c>
      <c r="J131" s="76">
        <v>1950000</v>
      </c>
      <c r="K131" s="40">
        <f t="shared" si="121"/>
        <v>33</v>
      </c>
      <c r="L131" s="74">
        <f t="shared" si="122"/>
        <v>1950000</v>
      </c>
      <c r="M131" s="76"/>
      <c r="N131" s="76">
        <f t="shared" si="123"/>
        <v>0</v>
      </c>
      <c r="O131" s="142"/>
      <c r="P131" s="142"/>
      <c r="Q131" s="142"/>
      <c r="R131" s="144"/>
      <c r="S131" s="144"/>
      <c r="T131" s="144"/>
      <c r="U131" s="144"/>
      <c r="V131" s="144"/>
      <c r="W131" s="144"/>
      <c r="X131" s="144"/>
      <c r="Y131" s="143"/>
      <c r="Z131" s="143">
        <f t="shared" si="124"/>
        <v>0</v>
      </c>
      <c r="AA131" s="9">
        <f t="shared" si="125"/>
        <v>0.375</v>
      </c>
      <c r="AB131" s="9">
        <f t="shared" si="126"/>
        <v>0</v>
      </c>
      <c r="AC131" s="9">
        <f t="shared" si="127"/>
        <v>0</v>
      </c>
      <c r="AD131" s="9">
        <f t="shared" si="128"/>
        <v>0</v>
      </c>
      <c r="AE131" s="40" t="e">
        <f t="shared" ca="1" si="129"/>
        <v>#NUM!</v>
      </c>
      <c r="AF131" s="40" t="e">
        <f t="shared" ca="1" si="130"/>
        <v>#NUM!</v>
      </c>
      <c r="AG131" s="40" t="e">
        <f t="shared" ca="1" si="131"/>
        <v>#NUM!</v>
      </c>
      <c r="AH131" s="40" t="e">
        <f t="shared" ca="1" si="132"/>
        <v>#NUM!</v>
      </c>
      <c r="AI131" s="40" t="e">
        <f t="shared" ca="1" si="133"/>
        <v>#NUM!</v>
      </c>
      <c r="AJ131" s="40" t="e">
        <f t="shared" ca="1" si="134"/>
        <v>#NUM!</v>
      </c>
      <c r="AK131" s="203" t="e">
        <f t="shared" ca="1" si="135"/>
        <v>#NUM!</v>
      </c>
      <c r="AL131" s="40" t="e">
        <f t="shared" ca="1" si="136"/>
        <v>#NUM!</v>
      </c>
      <c r="AM131" s="40" t="e">
        <f t="shared" ca="1" si="137"/>
        <v>#NUM!</v>
      </c>
      <c r="AN131" s="40" t="e">
        <f t="shared" ca="1" si="138"/>
        <v>#NUM!</v>
      </c>
      <c r="AO131" s="40" t="e">
        <f t="shared" ca="1" si="139"/>
        <v>#NUM!</v>
      </c>
      <c r="AP131" s="40" t="e">
        <f t="shared" ca="1" si="140"/>
        <v>#NUM!</v>
      </c>
      <c r="AQ131" s="40" t="e">
        <f t="shared" ca="1" si="141"/>
        <v>#NUM!</v>
      </c>
      <c r="AR131" s="40" t="e">
        <f t="shared" ca="1" si="142"/>
        <v>#NUM!</v>
      </c>
      <c r="AS131" s="40" t="e">
        <f t="shared" ca="1" si="143"/>
        <v>#NUM!</v>
      </c>
    </row>
    <row r="132" spans="1:45" x14ac:dyDescent="0.25">
      <c r="A132" s="154"/>
      <c r="B132" s="73">
        <f t="shared" si="119"/>
        <v>-59090.909090909088</v>
      </c>
      <c r="E132" s="148">
        <v>42826</v>
      </c>
      <c r="G132" s="139">
        <v>33</v>
      </c>
      <c r="H132" s="139">
        <v>0</v>
      </c>
      <c r="I132" s="49">
        <f t="shared" si="120"/>
        <v>46522</v>
      </c>
      <c r="J132" s="76">
        <v>1950000</v>
      </c>
      <c r="K132" s="40">
        <f t="shared" si="121"/>
        <v>33</v>
      </c>
      <c r="L132" s="74">
        <f t="shared" si="122"/>
        <v>1950000</v>
      </c>
      <c r="M132" s="76"/>
      <c r="N132" s="76">
        <f t="shared" si="123"/>
        <v>0</v>
      </c>
      <c r="O132" s="142"/>
      <c r="P132" s="142"/>
      <c r="Q132" s="142"/>
      <c r="R132" s="144"/>
      <c r="S132" s="144"/>
      <c r="T132" s="144"/>
      <c r="U132" s="144"/>
      <c r="V132" s="144"/>
      <c r="W132" s="144"/>
      <c r="X132" s="144"/>
      <c r="Y132" s="143"/>
      <c r="Z132" s="143">
        <f t="shared" si="124"/>
        <v>0</v>
      </c>
      <c r="AA132" s="9">
        <f t="shared" si="125"/>
        <v>0.375</v>
      </c>
      <c r="AB132" s="9">
        <f t="shared" si="126"/>
        <v>0</v>
      </c>
      <c r="AC132" s="9">
        <f t="shared" si="127"/>
        <v>0</v>
      </c>
      <c r="AD132" s="9">
        <f t="shared" si="128"/>
        <v>0</v>
      </c>
      <c r="AE132" s="40" t="e">
        <f t="shared" ca="1" si="129"/>
        <v>#NUM!</v>
      </c>
      <c r="AF132" s="40" t="e">
        <f t="shared" ca="1" si="130"/>
        <v>#NUM!</v>
      </c>
      <c r="AG132" s="40" t="e">
        <f t="shared" ca="1" si="131"/>
        <v>#NUM!</v>
      </c>
      <c r="AH132" s="40" t="e">
        <f t="shared" ca="1" si="132"/>
        <v>#NUM!</v>
      </c>
      <c r="AI132" s="40" t="e">
        <f t="shared" ca="1" si="133"/>
        <v>#NUM!</v>
      </c>
      <c r="AJ132" s="40" t="e">
        <f t="shared" ca="1" si="134"/>
        <v>#NUM!</v>
      </c>
      <c r="AK132" s="203" t="e">
        <f t="shared" ca="1" si="135"/>
        <v>#NUM!</v>
      </c>
      <c r="AL132" s="40" t="e">
        <f t="shared" ca="1" si="136"/>
        <v>#NUM!</v>
      </c>
      <c r="AM132" s="40" t="e">
        <f t="shared" ca="1" si="137"/>
        <v>#NUM!</v>
      </c>
      <c r="AN132" s="40" t="e">
        <f t="shared" ca="1" si="138"/>
        <v>#NUM!</v>
      </c>
      <c r="AO132" s="40" t="e">
        <f t="shared" ca="1" si="139"/>
        <v>#NUM!</v>
      </c>
      <c r="AP132" s="40" t="e">
        <f t="shared" ca="1" si="140"/>
        <v>#NUM!</v>
      </c>
      <c r="AQ132" s="40" t="e">
        <f t="shared" ca="1" si="141"/>
        <v>#NUM!</v>
      </c>
      <c r="AR132" s="40" t="e">
        <f t="shared" ca="1" si="142"/>
        <v>#NUM!</v>
      </c>
      <c r="AS132" s="40" t="e">
        <f t="shared" ca="1" si="143"/>
        <v>#NUM!</v>
      </c>
    </row>
    <row r="133" spans="1:45" x14ac:dyDescent="0.25">
      <c r="A133" s="154"/>
      <c r="B133" s="73">
        <f t="shared" si="119"/>
        <v>-59090.909090909088</v>
      </c>
      <c r="E133" s="148">
        <v>42826</v>
      </c>
      <c r="G133" s="139">
        <v>33</v>
      </c>
      <c r="H133" s="139">
        <v>0</v>
      </c>
      <c r="I133" s="49">
        <f t="shared" si="120"/>
        <v>46522</v>
      </c>
      <c r="J133" s="76">
        <v>1950000</v>
      </c>
      <c r="K133" s="40">
        <f t="shared" si="121"/>
        <v>33</v>
      </c>
      <c r="L133" s="74">
        <f t="shared" si="122"/>
        <v>1950000</v>
      </c>
      <c r="M133" s="76"/>
      <c r="N133" s="76">
        <f t="shared" si="123"/>
        <v>0</v>
      </c>
      <c r="O133" s="142"/>
      <c r="P133" s="142"/>
      <c r="Q133" s="142"/>
      <c r="R133" s="144"/>
      <c r="S133" s="144"/>
      <c r="T133" s="144"/>
      <c r="U133" s="144"/>
      <c r="V133" s="144"/>
      <c r="W133" s="144"/>
      <c r="X133" s="144"/>
      <c r="Y133" s="143"/>
      <c r="Z133" s="143">
        <f t="shared" si="124"/>
        <v>0</v>
      </c>
      <c r="AA133" s="9">
        <f t="shared" si="125"/>
        <v>0.375</v>
      </c>
      <c r="AB133" s="9">
        <f t="shared" si="126"/>
        <v>0</v>
      </c>
      <c r="AC133" s="9">
        <f t="shared" si="127"/>
        <v>0</v>
      </c>
      <c r="AD133" s="9">
        <f t="shared" si="128"/>
        <v>0</v>
      </c>
      <c r="AE133" s="40" t="e">
        <f t="shared" ca="1" si="129"/>
        <v>#NUM!</v>
      </c>
      <c r="AF133" s="40" t="e">
        <f t="shared" ca="1" si="130"/>
        <v>#NUM!</v>
      </c>
      <c r="AG133" s="40" t="e">
        <f t="shared" ca="1" si="131"/>
        <v>#NUM!</v>
      </c>
      <c r="AH133" s="40" t="e">
        <f t="shared" ca="1" si="132"/>
        <v>#NUM!</v>
      </c>
      <c r="AI133" s="40" t="e">
        <f t="shared" ca="1" si="133"/>
        <v>#NUM!</v>
      </c>
      <c r="AJ133" s="40" t="e">
        <f t="shared" ca="1" si="134"/>
        <v>#NUM!</v>
      </c>
      <c r="AK133" s="203" t="e">
        <f t="shared" ca="1" si="135"/>
        <v>#NUM!</v>
      </c>
      <c r="AL133" s="40" t="e">
        <f t="shared" ca="1" si="136"/>
        <v>#NUM!</v>
      </c>
      <c r="AM133" s="40" t="e">
        <f t="shared" ca="1" si="137"/>
        <v>#NUM!</v>
      </c>
      <c r="AN133" s="40" t="e">
        <f t="shared" ca="1" si="138"/>
        <v>#NUM!</v>
      </c>
      <c r="AO133" s="40" t="e">
        <f t="shared" ca="1" si="139"/>
        <v>#NUM!</v>
      </c>
      <c r="AP133" s="40" t="e">
        <f t="shared" ca="1" si="140"/>
        <v>#NUM!</v>
      </c>
      <c r="AQ133" s="40" t="e">
        <f t="shared" ca="1" si="141"/>
        <v>#NUM!</v>
      </c>
      <c r="AR133" s="40" t="e">
        <f t="shared" ca="1" si="142"/>
        <v>#NUM!</v>
      </c>
      <c r="AS133" s="40" t="e">
        <f t="shared" ca="1" si="143"/>
        <v>#NUM!</v>
      </c>
    </row>
    <row r="134" spans="1:45" x14ac:dyDescent="0.25">
      <c r="A134" s="154"/>
      <c r="B134" s="73">
        <f t="shared" si="119"/>
        <v>-59090.909090909088</v>
      </c>
      <c r="E134" s="148">
        <v>42826</v>
      </c>
      <c r="G134" s="139">
        <v>33</v>
      </c>
      <c r="H134" s="139">
        <v>0</v>
      </c>
      <c r="I134" s="49">
        <f t="shared" si="120"/>
        <v>46522</v>
      </c>
      <c r="J134" s="76">
        <v>1950000</v>
      </c>
      <c r="K134" s="40">
        <f t="shared" si="121"/>
        <v>33</v>
      </c>
      <c r="L134" s="74">
        <f t="shared" si="122"/>
        <v>1950000</v>
      </c>
      <c r="M134" s="76"/>
      <c r="N134" s="76">
        <f t="shared" si="123"/>
        <v>0</v>
      </c>
      <c r="O134" s="142"/>
      <c r="P134" s="142"/>
      <c r="Q134" s="142"/>
      <c r="R134" s="144"/>
      <c r="S134" s="144"/>
      <c r="T134" s="144"/>
      <c r="U134" s="144"/>
      <c r="V134" s="144"/>
      <c r="W134" s="144"/>
      <c r="X134" s="144"/>
      <c r="Y134" s="143"/>
      <c r="Z134" s="143">
        <f t="shared" si="124"/>
        <v>0</v>
      </c>
      <c r="AA134" s="9">
        <f t="shared" si="125"/>
        <v>0.375</v>
      </c>
      <c r="AB134" s="9">
        <f t="shared" si="126"/>
        <v>0</v>
      </c>
      <c r="AC134" s="9">
        <f t="shared" si="127"/>
        <v>0</v>
      </c>
      <c r="AD134" s="9">
        <f t="shared" si="128"/>
        <v>0</v>
      </c>
      <c r="AE134" s="40" t="e">
        <f t="shared" ca="1" si="129"/>
        <v>#NUM!</v>
      </c>
      <c r="AF134" s="40" t="e">
        <f t="shared" ca="1" si="130"/>
        <v>#NUM!</v>
      </c>
      <c r="AG134" s="40" t="e">
        <f t="shared" ca="1" si="131"/>
        <v>#NUM!</v>
      </c>
      <c r="AH134" s="40" t="e">
        <f t="shared" ca="1" si="132"/>
        <v>#NUM!</v>
      </c>
      <c r="AI134" s="40" t="e">
        <f t="shared" ca="1" si="133"/>
        <v>#NUM!</v>
      </c>
      <c r="AJ134" s="40" t="e">
        <f t="shared" ca="1" si="134"/>
        <v>#NUM!</v>
      </c>
      <c r="AK134" s="203" t="e">
        <f t="shared" ca="1" si="135"/>
        <v>#NUM!</v>
      </c>
      <c r="AL134" s="40" t="e">
        <f t="shared" ca="1" si="136"/>
        <v>#NUM!</v>
      </c>
      <c r="AM134" s="40" t="e">
        <f t="shared" ca="1" si="137"/>
        <v>#NUM!</v>
      </c>
      <c r="AN134" s="40" t="e">
        <f t="shared" ca="1" si="138"/>
        <v>#NUM!</v>
      </c>
      <c r="AO134" s="40" t="e">
        <f t="shared" ca="1" si="139"/>
        <v>#NUM!</v>
      </c>
      <c r="AP134" s="40" t="e">
        <f t="shared" ca="1" si="140"/>
        <v>#NUM!</v>
      </c>
      <c r="AQ134" s="40" t="e">
        <f t="shared" ca="1" si="141"/>
        <v>#NUM!</v>
      </c>
      <c r="AR134" s="40" t="e">
        <f t="shared" ca="1" si="142"/>
        <v>#NUM!</v>
      </c>
      <c r="AS134" s="40" t="e">
        <f t="shared" ca="1" si="143"/>
        <v>#NUM!</v>
      </c>
    </row>
    <row r="135" spans="1:45" x14ac:dyDescent="0.25">
      <c r="A135" s="154"/>
      <c r="B135" s="73">
        <f t="shared" si="119"/>
        <v>-59090.909090909088</v>
      </c>
      <c r="E135" s="148">
        <v>42826</v>
      </c>
      <c r="G135" s="139">
        <v>33</v>
      </c>
      <c r="H135" s="139">
        <v>0</v>
      </c>
      <c r="I135" s="49">
        <f t="shared" si="120"/>
        <v>46522</v>
      </c>
      <c r="J135" s="76">
        <v>1950000</v>
      </c>
      <c r="K135" s="40">
        <f t="shared" si="121"/>
        <v>33</v>
      </c>
      <c r="L135" s="74">
        <f t="shared" si="122"/>
        <v>1950000</v>
      </c>
      <c r="M135" s="76"/>
      <c r="N135" s="76">
        <f t="shared" si="123"/>
        <v>0</v>
      </c>
      <c r="O135" s="142"/>
      <c r="P135" s="142"/>
      <c r="Q135" s="142"/>
      <c r="R135" s="144"/>
      <c r="S135" s="144"/>
      <c r="T135" s="144"/>
      <c r="U135" s="144"/>
      <c r="V135" s="144"/>
      <c r="W135" s="144"/>
      <c r="X135" s="144"/>
      <c r="Y135" s="143"/>
      <c r="Z135" s="143">
        <f t="shared" si="124"/>
        <v>0</v>
      </c>
      <c r="AA135" s="9">
        <f t="shared" si="125"/>
        <v>0.375</v>
      </c>
      <c r="AB135" s="9">
        <f t="shared" si="126"/>
        <v>0</v>
      </c>
      <c r="AC135" s="9">
        <f t="shared" si="127"/>
        <v>0</v>
      </c>
      <c r="AD135" s="9">
        <f t="shared" si="128"/>
        <v>0</v>
      </c>
      <c r="AE135" s="40" t="e">
        <f t="shared" ca="1" si="129"/>
        <v>#NUM!</v>
      </c>
      <c r="AF135" s="40" t="e">
        <f t="shared" ca="1" si="130"/>
        <v>#NUM!</v>
      </c>
      <c r="AG135" s="40" t="e">
        <f t="shared" ca="1" si="131"/>
        <v>#NUM!</v>
      </c>
      <c r="AH135" s="40" t="e">
        <f t="shared" ca="1" si="132"/>
        <v>#NUM!</v>
      </c>
      <c r="AI135" s="40" t="e">
        <f t="shared" ca="1" si="133"/>
        <v>#NUM!</v>
      </c>
      <c r="AJ135" s="40" t="e">
        <f t="shared" ca="1" si="134"/>
        <v>#NUM!</v>
      </c>
      <c r="AK135" s="203" t="e">
        <f t="shared" ca="1" si="135"/>
        <v>#NUM!</v>
      </c>
      <c r="AL135" s="40" t="e">
        <f t="shared" ca="1" si="136"/>
        <v>#NUM!</v>
      </c>
      <c r="AM135" s="40" t="e">
        <f t="shared" ca="1" si="137"/>
        <v>#NUM!</v>
      </c>
      <c r="AN135" s="40" t="e">
        <f t="shared" ca="1" si="138"/>
        <v>#NUM!</v>
      </c>
      <c r="AO135" s="40" t="e">
        <f t="shared" ca="1" si="139"/>
        <v>#NUM!</v>
      </c>
      <c r="AP135" s="40" t="e">
        <f t="shared" ca="1" si="140"/>
        <v>#NUM!</v>
      </c>
      <c r="AQ135" s="40" t="e">
        <f t="shared" ca="1" si="141"/>
        <v>#NUM!</v>
      </c>
      <c r="AR135" s="40" t="e">
        <f t="shared" ca="1" si="142"/>
        <v>#NUM!</v>
      </c>
      <c r="AS135" s="40" t="e">
        <f t="shared" ca="1" si="143"/>
        <v>#NUM!</v>
      </c>
    </row>
    <row r="136" spans="1:45" x14ac:dyDescent="0.25">
      <c r="A136" s="154"/>
      <c r="B136" s="73">
        <f t="shared" si="119"/>
        <v>-59090.909090909088</v>
      </c>
      <c r="E136" s="148">
        <v>42826</v>
      </c>
      <c r="G136" s="139">
        <v>33</v>
      </c>
      <c r="H136" s="139">
        <v>0</v>
      </c>
      <c r="I136" s="49">
        <f t="shared" si="120"/>
        <v>46522</v>
      </c>
      <c r="J136" s="76">
        <v>1950000</v>
      </c>
      <c r="K136" s="40">
        <f t="shared" si="121"/>
        <v>33</v>
      </c>
      <c r="L136" s="74">
        <f t="shared" si="122"/>
        <v>1950000</v>
      </c>
      <c r="M136" s="76"/>
      <c r="N136" s="76">
        <f t="shared" si="123"/>
        <v>0</v>
      </c>
      <c r="O136" s="142"/>
      <c r="P136" s="142"/>
      <c r="Q136" s="142"/>
      <c r="R136" s="144"/>
      <c r="S136" s="144"/>
      <c r="T136" s="144"/>
      <c r="U136" s="144"/>
      <c r="V136" s="144"/>
      <c r="W136" s="144"/>
      <c r="X136" s="144"/>
      <c r="Y136" s="143"/>
      <c r="Z136" s="143">
        <f t="shared" si="124"/>
        <v>0</v>
      </c>
      <c r="AA136" s="9">
        <f t="shared" si="125"/>
        <v>0.375</v>
      </c>
      <c r="AB136" s="9">
        <f t="shared" si="126"/>
        <v>0</v>
      </c>
      <c r="AC136" s="9">
        <f t="shared" si="127"/>
        <v>0</v>
      </c>
      <c r="AD136" s="9">
        <f t="shared" si="128"/>
        <v>0</v>
      </c>
      <c r="AE136" s="40" t="e">
        <f t="shared" ca="1" si="129"/>
        <v>#NUM!</v>
      </c>
      <c r="AF136" s="40" t="e">
        <f t="shared" ca="1" si="130"/>
        <v>#NUM!</v>
      </c>
      <c r="AG136" s="40" t="e">
        <f t="shared" ca="1" si="131"/>
        <v>#NUM!</v>
      </c>
      <c r="AH136" s="40" t="e">
        <f t="shared" ca="1" si="132"/>
        <v>#NUM!</v>
      </c>
      <c r="AI136" s="40" t="e">
        <f t="shared" ca="1" si="133"/>
        <v>#NUM!</v>
      </c>
      <c r="AJ136" s="40" t="e">
        <f t="shared" ca="1" si="134"/>
        <v>#NUM!</v>
      </c>
      <c r="AK136" s="203" t="e">
        <f t="shared" ca="1" si="135"/>
        <v>#NUM!</v>
      </c>
      <c r="AL136" s="40" t="e">
        <f t="shared" ca="1" si="136"/>
        <v>#NUM!</v>
      </c>
      <c r="AM136" s="40" t="e">
        <f t="shared" ca="1" si="137"/>
        <v>#NUM!</v>
      </c>
      <c r="AN136" s="40" t="e">
        <f t="shared" ca="1" si="138"/>
        <v>#NUM!</v>
      </c>
      <c r="AO136" s="40" t="e">
        <f t="shared" ca="1" si="139"/>
        <v>#NUM!</v>
      </c>
      <c r="AP136" s="40" t="e">
        <f t="shared" ca="1" si="140"/>
        <v>#NUM!</v>
      </c>
      <c r="AQ136" s="40" t="e">
        <f t="shared" ca="1" si="141"/>
        <v>#NUM!</v>
      </c>
      <c r="AR136" s="40" t="e">
        <f t="shared" ca="1" si="142"/>
        <v>#NUM!</v>
      </c>
      <c r="AS136" s="40" t="e">
        <f t="shared" ca="1" si="143"/>
        <v>#NUM!</v>
      </c>
    </row>
    <row r="137" spans="1:45" x14ac:dyDescent="0.25">
      <c r="A137" s="154"/>
      <c r="B137" s="73">
        <f t="shared" si="119"/>
        <v>-59090.909090909088</v>
      </c>
      <c r="E137" s="148">
        <v>42826</v>
      </c>
      <c r="G137" s="139">
        <v>33</v>
      </c>
      <c r="H137" s="139">
        <v>0</v>
      </c>
      <c r="I137" s="49">
        <f t="shared" si="120"/>
        <v>46522</v>
      </c>
      <c r="J137" s="76">
        <v>1950000</v>
      </c>
      <c r="K137" s="40">
        <f t="shared" si="121"/>
        <v>33</v>
      </c>
      <c r="L137" s="74">
        <f t="shared" si="122"/>
        <v>1950000</v>
      </c>
      <c r="M137" s="76"/>
      <c r="N137" s="76">
        <f t="shared" si="123"/>
        <v>0</v>
      </c>
      <c r="O137" s="142"/>
      <c r="P137" s="142"/>
      <c r="Q137" s="142"/>
      <c r="R137" s="144"/>
      <c r="S137" s="144"/>
      <c r="T137" s="144"/>
      <c r="U137" s="144"/>
      <c r="V137" s="144"/>
      <c r="W137" s="144"/>
      <c r="X137" s="144"/>
      <c r="Y137" s="143"/>
      <c r="Z137" s="143">
        <f t="shared" si="124"/>
        <v>0</v>
      </c>
      <c r="AA137" s="9">
        <f t="shared" si="125"/>
        <v>0.375</v>
      </c>
      <c r="AB137" s="9">
        <f t="shared" si="126"/>
        <v>0</v>
      </c>
      <c r="AC137" s="9">
        <f t="shared" si="127"/>
        <v>0</v>
      </c>
      <c r="AD137" s="9">
        <f t="shared" si="128"/>
        <v>0</v>
      </c>
      <c r="AE137" s="40" t="e">
        <f t="shared" ca="1" si="129"/>
        <v>#NUM!</v>
      </c>
      <c r="AF137" s="40" t="e">
        <f t="shared" ca="1" si="130"/>
        <v>#NUM!</v>
      </c>
      <c r="AG137" s="40" t="e">
        <f t="shared" ca="1" si="131"/>
        <v>#NUM!</v>
      </c>
      <c r="AH137" s="40" t="e">
        <f t="shared" ca="1" si="132"/>
        <v>#NUM!</v>
      </c>
      <c r="AI137" s="40" t="e">
        <f t="shared" ca="1" si="133"/>
        <v>#NUM!</v>
      </c>
      <c r="AJ137" s="40" t="e">
        <f t="shared" ca="1" si="134"/>
        <v>#NUM!</v>
      </c>
      <c r="AK137" s="203" t="e">
        <f t="shared" ca="1" si="135"/>
        <v>#NUM!</v>
      </c>
      <c r="AL137" s="40" t="e">
        <f t="shared" ca="1" si="136"/>
        <v>#NUM!</v>
      </c>
      <c r="AM137" s="40" t="e">
        <f t="shared" ca="1" si="137"/>
        <v>#NUM!</v>
      </c>
      <c r="AN137" s="40" t="e">
        <f t="shared" ca="1" si="138"/>
        <v>#NUM!</v>
      </c>
      <c r="AO137" s="40" t="e">
        <f t="shared" ca="1" si="139"/>
        <v>#NUM!</v>
      </c>
      <c r="AP137" s="40" t="e">
        <f t="shared" ca="1" si="140"/>
        <v>#NUM!</v>
      </c>
      <c r="AQ137" s="40" t="e">
        <f t="shared" ca="1" si="141"/>
        <v>#NUM!</v>
      </c>
      <c r="AR137" s="40" t="e">
        <f t="shared" ca="1" si="142"/>
        <v>#NUM!</v>
      </c>
      <c r="AS137" s="40" t="e">
        <f t="shared" ca="1" si="143"/>
        <v>#NUM!</v>
      </c>
    </row>
    <row r="138" spans="1:45" x14ac:dyDescent="0.25">
      <c r="A138" s="154"/>
      <c r="B138" s="73">
        <f t="shared" si="119"/>
        <v>-59090.909090909088</v>
      </c>
      <c r="E138" s="148">
        <v>42826</v>
      </c>
      <c r="G138" s="139">
        <v>33</v>
      </c>
      <c r="H138" s="139">
        <v>0</v>
      </c>
      <c r="I138" s="49">
        <f t="shared" si="120"/>
        <v>46522</v>
      </c>
      <c r="J138" s="76">
        <v>1950000</v>
      </c>
      <c r="K138" s="40">
        <f t="shared" si="121"/>
        <v>33</v>
      </c>
      <c r="L138" s="74">
        <f t="shared" si="122"/>
        <v>1950000</v>
      </c>
      <c r="M138" s="76"/>
      <c r="N138" s="76">
        <f t="shared" si="123"/>
        <v>0</v>
      </c>
      <c r="O138" s="142"/>
      <c r="P138" s="142"/>
      <c r="Q138" s="142"/>
      <c r="R138" s="144"/>
      <c r="S138" s="144"/>
      <c r="T138" s="144"/>
      <c r="U138" s="144"/>
      <c r="V138" s="144"/>
      <c r="W138" s="144"/>
      <c r="X138" s="144"/>
      <c r="Y138" s="143"/>
      <c r="Z138" s="143">
        <f t="shared" si="124"/>
        <v>0</v>
      </c>
      <c r="AA138" s="9">
        <f t="shared" si="125"/>
        <v>0.375</v>
      </c>
      <c r="AB138" s="9">
        <f t="shared" si="126"/>
        <v>0</v>
      </c>
      <c r="AC138" s="9">
        <f t="shared" si="127"/>
        <v>0</v>
      </c>
      <c r="AD138" s="9">
        <f t="shared" si="128"/>
        <v>0</v>
      </c>
      <c r="AE138" s="40" t="e">
        <f t="shared" ca="1" si="129"/>
        <v>#NUM!</v>
      </c>
      <c r="AF138" s="40" t="e">
        <f t="shared" ca="1" si="130"/>
        <v>#NUM!</v>
      </c>
      <c r="AG138" s="40" t="e">
        <f t="shared" ca="1" si="131"/>
        <v>#NUM!</v>
      </c>
      <c r="AH138" s="40" t="e">
        <f t="shared" ca="1" si="132"/>
        <v>#NUM!</v>
      </c>
      <c r="AI138" s="40" t="e">
        <f t="shared" ca="1" si="133"/>
        <v>#NUM!</v>
      </c>
      <c r="AJ138" s="40" t="e">
        <f t="shared" ca="1" si="134"/>
        <v>#NUM!</v>
      </c>
      <c r="AK138" s="203" t="e">
        <f t="shared" ca="1" si="135"/>
        <v>#NUM!</v>
      </c>
      <c r="AL138" s="40" t="e">
        <f t="shared" ca="1" si="136"/>
        <v>#NUM!</v>
      </c>
      <c r="AM138" s="40" t="e">
        <f t="shared" ca="1" si="137"/>
        <v>#NUM!</v>
      </c>
      <c r="AN138" s="40" t="e">
        <f t="shared" ca="1" si="138"/>
        <v>#NUM!</v>
      </c>
      <c r="AO138" s="40" t="e">
        <f t="shared" ca="1" si="139"/>
        <v>#NUM!</v>
      </c>
      <c r="AP138" s="40" t="e">
        <f t="shared" ca="1" si="140"/>
        <v>#NUM!</v>
      </c>
      <c r="AQ138" s="40" t="e">
        <f t="shared" ca="1" si="141"/>
        <v>#NUM!</v>
      </c>
      <c r="AR138" s="40" t="e">
        <f t="shared" ca="1" si="142"/>
        <v>#NUM!</v>
      </c>
      <c r="AS138" s="40" t="e">
        <f t="shared" ca="1" si="143"/>
        <v>#NUM!</v>
      </c>
    </row>
    <row r="139" spans="1:45" x14ac:dyDescent="0.25">
      <c r="A139" s="154"/>
      <c r="B139" s="73">
        <f t="shared" si="119"/>
        <v>-59090.909090909088</v>
      </c>
      <c r="E139" s="148">
        <v>42826</v>
      </c>
      <c r="G139" s="139">
        <v>33</v>
      </c>
      <c r="H139" s="139">
        <v>0</v>
      </c>
      <c r="I139" s="49">
        <f t="shared" si="120"/>
        <v>46522</v>
      </c>
      <c r="J139" s="76">
        <v>1950000</v>
      </c>
      <c r="K139" s="40">
        <f t="shared" si="121"/>
        <v>33</v>
      </c>
      <c r="L139" s="74">
        <f t="shared" si="122"/>
        <v>1950000</v>
      </c>
      <c r="M139" s="76"/>
      <c r="N139" s="76">
        <f t="shared" si="123"/>
        <v>0</v>
      </c>
      <c r="O139" s="142"/>
      <c r="P139" s="142"/>
      <c r="Q139" s="142"/>
      <c r="R139" s="144"/>
      <c r="S139" s="144"/>
      <c r="T139" s="144"/>
      <c r="U139" s="144"/>
      <c r="V139" s="144"/>
      <c r="W139" s="144"/>
      <c r="X139" s="144"/>
      <c r="Y139" s="143"/>
      <c r="Z139" s="143">
        <f t="shared" si="124"/>
        <v>0</v>
      </c>
      <c r="AA139" s="9">
        <f t="shared" si="125"/>
        <v>0.375</v>
      </c>
      <c r="AB139" s="9">
        <f t="shared" si="126"/>
        <v>0</v>
      </c>
      <c r="AC139" s="9">
        <f t="shared" si="127"/>
        <v>0</v>
      </c>
      <c r="AD139" s="9">
        <f t="shared" si="128"/>
        <v>0</v>
      </c>
      <c r="AE139" s="40" t="e">
        <f t="shared" ca="1" si="129"/>
        <v>#NUM!</v>
      </c>
      <c r="AF139" s="40" t="e">
        <f t="shared" ca="1" si="130"/>
        <v>#NUM!</v>
      </c>
      <c r="AG139" s="40" t="e">
        <f t="shared" ca="1" si="131"/>
        <v>#NUM!</v>
      </c>
      <c r="AH139" s="40" t="e">
        <f t="shared" ca="1" si="132"/>
        <v>#NUM!</v>
      </c>
      <c r="AI139" s="40" t="e">
        <f t="shared" ca="1" si="133"/>
        <v>#NUM!</v>
      </c>
      <c r="AJ139" s="40" t="e">
        <f t="shared" ca="1" si="134"/>
        <v>#NUM!</v>
      </c>
      <c r="AK139" s="203" t="e">
        <f t="shared" ca="1" si="135"/>
        <v>#NUM!</v>
      </c>
      <c r="AL139" s="40" t="e">
        <f t="shared" ca="1" si="136"/>
        <v>#NUM!</v>
      </c>
      <c r="AM139" s="40" t="e">
        <f t="shared" ca="1" si="137"/>
        <v>#NUM!</v>
      </c>
      <c r="AN139" s="40" t="e">
        <f t="shared" ca="1" si="138"/>
        <v>#NUM!</v>
      </c>
      <c r="AO139" s="40" t="e">
        <f t="shared" ca="1" si="139"/>
        <v>#NUM!</v>
      </c>
      <c r="AP139" s="40" t="e">
        <f t="shared" ca="1" si="140"/>
        <v>#NUM!</v>
      </c>
      <c r="AQ139" s="40" t="e">
        <f t="shared" ca="1" si="141"/>
        <v>#NUM!</v>
      </c>
      <c r="AR139" s="40" t="e">
        <f t="shared" ca="1" si="142"/>
        <v>#NUM!</v>
      </c>
      <c r="AS139" s="40" t="e">
        <f t="shared" ca="1" si="143"/>
        <v>#NUM!</v>
      </c>
    </row>
    <row r="140" spans="1:45" x14ac:dyDescent="0.25">
      <c r="A140" s="154"/>
      <c r="B140" s="73">
        <f t="shared" si="119"/>
        <v>-59090.909090909088</v>
      </c>
      <c r="E140" s="148">
        <v>42826</v>
      </c>
      <c r="G140" s="139">
        <v>33</v>
      </c>
      <c r="H140" s="139">
        <v>0</v>
      </c>
      <c r="I140" s="49">
        <f t="shared" si="120"/>
        <v>46522</v>
      </c>
      <c r="J140" s="76">
        <v>1950000</v>
      </c>
      <c r="K140" s="40">
        <f t="shared" si="121"/>
        <v>33</v>
      </c>
      <c r="L140" s="74">
        <f t="shared" si="122"/>
        <v>1950000</v>
      </c>
      <c r="M140" s="76"/>
      <c r="N140" s="76">
        <f t="shared" si="123"/>
        <v>0</v>
      </c>
      <c r="O140" s="142"/>
      <c r="P140" s="142"/>
      <c r="Q140" s="142"/>
      <c r="R140" s="144"/>
      <c r="S140" s="144"/>
      <c r="T140" s="144"/>
      <c r="U140" s="144"/>
      <c r="V140" s="144"/>
      <c r="W140" s="144"/>
      <c r="X140" s="144"/>
      <c r="Y140" s="143"/>
      <c r="Z140" s="143">
        <f t="shared" si="124"/>
        <v>0</v>
      </c>
      <c r="AA140" s="9">
        <f t="shared" si="125"/>
        <v>0.375</v>
      </c>
      <c r="AB140" s="9">
        <f t="shared" si="126"/>
        <v>0</v>
      </c>
      <c r="AC140" s="9">
        <f t="shared" si="127"/>
        <v>0</v>
      </c>
      <c r="AD140" s="9">
        <f t="shared" si="128"/>
        <v>0</v>
      </c>
      <c r="AE140" s="40" t="e">
        <f t="shared" ca="1" si="129"/>
        <v>#NUM!</v>
      </c>
      <c r="AF140" s="40" t="e">
        <f t="shared" ca="1" si="130"/>
        <v>#NUM!</v>
      </c>
      <c r="AG140" s="40" t="e">
        <f t="shared" ca="1" si="131"/>
        <v>#NUM!</v>
      </c>
      <c r="AH140" s="40" t="e">
        <f t="shared" ca="1" si="132"/>
        <v>#NUM!</v>
      </c>
      <c r="AI140" s="40" t="e">
        <f t="shared" ca="1" si="133"/>
        <v>#NUM!</v>
      </c>
      <c r="AJ140" s="40" t="e">
        <f t="shared" ca="1" si="134"/>
        <v>#NUM!</v>
      </c>
      <c r="AK140" s="203" t="e">
        <f t="shared" ca="1" si="135"/>
        <v>#NUM!</v>
      </c>
      <c r="AL140" s="40" t="e">
        <f t="shared" ca="1" si="136"/>
        <v>#NUM!</v>
      </c>
      <c r="AM140" s="40" t="e">
        <f t="shared" ca="1" si="137"/>
        <v>#NUM!</v>
      </c>
      <c r="AN140" s="40" t="e">
        <f t="shared" ca="1" si="138"/>
        <v>#NUM!</v>
      </c>
      <c r="AO140" s="40" t="e">
        <f t="shared" ca="1" si="139"/>
        <v>#NUM!</v>
      </c>
      <c r="AP140" s="40" t="e">
        <f t="shared" ca="1" si="140"/>
        <v>#NUM!</v>
      </c>
      <c r="AQ140" s="40" t="e">
        <f t="shared" ca="1" si="141"/>
        <v>#NUM!</v>
      </c>
      <c r="AR140" s="40" t="e">
        <f t="shared" ca="1" si="142"/>
        <v>#NUM!</v>
      </c>
      <c r="AS140" s="40" t="e">
        <f t="shared" ca="1" si="143"/>
        <v>#NUM!</v>
      </c>
    </row>
    <row r="141" spans="1:45" x14ac:dyDescent="0.25">
      <c r="A141" s="154"/>
      <c r="B141" s="73">
        <f t="shared" si="119"/>
        <v>-59090.909090909088</v>
      </c>
      <c r="E141" s="148">
        <v>42826</v>
      </c>
      <c r="G141" s="139">
        <v>33</v>
      </c>
      <c r="H141" s="139">
        <v>0</v>
      </c>
      <c r="I141" s="49">
        <f t="shared" si="120"/>
        <v>46522</v>
      </c>
      <c r="J141" s="76">
        <v>1950000</v>
      </c>
      <c r="K141" s="40">
        <f t="shared" si="121"/>
        <v>33</v>
      </c>
      <c r="L141" s="74">
        <f t="shared" si="122"/>
        <v>1950000</v>
      </c>
      <c r="M141" s="76"/>
      <c r="N141" s="76">
        <f t="shared" si="123"/>
        <v>0</v>
      </c>
      <c r="O141" s="142"/>
      <c r="P141" s="142"/>
      <c r="Q141" s="142"/>
      <c r="R141" s="144"/>
      <c r="S141" s="144"/>
      <c r="T141" s="144"/>
      <c r="U141" s="144"/>
      <c r="V141" s="144"/>
      <c r="W141" s="144"/>
      <c r="X141" s="144"/>
      <c r="Y141" s="143"/>
      <c r="Z141" s="143">
        <f t="shared" si="124"/>
        <v>0</v>
      </c>
      <c r="AA141" s="9">
        <f t="shared" si="125"/>
        <v>0.375</v>
      </c>
      <c r="AB141" s="9">
        <f t="shared" si="126"/>
        <v>0</v>
      </c>
      <c r="AC141" s="9">
        <f t="shared" si="127"/>
        <v>0</v>
      </c>
      <c r="AD141" s="9">
        <f t="shared" si="128"/>
        <v>0</v>
      </c>
      <c r="AE141" s="40" t="e">
        <f t="shared" ca="1" si="129"/>
        <v>#NUM!</v>
      </c>
      <c r="AF141" s="40" t="e">
        <f t="shared" ca="1" si="130"/>
        <v>#NUM!</v>
      </c>
      <c r="AG141" s="40" t="e">
        <f t="shared" ca="1" si="131"/>
        <v>#NUM!</v>
      </c>
      <c r="AH141" s="40" t="e">
        <f t="shared" ca="1" si="132"/>
        <v>#NUM!</v>
      </c>
      <c r="AI141" s="40" t="e">
        <f t="shared" ca="1" si="133"/>
        <v>#NUM!</v>
      </c>
      <c r="AJ141" s="40" t="e">
        <f t="shared" ca="1" si="134"/>
        <v>#NUM!</v>
      </c>
      <c r="AK141" s="203" t="e">
        <f t="shared" ca="1" si="135"/>
        <v>#NUM!</v>
      </c>
      <c r="AL141" s="40" t="e">
        <f t="shared" ca="1" si="136"/>
        <v>#NUM!</v>
      </c>
      <c r="AM141" s="40" t="e">
        <f t="shared" ca="1" si="137"/>
        <v>#NUM!</v>
      </c>
      <c r="AN141" s="40" t="e">
        <f t="shared" ca="1" si="138"/>
        <v>#NUM!</v>
      </c>
      <c r="AO141" s="40" t="e">
        <f t="shared" ca="1" si="139"/>
        <v>#NUM!</v>
      </c>
      <c r="AP141" s="40" t="e">
        <f t="shared" ca="1" si="140"/>
        <v>#NUM!</v>
      </c>
      <c r="AQ141" s="40" t="e">
        <f t="shared" ca="1" si="141"/>
        <v>#NUM!</v>
      </c>
      <c r="AR141" s="40" t="e">
        <f t="shared" ca="1" si="142"/>
        <v>#NUM!</v>
      </c>
      <c r="AS141" s="40" t="e">
        <f t="shared" ca="1" si="143"/>
        <v>#NUM!</v>
      </c>
    </row>
    <row r="142" spans="1:45" x14ac:dyDescent="0.25">
      <c r="A142" s="154"/>
      <c r="B142" s="73">
        <f t="shared" si="119"/>
        <v>-59090.909090909088</v>
      </c>
      <c r="E142" s="148">
        <v>42826</v>
      </c>
      <c r="G142" s="139">
        <v>33</v>
      </c>
      <c r="H142" s="139">
        <v>0</v>
      </c>
      <c r="I142" s="49">
        <f t="shared" si="120"/>
        <v>46522</v>
      </c>
      <c r="J142" s="76">
        <v>1950000</v>
      </c>
      <c r="K142" s="40">
        <f t="shared" si="121"/>
        <v>33</v>
      </c>
      <c r="L142" s="74">
        <f t="shared" si="122"/>
        <v>1950000</v>
      </c>
      <c r="M142" s="76"/>
      <c r="N142" s="76">
        <f t="shared" si="123"/>
        <v>0</v>
      </c>
      <c r="O142" s="142"/>
      <c r="P142" s="142"/>
      <c r="Q142" s="142"/>
      <c r="R142" s="144"/>
      <c r="S142" s="144"/>
      <c r="T142" s="144"/>
      <c r="U142" s="144"/>
      <c r="V142" s="144"/>
      <c r="W142" s="144"/>
      <c r="X142" s="144"/>
      <c r="Y142" s="143"/>
      <c r="Z142" s="143">
        <f t="shared" si="124"/>
        <v>0</v>
      </c>
      <c r="AA142" s="9">
        <f t="shared" si="125"/>
        <v>0.375</v>
      </c>
      <c r="AB142" s="9">
        <f t="shared" si="126"/>
        <v>0</v>
      </c>
      <c r="AC142" s="9">
        <f t="shared" si="127"/>
        <v>0</v>
      </c>
      <c r="AD142" s="9">
        <f t="shared" si="128"/>
        <v>0</v>
      </c>
      <c r="AE142" s="40" t="e">
        <f t="shared" ca="1" si="129"/>
        <v>#NUM!</v>
      </c>
      <c r="AF142" s="40" t="e">
        <f t="shared" ca="1" si="130"/>
        <v>#NUM!</v>
      </c>
      <c r="AG142" s="40" t="e">
        <f t="shared" ca="1" si="131"/>
        <v>#NUM!</v>
      </c>
      <c r="AH142" s="40" t="e">
        <f t="shared" ca="1" si="132"/>
        <v>#NUM!</v>
      </c>
      <c r="AI142" s="40" t="e">
        <f t="shared" ca="1" si="133"/>
        <v>#NUM!</v>
      </c>
      <c r="AJ142" s="40" t="e">
        <f t="shared" ca="1" si="134"/>
        <v>#NUM!</v>
      </c>
      <c r="AK142" s="203" t="e">
        <f t="shared" ca="1" si="135"/>
        <v>#NUM!</v>
      </c>
      <c r="AL142" s="40" t="e">
        <f t="shared" ca="1" si="136"/>
        <v>#NUM!</v>
      </c>
      <c r="AM142" s="40" t="e">
        <f t="shared" ca="1" si="137"/>
        <v>#NUM!</v>
      </c>
      <c r="AN142" s="40" t="e">
        <f t="shared" ca="1" si="138"/>
        <v>#NUM!</v>
      </c>
      <c r="AO142" s="40" t="e">
        <f t="shared" ca="1" si="139"/>
        <v>#NUM!</v>
      </c>
      <c r="AP142" s="40" t="e">
        <f t="shared" ca="1" si="140"/>
        <v>#NUM!</v>
      </c>
      <c r="AQ142" s="40" t="e">
        <f t="shared" ca="1" si="141"/>
        <v>#NUM!</v>
      </c>
      <c r="AR142" s="40" t="e">
        <f t="shared" ca="1" si="142"/>
        <v>#NUM!</v>
      </c>
      <c r="AS142" s="40" t="e">
        <f t="shared" ca="1" si="143"/>
        <v>#NUM!</v>
      </c>
    </row>
    <row r="143" spans="1:45" x14ac:dyDescent="0.25">
      <c r="A143" s="154"/>
      <c r="B143" s="73">
        <f t="shared" si="119"/>
        <v>-59090.909090909088</v>
      </c>
      <c r="E143" s="148">
        <v>42826</v>
      </c>
      <c r="G143" s="139">
        <v>33</v>
      </c>
      <c r="H143" s="139">
        <v>0</v>
      </c>
      <c r="I143" s="49">
        <f t="shared" si="120"/>
        <v>46522</v>
      </c>
      <c r="J143" s="76">
        <v>1950000</v>
      </c>
      <c r="K143" s="40">
        <f t="shared" si="121"/>
        <v>33</v>
      </c>
      <c r="L143" s="74">
        <f t="shared" si="122"/>
        <v>1950000</v>
      </c>
      <c r="M143" s="76"/>
      <c r="N143" s="76">
        <f t="shared" si="123"/>
        <v>0</v>
      </c>
      <c r="O143" s="142"/>
      <c r="P143" s="142"/>
      <c r="Q143" s="142"/>
      <c r="R143" s="144"/>
      <c r="S143" s="144"/>
      <c r="T143" s="144"/>
      <c r="U143" s="144"/>
      <c r="V143" s="144"/>
      <c r="W143" s="144"/>
      <c r="X143" s="144"/>
      <c r="Y143" s="143"/>
      <c r="Z143" s="143">
        <f t="shared" si="124"/>
        <v>0</v>
      </c>
      <c r="AA143" s="9">
        <f t="shared" si="125"/>
        <v>0.375</v>
      </c>
      <c r="AB143" s="9">
        <f t="shared" si="126"/>
        <v>0</v>
      </c>
      <c r="AC143" s="9">
        <f t="shared" si="127"/>
        <v>0</v>
      </c>
      <c r="AD143" s="9">
        <f t="shared" si="128"/>
        <v>0</v>
      </c>
      <c r="AE143" s="40" t="e">
        <f t="shared" ca="1" si="129"/>
        <v>#NUM!</v>
      </c>
      <c r="AF143" s="40" t="e">
        <f t="shared" ca="1" si="130"/>
        <v>#NUM!</v>
      </c>
      <c r="AG143" s="40" t="e">
        <f t="shared" ca="1" si="131"/>
        <v>#NUM!</v>
      </c>
      <c r="AH143" s="40" t="e">
        <f t="shared" ca="1" si="132"/>
        <v>#NUM!</v>
      </c>
      <c r="AI143" s="40" t="e">
        <f t="shared" ca="1" si="133"/>
        <v>#NUM!</v>
      </c>
      <c r="AJ143" s="40" t="e">
        <f t="shared" ca="1" si="134"/>
        <v>#NUM!</v>
      </c>
      <c r="AK143" s="203" t="e">
        <f t="shared" ca="1" si="135"/>
        <v>#NUM!</v>
      </c>
      <c r="AL143" s="40" t="e">
        <f t="shared" ca="1" si="136"/>
        <v>#NUM!</v>
      </c>
      <c r="AM143" s="40" t="e">
        <f t="shared" ca="1" si="137"/>
        <v>#NUM!</v>
      </c>
      <c r="AN143" s="40" t="e">
        <f t="shared" ca="1" si="138"/>
        <v>#NUM!</v>
      </c>
      <c r="AO143" s="40" t="e">
        <f t="shared" ca="1" si="139"/>
        <v>#NUM!</v>
      </c>
      <c r="AP143" s="40" t="e">
        <f t="shared" ca="1" si="140"/>
        <v>#NUM!</v>
      </c>
      <c r="AQ143" s="40" t="e">
        <f t="shared" ca="1" si="141"/>
        <v>#NUM!</v>
      </c>
      <c r="AR143" s="40" t="e">
        <f t="shared" ca="1" si="142"/>
        <v>#NUM!</v>
      </c>
      <c r="AS143" s="40" t="e">
        <f t="shared" ca="1" si="143"/>
        <v>#NUM!</v>
      </c>
    </row>
    <row r="144" spans="1:45" x14ac:dyDescent="0.25">
      <c r="A144" s="154"/>
      <c r="B144" s="73">
        <f t="shared" si="119"/>
        <v>-59090.909090909088</v>
      </c>
      <c r="E144" s="148">
        <v>42826</v>
      </c>
      <c r="G144" s="139">
        <v>33</v>
      </c>
      <c r="H144" s="139">
        <v>0</v>
      </c>
      <c r="I144" s="49">
        <f t="shared" si="120"/>
        <v>46522</v>
      </c>
      <c r="J144" s="76">
        <v>1950000</v>
      </c>
      <c r="K144" s="40">
        <f t="shared" si="121"/>
        <v>33</v>
      </c>
      <c r="L144" s="74">
        <f t="shared" si="122"/>
        <v>1950000</v>
      </c>
      <c r="M144" s="76"/>
      <c r="N144" s="76">
        <f t="shared" si="123"/>
        <v>0</v>
      </c>
      <c r="O144" s="142"/>
      <c r="P144" s="142"/>
      <c r="Q144" s="142"/>
      <c r="R144" s="144"/>
      <c r="S144" s="144"/>
      <c r="T144" s="144"/>
      <c r="U144" s="144"/>
      <c r="V144" s="144"/>
      <c r="W144" s="144"/>
      <c r="X144" s="144"/>
      <c r="Y144" s="143"/>
      <c r="Z144" s="143">
        <f t="shared" si="124"/>
        <v>0</v>
      </c>
      <c r="AA144" s="9">
        <f t="shared" si="125"/>
        <v>0.375</v>
      </c>
      <c r="AB144" s="9">
        <f t="shared" si="126"/>
        <v>0</v>
      </c>
      <c r="AC144" s="9">
        <f t="shared" si="127"/>
        <v>0</v>
      </c>
      <c r="AD144" s="9">
        <f t="shared" si="128"/>
        <v>0</v>
      </c>
      <c r="AE144" s="40" t="e">
        <f t="shared" ca="1" si="129"/>
        <v>#NUM!</v>
      </c>
      <c r="AF144" s="40" t="e">
        <f t="shared" ca="1" si="130"/>
        <v>#NUM!</v>
      </c>
      <c r="AG144" s="40" t="e">
        <f t="shared" ca="1" si="131"/>
        <v>#NUM!</v>
      </c>
      <c r="AH144" s="40" t="e">
        <f t="shared" ca="1" si="132"/>
        <v>#NUM!</v>
      </c>
      <c r="AI144" s="40" t="e">
        <f t="shared" ca="1" si="133"/>
        <v>#NUM!</v>
      </c>
      <c r="AJ144" s="40" t="e">
        <f t="shared" ca="1" si="134"/>
        <v>#NUM!</v>
      </c>
      <c r="AK144" s="203" t="e">
        <f t="shared" ca="1" si="135"/>
        <v>#NUM!</v>
      </c>
      <c r="AL144" s="40" t="e">
        <f t="shared" ca="1" si="136"/>
        <v>#NUM!</v>
      </c>
      <c r="AM144" s="40" t="e">
        <f t="shared" ca="1" si="137"/>
        <v>#NUM!</v>
      </c>
      <c r="AN144" s="40" t="e">
        <f t="shared" ca="1" si="138"/>
        <v>#NUM!</v>
      </c>
      <c r="AO144" s="40" t="e">
        <f t="shared" ca="1" si="139"/>
        <v>#NUM!</v>
      </c>
      <c r="AP144" s="40" t="e">
        <f t="shared" ca="1" si="140"/>
        <v>#NUM!</v>
      </c>
      <c r="AQ144" s="40" t="e">
        <f t="shared" ca="1" si="141"/>
        <v>#NUM!</v>
      </c>
      <c r="AR144" s="40" t="e">
        <f t="shared" ca="1" si="142"/>
        <v>#NUM!</v>
      </c>
      <c r="AS144" s="40" t="e">
        <f t="shared" ca="1" si="143"/>
        <v>#NUM!</v>
      </c>
    </row>
    <row r="145" spans="1:45" x14ac:dyDescent="0.25">
      <c r="A145" s="154"/>
      <c r="B145" s="73">
        <f t="shared" si="119"/>
        <v>-59090.909090909088</v>
      </c>
      <c r="E145" s="148">
        <v>42826</v>
      </c>
      <c r="G145" s="139">
        <v>33</v>
      </c>
      <c r="H145" s="139">
        <v>0</v>
      </c>
      <c r="I145" s="49">
        <f t="shared" si="120"/>
        <v>46522</v>
      </c>
      <c r="J145" s="76">
        <v>1950000</v>
      </c>
      <c r="K145" s="40">
        <f t="shared" si="121"/>
        <v>33</v>
      </c>
      <c r="L145" s="74">
        <f t="shared" si="122"/>
        <v>1950000</v>
      </c>
      <c r="M145" s="76"/>
      <c r="N145" s="76">
        <f t="shared" si="123"/>
        <v>0</v>
      </c>
      <c r="O145" s="142"/>
      <c r="P145" s="142"/>
      <c r="Q145" s="142"/>
      <c r="R145" s="144"/>
      <c r="S145" s="144"/>
      <c r="T145" s="144"/>
      <c r="U145" s="144"/>
      <c r="V145" s="144"/>
      <c r="W145" s="144"/>
      <c r="X145" s="144"/>
      <c r="Y145" s="143"/>
      <c r="Z145" s="143">
        <f t="shared" si="124"/>
        <v>0</v>
      </c>
      <c r="AA145" s="9">
        <f t="shared" si="125"/>
        <v>0.375</v>
      </c>
      <c r="AB145" s="9">
        <f t="shared" si="126"/>
        <v>0</v>
      </c>
      <c r="AC145" s="9">
        <f t="shared" si="127"/>
        <v>0</v>
      </c>
      <c r="AD145" s="9">
        <f t="shared" si="128"/>
        <v>0</v>
      </c>
      <c r="AE145" s="40" t="e">
        <f t="shared" ca="1" si="129"/>
        <v>#NUM!</v>
      </c>
      <c r="AF145" s="40" t="e">
        <f t="shared" ca="1" si="130"/>
        <v>#NUM!</v>
      </c>
      <c r="AG145" s="40" t="e">
        <f t="shared" ca="1" si="131"/>
        <v>#NUM!</v>
      </c>
      <c r="AH145" s="40" t="e">
        <f t="shared" ca="1" si="132"/>
        <v>#NUM!</v>
      </c>
      <c r="AI145" s="40" t="e">
        <f t="shared" ca="1" si="133"/>
        <v>#NUM!</v>
      </c>
      <c r="AJ145" s="40" t="e">
        <f t="shared" ca="1" si="134"/>
        <v>#NUM!</v>
      </c>
      <c r="AK145" s="203" t="e">
        <f t="shared" ca="1" si="135"/>
        <v>#NUM!</v>
      </c>
      <c r="AL145" s="40" t="e">
        <f t="shared" ca="1" si="136"/>
        <v>#NUM!</v>
      </c>
      <c r="AM145" s="40" t="e">
        <f t="shared" ca="1" si="137"/>
        <v>#NUM!</v>
      </c>
      <c r="AN145" s="40" t="e">
        <f t="shared" ca="1" si="138"/>
        <v>#NUM!</v>
      </c>
      <c r="AO145" s="40" t="e">
        <f t="shared" ca="1" si="139"/>
        <v>#NUM!</v>
      </c>
      <c r="AP145" s="40" t="e">
        <f t="shared" ca="1" si="140"/>
        <v>#NUM!</v>
      </c>
      <c r="AQ145" s="40" t="e">
        <f t="shared" ca="1" si="141"/>
        <v>#NUM!</v>
      </c>
      <c r="AR145" s="40" t="e">
        <f t="shared" ca="1" si="142"/>
        <v>#NUM!</v>
      </c>
      <c r="AS145" s="40" t="e">
        <f t="shared" ca="1" si="143"/>
        <v>#NUM!</v>
      </c>
    </row>
    <row r="146" spans="1:45" x14ac:dyDescent="0.25">
      <c r="A146" s="154"/>
      <c r="B146" s="73">
        <f t="shared" si="119"/>
        <v>-59090.909090909088</v>
      </c>
      <c r="E146" s="148">
        <v>42826</v>
      </c>
      <c r="G146" s="139">
        <v>33</v>
      </c>
      <c r="H146" s="139">
        <v>0</v>
      </c>
      <c r="I146" s="49">
        <f t="shared" si="120"/>
        <v>46522</v>
      </c>
      <c r="J146" s="76">
        <v>1950000</v>
      </c>
      <c r="K146" s="40">
        <f t="shared" si="121"/>
        <v>33</v>
      </c>
      <c r="L146" s="74">
        <f t="shared" si="122"/>
        <v>1950000</v>
      </c>
      <c r="M146" s="76"/>
      <c r="N146" s="76">
        <f t="shared" si="123"/>
        <v>0</v>
      </c>
      <c r="O146" s="142"/>
      <c r="P146" s="142"/>
      <c r="Q146" s="142"/>
      <c r="R146" s="144"/>
      <c r="S146" s="144"/>
      <c r="T146" s="144"/>
      <c r="U146" s="144"/>
      <c r="V146" s="144"/>
      <c r="W146" s="144"/>
      <c r="X146" s="144"/>
      <c r="Y146" s="143"/>
      <c r="Z146" s="143">
        <f t="shared" si="124"/>
        <v>0</v>
      </c>
      <c r="AA146" s="9">
        <f t="shared" si="125"/>
        <v>0.375</v>
      </c>
      <c r="AB146" s="9">
        <f t="shared" si="126"/>
        <v>0</v>
      </c>
      <c r="AC146" s="9">
        <f t="shared" si="127"/>
        <v>0</v>
      </c>
      <c r="AD146" s="9">
        <f t="shared" si="128"/>
        <v>0</v>
      </c>
      <c r="AE146" s="40" t="e">
        <f t="shared" ca="1" si="129"/>
        <v>#NUM!</v>
      </c>
      <c r="AF146" s="40" t="e">
        <f t="shared" ca="1" si="130"/>
        <v>#NUM!</v>
      </c>
      <c r="AG146" s="40" t="e">
        <f t="shared" ca="1" si="131"/>
        <v>#NUM!</v>
      </c>
      <c r="AH146" s="40" t="e">
        <f t="shared" ca="1" si="132"/>
        <v>#NUM!</v>
      </c>
      <c r="AI146" s="40" t="e">
        <f t="shared" ca="1" si="133"/>
        <v>#NUM!</v>
      </c>
      <c r="AJ146" s="40" t="e">
        <f t="shared" ca="1" si="134"/>
        <v>#NUM!</v>
      </c>
      <c r="AK146" s="203" t="e">
        <f t="shared" ca="1" si="135"/>
        <v>#NUM!</v>
      </c>
      <c r="AL146" s="40" t="e">
        <f t="shared" ca="1" si="136"/>
        <v>#NUM!</v>
      </c>
      <c r="AM146" s="40" t="e">
        <f t="shared" ca="1" si="137"/>
        <v>#NUM!</v>
      </c>
      <c r="AN146" s="40" t="e">
        <f t="shared" ca="1" si="138"/>
        <v>#NUM!</v>
      </c>
      <c r="AO146" s="40" t="e">
        <f t="shared" ca="1" si="139"/>
        <v>#NUM!</v>
      </c>
      <c r="AP146" s="40" t="e">
        <f t="shared" ca="1" si="140"/>
        <v>#NUM!</v>
      </c>
      <c r="AQ146" s="40" t="e">
        <f t="shared" ca="1" si="141"/>
        <v>#NUM!</v>
      </c>
      <c r="AR146" s="40" t="e">
        <f t="shared" ca="1" si="142"/>
        <v>#NUM!</v>
      </c>
      <c r="AS146" s="40" t="e">
        <f t="shared" ca="1" si="143"/>
        <v>#NUM!</v>
      </c>
    </row>
    <row r="147" spans="1:45" x14ac:dyDescent="0.25">
      <c r="A147" s="154"/>
      <c r="B147" s="73">
        <f t="shared" si="119"/>
        <v>-59090.909090909088</v>
      </c>
      <c r="E147" s="148">
        <v>42826</v>
      </c>
      <c r="G147" s="139">
        <v>33</v>
      </c>
      <c r="H147" s="139">
        <v>0</v>
      </c>
      <c r="I147" s="49">
        <f t="shared" si="120"/>
        <v>46522</v>
      </c>
      <c r="J147" s="76">
        <v>1950000</v>
      </c>
      <c r="K147" s="40">
        <f t="shared" si="121"/>
        <v>33</v>
      </c>
      <c r="L147" s="74">
        <f t="shared" si="122"/>
        <v>1950000</v>
      </c>
      <c r="M147" s="76"/>
      <c r="N147" s="76">
        <f t="shared" si="123"/>
        <v>0</v>
      </c>
      <c r="O147" s="142"/>
      <c r="P147" s="142"/>
      <c r="Q147" s="142"/>
      <c r="R147" s="144"/>
      <c r="S147" s="144"/>
      <c r="T147" s="144"/>
      <c r="U147" s="144"/>
      <c r="V147" s="144"/>
      <c r="W147" s="144"/>
      <c r="X147" s="144"/>
      <c r="Y147" s="143"/>
      <c r="Z147" s="143">
        <f t="shared" si="124"/>
        <v>0</v>
      </c>
      <c r="AA147" s="9">
        <f t="shared" si="125"/>
        <v>0.375</v>
      </c>
      <c r="AB147" s="9">
        <f t="shared" si="126"/>
        <v>0</v>
      </c>
      <c r="AC147" s="9">
        <f t="shared" si="127"/>
        <v>0</v>
      </c>
      <c r="AD147" s="9">
        <f t="shared" si="128"/>
        <v>0</v>
      </c>
      <c r="AE147" s="40" t="e">
        <f t="shared" ca="1" si="129"/>
        <v>#NUM!</v>
      </c>
      <c r="AF147" s="40" t="e">
        <f t="shared" ca="1" si="130"/>
        <v>#NUM!</v>
      </c>
      <c r="AG147" s="40" t="e">
        <f t="shared" ca="1" si="131"/>
        <v>#NUM!</v>
      </c>
      <c r="AH147" s="40" t="e">
        <f t="shared" ca="1" si="132"/>
        <v>#NUM!</v>
      </c>
      <c r="AI147" s="40" t="e">
        <f t="shared" ca="1" si="133"/>
        <v>#NUM!</v>
      </c>
      <c r="AJ147" s="40" t="e">
        <f t="shared" ca="1" si="134"/>
        <v>#NUM!</v>
      </c>
      <c r="AK147" s="203" t="e">
        <f t="shared" ca="1" si="135"/>
        <v>#NUM!</v>
      </c>
      <c r="AL147" s="40" t="e">
        <f t="shared" ca="1" si="136"/>
        <v>#NUM!</v>
      </c>
      <c r="AM147" s="40" t="e">
        <f t="shared" ca="1" si="137"/>
        <v>#NUM!</v>
      </c>
      <c r="AN147" s="40" t="e">
        <f t="shared" ca="1" si="138"/>
        <v>#NUM!</v>
      </c>
      <c r="AO147" s="40" t="e">
        <f t="shared" ca="1" si="139"/>
        <v>#NUM!</v>
      </c>
      <c r="AP147" s="40" t="e">
        <f t="shared" ca="1" si="140"/>
        <v>#NUM!</v>
      </c>
      <c r="AQ147" s="40" t="e">
        <f t="shared" ca="1" si="141"/>
        <v>#NUM!</v>
      </c>
      <c r="AR147" s="40" t="e">
        <f t="shared" ca="1" si="142"/>
        <v>#NUM!</v>
      </c>
      <c r="AS147" s="40" t="e">
        <f t="shared" ca="1" si="143"/>
        <v>#NUM!</v>
      </c>
    </row>
    <row r="148" spans="1:45" x14ac:dyDescent="0.25">
      <c r="A148" s="154"/>
      <c r="B148" s="73">
        <f t="shared" si="119"/>
        <v>-59090.909090909088</v>
      </c>
      <c r="E148" s="148">
        <v>42826</v>
      </c>
      <c r="G148" s="139">
        <v>33</v>
      </c>
      <c r="H148" s="139">
        <v>0</v>
      </c>
      <c r="I148" s="49">
        <f t="shared" si="120"/>
        <v>46522</v>
      </c>
      <c r="J148" s="76">
        <v>1950000</v>
      </c>
      <c r="K148" s="40">
        <f t="shared" si="121"/>
        <v>33</v>
      </c>
      <c r="L148" s="74">
        <f t="shared" si="122"/>
        <v>1950000</v>
      </c>
      <c r="M148" s="76"/>
      <c r="N148" s="76">
        <f t="shared" si="123"/>
        <v>0</v>
      </c>
      <c r="O148" s="142"/>
      <c r="P148" s="142"/>
      <c r="Q148" s="142"/>
      <c r="R148" s="144"/>
      <c r="S148" s="144"/>
      <c r="T148" s="144"/>
      <c r="U148" s="144"/>
      <c r="V148" s="144"/>
      <c r="W148" s="144"/>
      <c r="X148" s="144"/>
      <c r="Y148" s="143"/>
      <c r="Z148" s="143">
        <f t="shared" si="124"/>
        <v>0</v>
      </c>
      <c r="AA148" s="9">
        <f t="shared" si="125"/>
        <v>0.375</v>
      </c>
      <c r="AB148" s="9">
        <f t="shared" si="126"/>
        <v>0</v>
      </c>
      <c r="AC148" s="9">
        <f t="shared" si="127"/>
        <v>0</v>
      </c>
      <c r="AD148" s="9">
        <f t="shared" si="128"/>
        <v>0</v>
      </c>
      <c r="AE148" s="40" t="e">
        <f t="shared" ca="1" si="129"/>
        <v>#NUM!</v>
      </c>
      <c r="AF148" s="40" t="e">
        <f t="shared" ca="1" si="130"/>
        <v>#NUM!</v>
      </c>
      <c r="AG148" s="40" t="e">
        <f t="shared" ca="1" si="131"/>
        <v>#NUM!</v>
      </c>
      <c r="AH148" s="40" t="e">
        <f t="shared" ca="1" si="132"/>
        <v>#NUM!</v>
      </c>
      <c r="AI148" s="40" t="e">
        <f t="shared" ca="1" si="133"/>
        <v>#NUM!</v>
      </c>
      <c r="AJ148" s="40" t="e">
        <f t="shared" ca="1" si="134"/>
        <v>#NUM!</v>
      </c>
      <c r="AK148" s="203" t="e">
        <f t="shared" ca="1" si="135"/>
        <v>#NUM!</v>
      </c>
      <c r="AL148" s="40" t="e">
        <f t="shared" ca="1" si="136"/>
        <v>#NUM!</v>
      </c>
      <c r="AM148" s="40" t="e">
        <f t="shared" ca="1" si="137"/>
        <v>#NUM!</v>
      </c>
      <c r="AN148" s="40" t="e">
        <f t="shared" ca="1" si="138"/>
        <v>#NUM!</v>
      </c>
      <c r="AO148" s="40" t="e">
        <f t="shared" ca="1" si="139"/>
        <v>#NUM!</v>
      </c>
      <c r="AP148" s="40" t="e">
        <f t="shared" ca="1" si="140"/>
        <v>#NUM!</v>
      </c>
      <c r="AQ148" s="40" t="e">
        <f t="shared" ca="1" si="141"/>
        <v>#NUM!</v>
      </c>
      <c r="AR148" s="40" t="e">
        <f t="shared" ca="1" si="142"/>
        <v>#NUM!</v>
      </c>
      <c r="AS148" s="40" t="e">
        <f t="shared" ca="1" si="143"/>
        <v>#NUM!</v>
      </c>
    </row>
    <row r="149" spans="1:45" x14ac:dyDescent="0.25">
      <c r="A149" s="154"/>
      <c r="B149" s="73">
        <f t="shared" si="119"/>
        <v>-59090.909090909088</v>
      </c>
      <c r="E149" s="148">
        <v>42826</v>
      </c>
      <c r="G149" s="139">
        <v>33</v>
      </c>
      <c r="H149" s="139">
        <v>0</v>
      </c>
      <c r="I149" s="49">
        <f t="shared" si="120"/>
        <v>46522</v>
      </c>
      <c r="J149" s="76">
        <v>1950000</v>
      </c>
      <c r="K149" s="40">
        <f t="shared" si="121"/>
        <v>33</v>
      </c>
      <c r="L149" s="74">
        <f t="shared" si="122"/>
        <v>1950000</v>
      </c>
      <c r="M149" s="76"/>
      <c r="N149" s="76">
        <f t="shared" si="123"/>
        <v>0</v>
      </c>
      <c r="O149" s="142"/>
      <c r="P149" s="142"/>
      <c r="Q149" s="142"/>
      <c r="R149" s="144"/>
      <c r="S149" s="144"/>
      <c r="T149" s="144"/>
      <c r="U149" s="144"/>
      <c r="V149" s="144"/>
      <c r="W149" s="144"/>
      <c r="X149" s="144"/>
      <c r="Y149" s="143"/>
      <c r="Z149" s="143">
        <f t="shared" si="124"/>
        <v>0</v>
      </c>
      <c r="AA149" s="9">
        <f t="shared" si="125"/>
        <v>0.375</v>
      </c>
      <c r="AB149" s="9">
        <f t="shared" si="126"/>
        <v>0</v>
      </c>
      <c r="AC149" s="9">
        <f t="shared" si="127"/>
        <v>0</v>
      </c>
      <c r="AD149" s="9">
        <f t="shared" si="128"/>
        <v>0</v>
      </c>
      <c r="AE149" s="40" t="e">
        <f t="shared" ca="1" si="129"/>
        <v>#NUM!</v>
      </c>
      <c r="AF149" s="40" t="e">
        <f t="shared" ca="1" si="130"/>
        <v>#NUM!</v>
      </c>
      <c r="AG149" s="40" t="e">
        <f t="shared" ca="1" si="131"/>
        <v>#NUM!</v>
      </c>
      <c r="AH149" s="40" t="e">
        <f t="shared" ca="1" si="132"/>
        <v>#NUM!</v>
      </c>
      <c r="AI149" s="40" t="e">
        <f t="shared" ca="1" si="133"/>
        <v>#NUM!</v>
      </c>
      <c r="AJ149" s="40" t="e">
        <f t="shared" ca="1" si="134"/>
        <v>#NUM!</v>
      </c>
      <c r="AK149" s="203" t="e">
        <f t="shared" ca="1" si="135"/>
        <v>#NUM!</v>
      </c>
      <c r="AL149" s="40" t="e">
        <f t="shared" ca="1" si="136"/>
        <v>#NUM!</v>
      </c>
      <c r="AM149" s="40" t="e">
        <f t="shared" ca="1" si="137"/>
        <v>#NUM!</v>
      </c>
      <c r="AN149" s="40" t="e">
        <f t="shared" ca="1" si="138"/>
        <v>#NUM!</v>
      </c>
      <c r="AO149" s="40" t="e">
        <f t="shared" ca="1" si="139"/>
        <v>#NUM!</v>
      </c>
      <c r="AP149" s="40" t="e">
        <f t="shared" ca="1" si="140"/>
        <v>#NUM!</v>
      </c>
      <c r="AQ149" s="40" t="e">
        <f t="shared" ca="1" si="141"/>
        <v>#NUM!</v>
      </c>
      <c r="AR149" s="40" t="e">
        <f t="shared" ca="1" si="142"/>
        <v>#NUM!</v>
      </c>
      <c r="AS149" s="40" t="e">
        <f t="shared" ca="1" si="143"/>
        <v>#NUM!</v>
      </c>
    </row>
    <row r="150" spans="1:45" x14ac:dyDescent="0.25">
      <c r="A150" s="154"/>
      <c r="B150" s="73">
        <f t="shared" si="119"/>
        <v>-59090.909090909088</v>
      </c>
      <c r="E150" s="148">
        <v>42826</v>
      </c>
      <c r="G150" s="139">
        <v>33</v>
      </c>
      <c r="H150" s="139">
        <v>0</v>
      </c>
      <c r="I150" s="49">
        <f t="shared" si="120"/>
        <v>46522</v>
      </c>
      <c r="J150" s="76">
        <v>1950000</v>
      </c>
      <c r="K150" s="40">
        <f t="shared" si="121"/>
        <v>33</v>
      </c>
      <c r="L150" s="74">
        <f t="shared" si="122"/>
        <v>1950000</v>
      </c>
      <c r="M150" s="76"/>
      <c r="N150" s="76">
        <f t="shared" si="123"/>
        <v>0</v>
      </c>
      <c r="O150" s="142"/>
      <c r="P150" s="142"/>
      <c r="Q150" s="142"/>
      <c r="R150" s="144"/>
      <c r="S150" s="144"/>
      <c r="T150" s="144"/>
      <c r="U150" s="144"/>
      <c r="V150" s="144"/>
      <c r="W150" s="144"/>
      <c r="X150" s="144"/>
      <c r="Y150" s="143"/>
      <c r="Z150" s="143">
        <f t="shared" si="124"/>
        <v>0</v>
      </c>
      <c r="AA150" s="9">
        <f t="shared" si="125"/>
        <v>0.375</v>
      </c>
      <c r="AB150" s="9">
        <f t="shared" si="126"/>
        <v>0</v>
      </c>
      <c r="AC150" s="9">
        <f t="shared" si="127"/>
        <v>0</v>
      </c>
      <c r="AD150" s="9">
        <f t="shared" si="128"/>
        <v>0</v>
      </c>
      <c r="AE150" s="40" t="e">
        <f t="shared" ca="1" si="129"/>
        <v>#NUM!</v>
      </c>
      <c r="AF150" s="40" t="e">
        <f t="shared" ca="1" si="130"/>
        <v>#NUM!</v>
      </c>
      <c r="AG150" s="40" t="e">
        <f t="shared" ca="1" si="131"/>
        <v>#NUM!</v>
      </c>
      <c r="AH150" s="40" t="e">
        <f t="shared" ca="1" si="132"/>
        <v>#NUM!</v>
      </c>
      <c r="AI150" s="40" t="e">
        <f t="shared" ca="1" si="133"/>
        <v>#NUM!</v>
      </c>
      <c r="AJ150" s="40" t="e">
        <f t="shared" ca="1" si="134"/>
        <v>#NUM!</v>
      </c>
      <c r="AK150" s="203" t="e">
        <f t="shared" ca="1" si="135"/>
        <v>#NUM!</v>
      </c>
      <c r="AL150" s="40" t="e">
        <f t="shared" ca="1" si="136"/>
        <v>#NUM!</v>
      </c>
      <c r="AM150" s="40" t="e">
        <f t="shared" ca="1" si="137"/>
        <v>#NUM!</v>
      </c>
      <c r="AN150" s="40" t="e">
        <f t="shared" ca="1" si="138"/>
        <v>#NUM!</v>
      </c>
      <c r="AO150" s="40" t="e">
        <f t="shared" ca="1" si="139"/>
        <v>#NUM!</v>
      </c>
      <c r="AP150" s="40" t="e">
        <f t="shared" ca="1" si="140"/>
        <v>#NUM!</v>
      </c>
      <c r="AQ150" s="40" t="e">
        <f t="shared" ca="1" si="141"/>
        <v>#NUM!</v>
      </c>
      <c r="AR150" s="40" t="e">
        <f t="shared" ca="1" si="142"/>
        <v>#NUM!</v>
      </c>
      <c r="AS150" s="40" t="e">
        <f t="shared" ca="1" si="143"/>
        <v>#NUM!</v>
      </c>
    </row>
    <row r="151" spans="1:45" x14ac:dyDescent="0.25">
      <c r="A151" s="154"/>
      <c r="B151" s="73">
        <f t="shared" si="119"/>
        <v>-59090.909090909088</v>
      </c>
      <c r="E151" s="148">
        <v>42826</v>
      </c>
      <c r="G151" s="139">
        <v>33</v>
      </c>
      <c r="H151" s="139">
        <v>0</v>
      </c>
      <c r="I151" s="49">
        <f t="shared" si="120"/>
        <v>46522</v>
      </c>
      <c r="J151" s="76">
        <v>1950000</v>
      </c>
      <c r="K151" s="40">
        <f t="shared" si="121"/>
        <v>33</v>
      </c>
      <c r="L151" s="74">
        <f t="shared" si="122"/>
        <v>1950000</v>
      </c>
      <c r="M151" s="76"/>
      <c r="N151" s="76">
        <f t="shared" si="123"/>
        <v>0</v>
      </c>
      <c r="O151" s="142"/>
      <c r="P151" s="142"/>
      <c r="Q151" s="142"/>
      <c r="R151" s="144"/>
      <c r="S151" s="144"/>
      <c r="T151" s="144"/>
      <c r="U151" s="144"/>
      <c r="V151" s="144"/>
      <c r="W151" s="144"/>
      <c r="X151" s="144"/>
      <c r="Y151" s="143"/>
      <c r="Z151" s="143">
        <f t="shared" si="124"/>
        <v>0</v>
      </c>
      <c r="AA151" s="9">
        <f t="shared" si="125"/>
        <v>0.375</v>
      </c>
      <c r="AB151" s="9">
        <f t="shared" si="126"/>
        <v>0</v>
      </c>
      <c r="AC151" s="9">
        <f t="shared" si="127"/>
        <v>0</v>
      </c>
      <c r="AD151" s="9">
        <f t="shared" si="128"/>
        <v>0</v>
      </c>
      <c r="AE151" s="40" t="e">
        <f t="shared" ca="1" si="129"/>
        <v>#NUM!</v>
      </c>
      <c r="AF151" s="40" t="e">
        <f t="shared" ca="1" si="130"/>
        <v>#NUM!</v>
      </c>
      <c r="AG151" s="40" t="e">
        <f t="shared" ca="1" si="131"/>
        <v>#NUM!</v>
      </c>
      <c r="AH151" s="40" t="e">
        <f t="shared" ca="1" si="132"/>
        <v>#NUM!</v>
      </c>
      <c r="AI151" s="40" t="e">
        <f t="shared" ca="1" si="133"/>
        <v>#NUM!</v>
      </c>
      <c r="AJ151" s="40" t="e">
        <f t="shared" ca="1" si="134"/>
        <v>#NUM!</v>
      </c>
      <c r="AK151" s="203" t="e">
        <f t="shared" ca="1" si="135"/>
        <v>#NUM!</v>
      </c>
      <c r="AL151" s="40" t="e">
        <f t="shared" ca="1" si="136"/>
        <v>#NUM!</v>
      </c>
      <c r="AM151" s="40" t="e">
        <f t="shared" ca="1" si="137"/>
        <v>#NUM!</v>
      </c>
      <c r="AN151" s="40" t="e">
        <f t="shared" ca="1" si="138"/>
        <v>#NUM!</v>
      </c>
      <c r="AO151" s="40" t="e">
        <f t="shared" ca="1" si="139"/>
        <v>#NUM!</v>
      </c>
      <c r="AP151" s="40" t="e">
        <f t="shared" ca="1" si="140"/>
        <v>#NUM!</v>
      </c>
      <c r="AQ151" s="40" t="e">
        <f t="shared" ca="1" si="141"/>
        <v>#NUM!</v>
      </c>
      <c r="AR151" s="40" t="e">
        <f t="shared" ca="1" si="142"/>
        <v>#NUM!</v>
      </c>
      <c r="AS151" s="40" t="e">
        <f t="shared" ca="1" si="143"/>
        <v>#NUM!</v>
      </c>
    </row>
    <row r="152" spans="1:45" x14ac:dyDescent="0.25">
      <c r="A152" s="154"/>
      <c r="B152" s="73">
        <f t="shared" si="119"/>
        <v>-59090.909090909088</v>
      </c>
      <c r="E152" s="148">
        <v>42826</v>
      </c>
      <c r="G152" s="139">
        <v>33</v>
      </c>
      <c r="H152" s="139">
        <v>0</v>
      </c>
      <c r="I152" s="49">
        <f t="shared" si="120"/>
        <v>46522</v>
      </c>
      <c r="J152" s="76">
        <v>1950000</v>
      </c>
      <c r="K152" s="40">
        <f t="shared" si="121"/>
        <v>33</v>
      </c>
      <c r="L152" s="74">
        <f t="shared" si="122"/>
        <v>1950000</v>
      </c>
      <c r="M152" s="76"/>
      <c r="N152" s="76">
        <f t="shared" si="123"/>
        <v>0</v>
      </c>
      <c r="O152" s="142"/>
      <c r="P152" s="142"/>
      <c r="Q152" s="142"/>
      <c r="R152" s="144"/>
      <c r="S152" s="144"/>
      <c r="T152" s="144"/>
      <c r="U152" s="144"/>
      <c r="V152" s="144"/>
      <c r="W152" s="144"/>
      <c r="X152" s="144"/>
      <c r="Y152" s="143"/>
      <c r="Z152" s="143">
        <f t="shared" si="124"/>
        <v>0</v>
      </c>
      <c r="AA152" s="9">
        <f t="shared" si="125"/>
        <v>0.375</v>
      </c>
      <c r="AB152" s="9">
        <f t="shared" si="126"/>
        <v>0</v>
      </c>
      <c r="AC152" s="9">
        <f t="shared" si="127"/>
        <v>0</v>
      </c>
      <c r="AD152" s="9">
        <f t="shared" si="128"/>
        <v>0</v>
      </c>
      <c r="AE152" s="40" t="e">
        <f t="shared" ca="1" si="129"/>
        <v>#NUM!</v>
      </c>
      <c r="AF152" s="40" t="e">
        <f t="shared" ca="1" si="130"/>
        <v>#NUM!</v>
      </c>
      <c r="AG152" s="40" t="e">
        <f t="shared" ca="1" si="131"/>
        <v>#NUM!</v>
      </c>
      <c r="AH152" s="40" t="e">
        <f t="shared" ca="1" si="132"/>
        <v>#NUM!</v>
      </c>
      <c r="AI152" s="40" t="e">
        <f t="shared" ca="1" si="133"/>
        <v>#NUM!</v>
      </c>
      <c r="AJ152" s="40" t="e">
        <f t="shared" ca="1" si="134"/>
        <v>#NUM!</v>
      </c>
      <c r="AK152" s="203" t="e">
        <f t="shared" ca="1" si="135"/>
        <v>#NUM!</v>
      </c>
      <c r="AL152" s="40" t="e">
        <f t="shared" ca="1" si="136"/>
        <v>#NUM!</v>
      </c>
      <c r="AM152" s="40" t="e">
        <f t="shared" ca="1" si="137"/>
        <v>#NUM!</v>
      </c>
      <c r="AN152" s="40" t="e">
        <f t="shared" ca="1" si="138"/>
        <v>#NUM!</v>
      </c>
      <c r="AO152" s="40" t="e">
        <f t="shared" ca="1" si="139"/>
        <v>#NUM!</v>
      </c>
      <c r="AP152" s="40" t="e">
        <f t="shared" ca="1" si="140"/>
        <v>#NUM!</v>
      </c>
      <c r="AQ152" s="40" t="e">
        <f t="shared" ca="1" si="141"/>
        <v>#NUM!</v>
      </c>
      <c r="AR152" s="40" t="e">
        <f t="shared" ca="1" si="142"/>
        <v>#NUM!</v>
      </c>
      <c r="AS152" s="40" t="e">
        <f t="shared" ca="1" si="143"/>
        <v>#NUM!</v>
      </c>
    </row>
    <row r="153" spans="1:45" x14ac:dyDescent="0.25">
      <c r="A153" s="154"/>
      <c r="B153" s="73">
        <f t="shared" si="119"/>
        <v>-59090.909090909088</v>
      </c>
      <c r="E153" s="148">
        <v>42826</v>
      </c>
      <c r="G153" s="139">
        <v>33</v>
      </c>
      <c r="H153" s="139">
        <v>0</v>
      </c>
      <c r="I153" s="49">
        <f t="shared" si="120"/>
        <v>46522</v>
      </c>
      <c r="J153" s="76">
        <v>1950000</v>
      </c>
      <c r="K153" s="40">
        <f t="shared" si="121"/>
        <v>33</v>
      </c>
      <c r="L153" s="74">
        <f t="shared" si="122"/>
        <v>1950000</v>
      </c>
      <c r="M153" s="76"/>
      <c r="N153" s="76">
        <f t="shared" si="123"/>
        <v>0</v>
      </c>
      <c r="O153" s="142"/>
      <c r="P153" s="142"/>
      <c r="Q153" s="142"/>
      <c r="R153" s="144"/>
      <c r="S153" s="144"/>
      <c r="T153" s="144"/>
      <c r="U153" s="144"/>
      <c r="V153" s="144"/>
      <c r="W153" s="144"/>
      <c r="X153" s="144"/>
      <c r="Y153" s="143"/>
      <c r="Z153" s="143">
        <f t="shared" si="124"/>
        <v>0</v>
      </c>
      <c r="AA153" s="9">
        <f t="shared" si="125"/>
        <v>0.375</v>
      </c>
      <c r="AB153" s="9">
        <f t="shared" si="126"/>
        <v>0</v>
      </c>
      <c r="AC153" s="9">
        <f t="shared" si="127"/>
        <v>0</v>
      </c>
      <c r="AD153" s="9">
        <f t="shared" si="128"/>
        <v>0</v>
      </c>
      <c r="AE153" s="40" t="e">
        <f t="shared" ca="1" si="129"/>
        <v>#NUM!</v>
      </c>
      <c r="AF153" s="40" t="e">
        <f t="shared" ca="1" si="130"/>
        <v>#NUM!</v>
      </c>
      <c r="AG153" s="40" t="e">
        <f t="shared" ca="1" si="131"/>
        <v>#NUM!</v>
      </c>
      <c r="AH153" s="40" t="e">
        <f t="shared" ca="1" si="132"/>
        <v>#NUM!</v>
      </c>
      <c r="AI153" s="40" t="e">
        <f t="shared" ca="1" si="133"/>
        <v>#NUM!</v>
      </c>
      <c r="AJ153" s="40" t="e">
        <f t="shared" ca="1" si="134"/>
        <v>#NUM!</v>
      </c>
      <c r="AK153" s="203" t="e">
        <f t="shared" ca="1" si="135"/>
        <v>#NUM!</v>
      </c>
      <c r="AL153" s="40" t="e">
        <f t="shared" ca="1" si="136"/>
        <v>#NUM!</v>
      </c>
      <c r="AM153" s="40" t="e">
        <f t="shared" ca="1" si="137"/>
        <v>#NUM!</v>
      </c>
      <c r="AN153" s="40" t="e">
        <f t="shared" ca="1" si="138"/>
        <v>#NUM!</v>
      </c>
      <c r="AO153" s="40" t="e">
        <f t="shared" ca="1" si="139"/>
        <v>#NUM!</v>
      </c>
      <c r="AP153" s="40" t="e">
        <f t="shared" ca="1" si="140"/>
        <v>#NUM!</v>
      </c>
      <c r="AQ153" s="40" t="e">
        <f t="shared" ca="1" si="141"/>
        <v>#NUM!</v>
      </c>
      <c r="AR153" s="40" t="e">
        <f t="shared" ca="1" si="142"/>
        <v>#NUM!</v>
      </c>
      <c r="AS153" s="40" t="e">
        <f t="shared" ca="1" si="143"/>
        <v>#NUM!</v>
      </c>
    </row>
    <row r="154" spans="1:45" x14ac:dyDescent="0.25">
      <c r="A154" s="154"/>
      <c r="B154" s="73">
        <f t="shared" si="119"/>
        <v>-59090.909090909088</v>
      </c>
      <c r="E154" s="148">
        <v>42826</v>
      </c>
      <c r="G154" s="139">
        <v>33</v>
      </c>
      <c r="H154" s="139">
        <v>0</v>
      </c>
      <c r="I154" s="49">
        <f t="shared" si="120"/>
        <v>46522</v>
      </c>
      <c r="J154" s="76">
        <v>1950000</v>
      </c>
      <c r="K154" s="40">
        <f t="shared" si="121"/>
        <v>33</v>
      </c>
      <c r="L154" s="74">
        <f t="shared" si="122"/>
        <v>1950000</v>
      </c>
      <c r="M154" s="76"/>
      <c r="N154" s="76">
        <f t="shared" si="123"/>
        <v>0</v>
      </c>
      <c r="O154" s="142"/>
      <c r="P154" s="142"/>
      <c r="Q154" s="142"/>
      <c r="R154" s="144"/>
      <c r="S154" s="144"/>
      <c r="T154" s="144"/>
      <c r="U154" s="144"/>
      <c r="V154" s="144"/>
      <c r="W154" s="144"/>
      <c r="X154" s="144"/>
      <c r="Y154" s="143"/>
      <c r="Z154" s="143">
        <f t="shared" si="124"/>
        <v>0</v>
      </c>
      <c r="AA154" s="9">
        <f t="shared" si="125"/>
        <v>0.375</v>
      </c>
      <c r="AB154" s="9">
        <f t="shared" si="126"/>
        <v>0</v>
      </c>
      <c r="AC154" s="9">
        <f t="shared" si="127"/>
        <v>0</v>
      </c>
      <c r="AD154" s="9">
        <f t="shared" si="128"/>
        <v>0</v>
      </c>
      <c r="AE154" s="40" t="e">
        <f t="shared" ca="1" si="129"/>
        <v>#NUM!</v>
      </c>
      <c r="AF154" s="40" t="e">
        <f t="shared" ca="1" si="130"/>
        <v>#NUM!</v>
      </c>
      <c r="AG154" s="40" t="e">
        <f t="shared" ca="1" si="131"/>
        <v>#NUM!</v>
      </c>
      <c r="AH154" s="40" t="e">
        <f t="shared" ca="1" si="132"/>
        <v>#NUM!</v>
      </c>
      <c r="AI154" s="40" t="e">
        <f t="shared" ca="1" si="133"/>
        <v>#NUM!</v>
      </c>
      <c r="AJ154" s="40" t="e">
        <f t="shared" ca="1" si="134"/>
        <v>#NUM!</v>
      </c>
      <c r="AK154" s="203" t="e">
        <f t="shared" ca="1" si="135"/>
        <v>#NUM!</v>
      </c>
      <c r="AL154" s="40" t="e">
        <f t="shared" ca="1" si="136"/>
        <v>#NUM!</v>
      </c>
      <c r="AM154" s="40" t="e">
        <f t="shared" ca="1" si="137"/>
        <v>#NUM!</v>
      </c>
      <c r="AN154" s="40" t="e">
        <f t="shared" ca="1" si="138"/>
        <v>#NUM!</v>
      </c>
      <c r="AO154" s="40" t="e">
        <f t="shared" ca="1" si="139"/>
        <v>#NUM!</v>
      </c>
      <c r="AP154" s="40" t="e">
        <f t="shared" ca="1" si="140"/>
        <v>#NUM!</v>
      </c>
      <c r="AQ154" s="40" t="e">
        <f t="shared" ca="1" si="141"/>
        <v>#NUM!</v>
      </c>
      <c r="AR154" s="40" t="e">
        <f t="shared" ca="1" si="142"/>
        <v>#NUM!</v>
      </c>
      <c r="AS154" s="40" t="e">
        <f t="shared" ca="1" si="143"/>
        <v>#NUM!</v>
      </c>
    </row>
    <row r="155" spans="1:45" x14ac:dyDescent="0.25">
      <c r="A155" s="154"/>
      <c r="B155" s="73">
        <f t="shared" si="119"/>
        <v>-59090.909090909088</v>
      </c>
      <c r="E155" s="148">
        <v>42826</v>
      </c>
      <c r="G155" s="139">
        <v>33</v>
      </c>
      <c r="H155" s="139">
        <v>0</v>
      </c>
      <c r="I155" s="49">
        <f t="shared" si="120"/>
        <v>46522</v>
      </c>
      <c r="J155" s="76">
        <v>1950000</v>
      </c>
      <c r="K155" s="40">
        <f t="shared" si="121"/>
        <v>33</v>
      </c>
      <c r="L155" s="74">
        <f t="shared" si="122"/>
        <v>1950000</v>
      </c>
      <c r="M155" s="76"/>
      <c r="N155" s="76">
        <f t="shared" si="123"/>
        <v>0</v>
      </c>
      <c r="O155" s="142"/>
      <c r="P155" s="142"/>
      <c r="Q155" s="142"/>
      <c r="R155" s="144"/>
      <c r="S155" s="144"/>
      <c r="T155" s="144"/>
      <c r="U155" s="144"/>
      <c r="V155" s="144"/>
      <c r="W155" s="144"/>
      <c r="X155" s="144"/>
      <c r="Y155" s="143"/>
      <c r="Z155" s="143">
        <f t="shared" si="124"/>
        <v>0</v>
      </c>
      <c r="AA155" s="9">
        <f t="shared" si="125"/>
        <v>0.375</v>
      </c>
      <c r="AB155" s="9">
        <f t="shared" si="126"/>
        <v>0</v>
      </c>
      <c r="AC155" s="9">
        <f t="shared" si="127"/>
        <v>0</v>
      </c>
      <c r="AD155" s="9">
        <f t="shared" si="128"/>
        <v>0</v>
      </c>
      <c r="AE155" s="40" t="e">
        <f t="shared" ca="1" si="129"/>
        <v>#NUM!</v>
      </c>
      <c r="AF155" s="40" t="e">
        <f t="shared" ca="1" si="130"/>
        <v>#NUM!</v>
      </c>
      <c r="AG155" s="40" t="e">
        <f t="shared" ca="1" si="131"/>
        <v>#NUM!</v>
      </c>
      <c r="AH155" s="40" t="e">
        <f t="shared" ca="1" si="132"/>
        <v>#NUM!</v>
      </c>
      <c r="AI155" s="40" t="e">
        <f t="shared" ca="1" si="133"/>
        <v>#NUM!</v>
      </c>
      <c r="AJ155" s="40" t="e">
        <f t="shared" ca="1" si="134"/>
        <v>#NUM!</v>
      </c>
      <c r="AK155" s="203" t="e">
        <f t="shared" ca="1" si="135"/>
        <v>#NUM!</v>
      </c>
      <c r="AL155" s="40" t="e">
        <f t="shared" ca="1" si="136"/>
        <v>#NUM!</v>
      </c>
      <c r="AM155" s="40" t="e">
        <f t="shared" ca="1" si="137"/>
        <v>#NUM!</v>
      </c>
      <c r="AN155" s="40" t="e">
        <f t="shared" ca="1" si="138"/>
        <v>#NUM!</v>
      </c>
      <c r="AO155" s="40" t="e">
        <f t="shared" ca="1" si="139"/>
        <v>#NUM!</v>
      </c>
      <c r="AP155" s="40" t="e">
        <f t="shared" ca="1" si="140"/>
        <v>#NUM!</v>
      </c>
      <c r="AQ155" s="40" t="e">
        <f t="shared" ca="1" si="141"/>
        <v>#NUM!</v>
      </c>
      <c r="AR155" s="40" t="e">
        <f t="shared" ca="1" si="142"/>
        <v>#NUM!</v>
      </c>
      <c r="AS155" s="40" t="e">
        <f t="shared" ca="1" si="143"/>
        <v>#NUM!</v>
      </c>
    </row>
    <row r="156" spans="1:45" x14ac:dyDescent="0.25">
      <c r="A156" s="154"/>
      <c r="B156" s="73">
        <f t="shared" si="119"/>
        <v>-59090.909090909088</v>
      </c>
      <c r="E156" s="148">
        <v>42826</v>
      </c>
      <c r="G156" s="139">
        <v>33</v>
      </c>
      <c r="H156" s="139">
        <v>0</v>
      </c>
      <c r="I156" s="49">
        <f t="shared" si="120"/>
        <v>46522</v>
      </c>
      <c r="J156" s="76">
        <v>1950000</v>
      </c>
      <c r="K156" s="40">
        <f t="shared" si="121"/>
        <v>33</v>
      </c>
      <c r="L156" s="74">
        <f t="shared" si="122"/>
        <v>1950000</v>
      </c>
      <c r="M156" s="76"/>
      <c r="N156" s="76">
        <f t="shared" si="123"/>
        <v>0</v>
      </c>
      <c r="O156" s="142"/>
      <c r="P156" s="142"/>
      <c r="Q156" s="142"/>
      <c r="R156" s="144"/>
      <c r="S156" s="144"/>
      <c r="T156" s="144"/>
      <c r="U156" s="144"/>
      <c r="V156" s="144"/>
      <c r="W156" s="144"/>
      <c r="X156" s="144"/>
      <c r="Y156" s="143"/>
      <c r="Z156" s="143">
        <f t="shared" si="124"/>
        <v>0</v>
      </c>
      <c r="AA156" s="9">
        <f t="shared" si="125"/>
        <v>0.375</v>
      </c>
      <c r="AB156" s="9">
        <f t="shared" si="126"/>
        <v>0</v>
      </c>
      <c r="AC156" s="9">
        <f t="shared" si="127"/>
        <v>0</v>
      </c>
      <c r="AD156" s="9">
        <f t="shared" si="128"/>
        <v>0</v>
      </c>
      <c r="AE156" s="40" t="e">
        <f t="shared" ca="1" si="129"/>
        <v>#NUM!</v>
      </c>
      <c r="AF156" s="40" t="e">
        <f t="shared" ca="1" si="130"/>
        <v>#NUM!</v>
      </c>
      <c r="AG156" s="40" t="e">
        <f t="shared" ca="1" si="131"/>
        <v>#NUM!</v>
      </c>
      <c r="AH156" s="40" t="e">
        <f t="shared" ca="1" si="132"/>
        <v>#NUM!</v>
      </c>
      <c r="AI156" s="40" t="e">
        <f t="shared" ca="1" si="133"/>
        <v>#NUM!</v>
      </c>
      <c r="AJ156" s="40" t="e">
        <f t="shared" ca="1" si="134"/>
        <v>#NUM!</v>
      </c>
      <c r="AK156" s="203" t="e">
        <f t="shared" ca="1" si="135"/>
        <v>#NUM!</v>
      </c>
      <c r="AL156" s="40" t="e">
        <f t="shared" ca="1" si="136"/>
        <v>#NUM!</v>
      </c>
      <c r="AM156" s="40" t="e">
        <f t="shared" ca="1" si="137"/>
        <v>#NUM!</v>
      </c>
      <c r="AN156" s="40" t="e">
        <f t="shared" ca="1" si="138"/>
        <v>#NUM!</v>
      </c>
      <c r="AO156" s="40" t="e">
        <f t="shared" ca="1" si="139"/>
        <v>#NUM!</v>
      </c>
      <c r="AP156" s="40" t="e">
        <f t="shared" ca="1" si="140"/>
        <v>#NUM!</v>
      </c>
      <c r="AQ156" s="40" t="e">
        <f t="shared" ca="1" si="141"/>
        <v>#NUM!</v>
      </c>
      <c r="AR156" s="40" t="e">
        <f t="shared" ca="1" si="142"/>
        <v>#NUM!</v>
      </c>
      <c r="AS156" s="40" t="e">
        <f t="shared" ca="1" si="143"/>
        <v>#NUM!</v>
      </c>
    </row>
    <row r="157" spans="1:45" x14ac:dyDescent="0.25">
      <c r="A157" s="154"/>
      <c r="B157" s="73">
        <f t="shared" ref="B157:B203" si="144">(N157+F157-J157)/K157</f>
        <v>-59090.909090909088</v>
      </c>
      <c r="E157" s="148">
        <v>42826</v>
      </c>
      <c r="G157" s="139">
        <v>33</v>
      </c>
      <c r="H157" s="139">
        <v>0</v>
      </c>
      <c r="I157" s="49">
        <f t="shared" ref="I157:I203" si="145">E157+(H157-D157+(G157-C157)*112)</f>
        <v>46522</v>
      </c>
      <c r="J157" s="76">
        <v>1950000</v>
      </c>
      <c r="K157" s="40">
        <f t="shared" ref="K157:K203" si="146">(I157-E157)/112</f>
        <v>33</v>
      </c>
      <c r="L157" s="74">
        <f t="shared" ref="L157:L203" si="147">J157-F157</f>
        <v>1950000</v>
      </c>
      <c r="M157" s="76"/>
      <c r="N157" s="76">
        <f t="shared" ref="N157:N203" si="148">((G157-C157)*M157*16)+(H157-D157)/7*M157</f>
        <v>0</v>
      </c>
      <c r="O157" s="142"/>
      <c r="P157" s="142"/>
      <c r="Q157" s="142"/>
      <c r="R157" s="144"/>
      <c r="S157" s="144"/>
      <c r="T157" s="144"/>
      <c r="U157" s="144"/>
      <c r="V157" s="144"/>
      <c r="W157" s="144"/>
      <c r="X157" s="144"/>
      <c r="Y157" s="143"/>
      <c r="Z157" s="143">
        <f t="shared" ref="Z157:Z203" si="149">O157*P157*P157</f>
        <v>0</v>
      </c>
      <c r="AA157" s="9">
        <f t="shared" ref="AA157:AA203" si="150">((S157+1)+(V157+1)*2)/8</f>
        <v>0.375</v>
      </c>
      <c r="AB157" s="9">
        <f t="shared" ref="AB157:AB203" si="151">X157*0.7+W157*0.3</f>
        <v>0</v>
      </c>
      <c r="AC157" s="9">
        <f t="shared" ref="AC157:AC203" si="152">(0.5*W157+ 0.3*X157)/10</f>
        <v>0</v>
      </c>
      <c r="AD157" s="9">
        <f t="shared" ref="AD157:AD203" si="153">(0.4*S157+0.3*X157)/10</f>
        <v>0</v>
      </c>
      <c r="AE157" s="40" t="e">
        <f t="shared" ref="AE157:AE203" ca="1" si="154">IF(TODAY()-E157&gt;335,((S157+1+(LOG(O157)*4/3))*0.516),((S157+(((TODAY()-E157)^0.5)/(336^0.516))+(LOG(O157)*4/3))*0.516))</f>
        <v>#NUM!</v>
      </c>
      <c r="AF157" s="40" t="e">
        <f t="shared" ref="AF157:AF203" ca="1" si="155">IF(TODAY()-E157&gt;335,((S157+1+(LOG(O157)*4/3))*1),((S157+(((TODAY()-E157)^0.5)/(336^0.5))+(LOG(O157)*4/3))*1))</f>
        <v>#NUM!</v>
      </c>
      <c r="AG157" s="40" t="e">
        <f t="shared" ref="AG157:AG203" ca="1" si="156">IF(TODAY()-E157&gt;335,((T157+1+(LOG(O157)*4/3))*0.238),((T157+(((TODAY()-E157)^0.5)/(336^0.238))+(LOG(O157)*4/3))*0.238))</f>
        <v>#NUM!</v>
      </c>
      <c r="AH157" s="40" t="e">
        <f t="shared" ref="AH157:AH203" ca="1" si="157">IF(TODAY()-E157&gt;335,((S157+1+(LOG(O157)*4/3))*0.92),((S157+(((TODAY()-E157)^0.5)/(336^0.5))+(LOG(O157)*4/3))*0.92))</f>
        <v>#NUM!</v>
      </c>
      <c r="AI157" s="40" t="e">
        <f t="shared" ref="AI157:AI203" ca="1" si="158">IF(TODAY()-E157&gt;335,((S157+1+(LOG(O157)*4/3))*0.414),((S157+(((TODAY()-E157)^0.5)/(336^0.414))+(LOG(O157)*4/3))*0.414))</f>
        <v>#NUM!</v>
      </c>
      <c r="AJ157" s="40" t="e">
        <f t="shared" ref="AJ157:AJ203" ca="1" si="159">IF(TODAY()-E157&gt;335,((T157+1+(LOG(O157)*4/3))*0.167),((T157+(((TODAY()-E157)^0.5)/(336^0.5))+(LOG(O157)*4/3))*0.167))</f>
        <v>#NUM!</v>
      </c>
      <c r="AK157" s="203" t="e">
        <f t="shared" ref="AK157:AK203" ca="1" si="160">IF(TODAY()-E157&gt;335,((U157+1+(LOG(O157)*4/3))*0.588),((U157+(((TODAY()-E157)^0.5)/(336^0.5))+(LOG(O157)*4/3))*0.588))</f>
        <v>#NUM!</v>
      </c>
      <c r="AL157" s="40" t="e">
        <f t="shared" ref="AL157:AL203" ca="1" si="161">IF(TODAY()-E157&gt;335,((S157+1+(LOG(O157)*4/3))*0.4),((S157+(((TODAY()-E157)^0.5)/(336^0.5))+(LOG(O157)*4/3))*0.4))</f>
        <v>#NUM!</v>
      </c>
      <c r="AM157" s="40" t="e">
        <f t="shared" ref="AM157:AM203" ca="1" si="162">IF(TODAY()-E157&gt;335,((T157+1+(LOG(O157)*4/3))*1),((T157+(((TODAY()-E157)^0.5)/(336^0.5))+(LOG(O157)*4/3))*1))</f>
        <v>#NUM!</v>
      </c>
      <c r="AN157" s="40" t="e">
        <f t="shared" ref="AN157:AN203" ca="1" si="163">IF(TODAY()-E157&gt;335,((W157+1+(LOG(O157)*4/3))*0.21)+((V157+1+(LOG(O157)*4/3))*0.341),((W157+(((TODAY()-E157)^0.5)/(336^0.5))+(LOG(O157)*4/3))*0.21)+((V157+(((TODAY()-E157)^0.5)/(336^0.5))+(LOG(O157)*4/3))*0.341))</f>
        <v>#NUM!</v>
      </c>
      <c r="AO157" s="40" t="e">
        <f t="shared" ref="AO157:AO203" ca="1" si="164">IF(TODAY()-E157&gt;335,((T157+1+(LOG(O157)*4/3))*0.305),((T157+(((TODAY()-E157)^0.5)/(336^0.5))+(LOG(O157)*4/3))*0.305))</f>
        <v>#NUM!</v>
      </c>
      <c r="AP157" s="40" t="e">
        <f t="shared" ref="AP157:AP203" ca="1" si="165">IF(TODAY()-E157&gt;335,((U157+1+(LOG(O157)*4/3))*1)+((V157+1+(LOG(O157)*4/3))*0.286),((U157+(((TODAY()-E157)^0.5)/(336^0.5))+(LOG(O157)*4/3))*1)+((V157+(((TODAY()-E157)^0.5)/(336^0.5))+(LOG(O157)*4/3))*0.286))</f>
        <v>#NUM!</v>
      </c>
      <c r="AQ157" s="40" t="e">
        <f t="shared" ref="AQ157:AQ203" ca="1" si="166">IF(TODAY()-E157&gt;335,((T157+1+(LOG(O157)*4/3))*0.406),((T157+(((TODAY()-E157)^0.5)/(336^0.5))+(LOG(O157)*4/3))*0.406))</f>
        <v>#NUM!</v>
      </c>
      <c r="AR157" s="40" t="e">
        <f t="shared" ref="AR157:AR203" ca="1" si="167">IF(Q157="TEC",IF(TODAY()-E157&gt;335,((V157+1+(LOG(O157)*4/3))*0.15)+((V157+1+(LOG(O157)*4/3))*0.324)+((W157+1+(LOG(O157)*4/3))*0.127),((U157+(((TODAY()-E157)^0.5)/(336^0.5))+(LOG(O157)*4/3))*0.15)+((V157+(((TODAY()-E157)^0.5)/(336^0.5))+(LOG(O157)*4/3))*0.324)+((W157+(((TODAY()-E157)^0.5)/(336^0.5))+(LOG(O157)*4/3))*0.127)),IF(TODAY()-E157&gt;335,((V157+1+(LOG(O157)*4/3))*0.144)+((W157+1+(LOG(O157)*4/3))*0.25)+((W157+1+(LOG(O157)*4/3))*0.127),((U157+(((TODAY()-E157)^0.5)/(336^0.5))+(LOG(O157)*4/3))*0.144)+((V157+(((TODAY()-E157)^0.5)/(336^0.5))+(LOG(O157)*4/3))*0.25)+((W157+(((TODAY()-E157)^0.5)/(336^0.5))+(LOG(O157)*4/3))*0.127)))</f>
        <v>#NUM!</v>
      </c>
      <c r="AS157" s="40" t="e">
        <f t="shared" ref="AS157:AS203" ca="1" si="168">IF(Q157="TEC",IF(TODAY()-E157&gt;335,((V157+1+(LOG(O157)*4/3))*0.543)+((W157+1+(LOG(O157)*4/3))*0.583),((V157+(((TODAY()-E157)^0.5)/(336^0.5))+(LOG(O157)*4/3))*0.543)+((W157+(((TODAY()-E157)^0.5)/(336^0.5))+(LOG(O157)*4/3))*0.583)),IF(TODAY()-E157&gt;335,((V157+1+(LOG(O157)*4/3))*0.543)+((W157+1+(LOG(O157)*4/3))*0.583),((V157+(((TODAY()-E157)^0.5)/(336^0.5))+(LOG(O157)*4/3))*0.543)+((W157+(((TODAY()-E157)^0.5)/(336^0.5))+(LOG(O157)*4/3))*0.583)))</f>
        <v>#NUM!</v>
      </c>
    </row>
    <row r="158" spans="1:45" x14ac:dyDescent="0.25">
      <c r="A158" s="154"/>
      <c r="B158" s="73">
        <f t="shared" si="144"/>
        <v>-59090.909090909088</v>
      </c>
      <c r="E158" s="148">
        <v>42826</v>
      </c>
      <c r="G158" s="139">
        <v>33</v>
      </c>
      <c r="H158" s="139">
        <v>0</v>
      </c>
      <c r="I158" s="49">
        <f t="shared" si="145"/>
        <v>46522</v>
      </c>
      <c r="J158" s="76">
        <v>1950000</v>
      </c>
      <c r="K158" s="40">
        <f t="shared" si="146"/>
        <v>33</v>
      </c>
      <c r="L158" s="74">
        <f t="shared" si="147"/>
        <v>1950000</v>
      </c>
      <c r="M158" s="76"/>
      <c r="N158" s="76">
        <f t="shared" si="148"/>
        <v>0</v>
      </c>
      <c r="O158" s="142"/>
      <c r="P158" s="142"/>
      <c r="Q158" s="142"/>
      <c r="R158" s="144"/>
      <c r="S158" s="144"/>
      <c r="T158" s="144"/>
      <c r="U158" s="144"/>
      <c r="V158" s="144"/>
      <c r="W158" s="144"/>
      <c r="X158" s="144"/>
      <c r="Y158" s="143"/>
      <c r="Z158" s="143">
        <f t="shared" si="149"/>
        <v>0</v>
      </c>
      <c r="AA158" s="9">
        <f t="shared" si="150"/>
        <v>0.375</v>
      </c>
      <c r="AB158" s="9">
        <f t="shared" si="151"/>
        <v>0</v>
      </c>
      <c r="AC158" s="9">
        <f t="shared" si="152"/>
        <v>0</v>
      </c>
      <c r="AD158" s="9">
        <f t="shared" si="153"/>
        <v>0</v>
      </c>
      <c r="AE158" s="40" t="e">
        <f t="shared" ca="1" si="154"/>
        <v>#NUM!</v>
      </c>
      <c r="AF158" s="40" t="e">
        <f t="shared" ca="1" si="155"/>
        <v>#NUM!</v>
      </c>
      <c r="AG158" s="40" t="e">
        <f t="shared" ca="1" si="156"/>
        <v>#NUM!</v>
      </c>
      <c r="AH158" s="40" t="e">
        <f t="shared" ca="1" si="157"/>
        <v>#NUM!</v>
      </c>
      <c r="AI158" s="40" t="e">
        <f t="shared" ca="1" si="158"/>
        <v>#NUM!</v>
      </c>
      <c r="AJ158" s="40" t="e">
        <f t="shared" ca="1" si="159"/>
        <v>#NUM!</v>
      </c>
      <c r="AK158" s="203" t="e">
        <f t="shared" ca="1" si="160"/>
        <v>#NUM!</v>
      </c>
      <c r="AL158" s="40" t="e">
        <f t="shared" ca="1" si="161"/>
        <v>#NUM!</v>
      </c>
      <c r="AM158" s="40" t="e">
        <f t="shared" ca="1" si="162"/>
        <v>#NUM!</v>
      </c>
      <c r="AN158" s="40" t="e">
        <f t="shared" ca="1" si="163"/>
        <v>#NUM!</v>
      </c>
      <c r="AO158" s="40" t="e">
        <f t="shared" ca="1" si="164"/>
        <v>#NUM!</v>
      </c>
      <c r="AP158" s="40" t="e">
        <f t="shared" ca="1" si="165"/>
        <v>#NUM!</v>
      </c>
      <c r="AQ158" s="40" t="e">
        <f t="shared" ca="1" si="166"/>
        <v>#NUM!</v>
      </c>
      <c r="AR158" s="40" t="e">
        <f t="shared" ca="1" si="167"/>
        <v>#NUM!</v>
      </c>
      <c r="AS158" s="40" t="e">
        <f t="shared" ca="1" si="168"/>
        <v>#NUM!</v>
      </c>
    </row>
    <row r="159" spans="1:45" x14ac:dyDescent="0.25">
      <c r="A159" s="154"/>
      <c r="B159" s="73">
        <f t="shared" si="144"/>
        <v>-59090.909090909088</v>
      </c>
      <c r="E159" s="148">
        <v>42826</v>
      </c>
      <c r="G159" s="139">
        <v>33</v>
      </c>
      <c r="H159" s="139">
        <v>0</v>
      </c>
      <c r="I159" s="49">
        <f t="shared" si="145"/>
        <v>46522</v>
      </c>
      <c r="J159" s="76">
        <v>1950000</v>
      </c>
      <c r="K159" s="40">
        <f t="shared" si="146"/>
        <v>33</v>
      </c>
      <c r="L159" s="74">
        <f t="shared" si="147"/>
        <v>1950000</v>
      </c>
      <c r="M159" s="76"/>
      <c r="N159" s="76">
        <f t="shared" si="148"/>
        <v>0</v>
      </c>
      <c r="O159" s="142"/>
      <c r="P159" s="142"/>
      <c r="Q159" s="142"/>
      <c r="R159" s="144"/>
      <c r="S159" s="144"/>
      <c r="T159" s="144"/>
      <c r="U159" s="144"/>
      <c r="V159" s="144"/>
      <c r="W159" s="144"/>
      <c r="X159" s="144"/>
      <c r="Y159" s="143"/>
      <c r="Z159" s="143">
        <f t="shared" si="149"/>
        <v>0</v>
      </c>
      <c r="AA159" s="9">
        <f t="shared" si="150"/>
        <v>0.375</v>
      </c>
      <c r="AB159" s="9">
        <f t="shared" si="151"/>
        <v>0</v>
      </c>
      <c r="AC159" s="9">
        <f t="shared" si="152"/>
        <v>0</v>
      </c>
      <c r="AD159" s="9">
        <f t="shared" si="153"/>
        <v>0</v>
      </c>
      <c r="AE159" s="40" t="e">
        <f t="shared" ca="1" si="154"/>
        <v>#NUM!</v>
      </c>
      <c r="AF159" s="40" t="e">
        <f t="shared" ca="1" si="155"/>
        <v>#NUM!</v>
      </c>
      <c r="AG159" s="40" t="e">
        <f t="shared" ca="1" si="156"/>
        <v>#NUM!</v>
      </c>
      <c r="AH159" s="40" t="e">
        <f t="shared" ca="1" si="157"/>
        <v>#NUM!</v>
      </c>
      <c r="AI159" s="40" t="e">
        <f t="shared" ca="1" si="158"/>
        <v>#NUM!</v>
      </c>
      <c r="AJ159" s="40" t="e">
        <f t="shared" ca="1" si="159"/>
        <v>#NUM!</v>
      </c>
      <c r="AK159" s="203" t="e">
        <f t="shared" ca="1" si="160"/>
        <v>#NUM!</v>
      </c>
      <c r="AL159" s="40" t="e">
        <f t="shared" ca="1" si="161"/>
        <v>#NUM!</v>
      </c>
      <c r="AM159" s="40" t="e">
        <f t="shared" ca="1" si="162"/>
        <v>#NUM!</v>
      </c>
      <c r="AN159" s="40" t="e">
        <f t="shared" ca="1" si="163"/>
        <v>#NUM!</v>
      </c>
      <c r="AO159" s="40" t="e">
        <f t="shared" ca="1" si="164"/>
        <v>#NUM!</v>
      </c>
      <c r="AP159" s="40" t="e">
        <f t="shared" ca="1" si="165"/>
        <v>#NUM!</v>
      </c>
      <c r="AQ159" s="40" t="e">
        <f t="shared" ca="1" si="166"/>
        <v>#NUM!</v>
      </c>
      <c r="AR159" s="40" t="e">
        <f t="shared" ca="1" si="167"/>
        <v>#NUM!</v>
      </c>
      <c r="AS159" s="40" t="e">
        <f t="shared" ca="1" si="168"/>
        <v>#NUM!</v>
      </c>
    </row>
    <row r="160" spans="1:45" x14ac:dyDescent="0.25">
      <c r="A160" s="154"/>
      <c r="B160" s="73">
        <f t="shared" si="144"/>
        <v>-59090.909090909088</v>
      </c>
      <c r="E160" s="148">
        <v>42826</v>
      </c>
      <c r="G160" s="139">
        <v>33</v>
      </c>
      <c r="H160" s="139">
        <v>0</v>
      </c>
      <c r="I160" s="49">
        <f t="shared" si="145"/>
        <v>46522</v>
      </c>
      <c r="J160" s="76">
        <v>1950000</v>
      </c>
      <c r="K160" s="40">
        <f t="shared" si="146"/>
        <v>33</v>
      </c>
      <c r="L160" s="74">
        <f t="shared" si="147"/>
        <v>1950000</v>
      </c>
      <c r="M160" s="76"/>
      <c r="N160" s="76">
        <f t="shared" si="148"/>
        <v>0</v>
      </c>
      <c r="O160" s="142"/>
      <c r="P160" s="142"/>
      <c r="Q160" s="142"/>
      <c r="R160" s="144"/>
      <c r="S160" s="144"/>
      <c r="T160" s="144"/>
      <c r="U160" s="144"/>
      <c r="V160" s="144"/>
      <c r="W160" s="144"/>
      <c r="X160" s="144"/>
      <c r="Y160" s="143"/>
      <c r="Z160" s="143">
        <f t="shared" si="149"/>
        <v>0</v>
      </c>
      <c r="AA160" s="9">
        <f t="shared" si="150"/>
        <v>0.375</v>
      </c>
      <c r="AB160" s="9">
        <f t="shared" si="151"/>
        <v>0</v>
      </c>
      <c r="AC160" s="9">
        <f t="shared" si="152"/>
        <v>0</v>
      </c>
      <c r="AD160" s="9">
        <f t="shared" si="153"/>
        <v>0</v>
      </c>
      <c r="AE160" s="40" t="e">
        <f t="shared" ca="1" si="154"/>
        <v>#NUM!</v>
      </c>
      <c r="AF160" s="40" t="e">
        <f t="shared" ca="1" si="155"/>
        <v>#NUM!</v>
      </c>
      <c r="AG160" s="40" t="e">
        <f t="shared" ca="1" si="156"/>
        <v>#NUM!</v>
      </c>
      <c r="AH160" s="40" t="e">
        <f t="shared" ca="1" si="157"/>
        <v>#NUM!</v>
      </c>
      <c r="AI160" s="40" t="e">
        <f t="shared" ca="1" si="158"/>
        <v>#NUM!</v>
      </c>
      <c r="AJ160" s="40" t="e">
        <f t="shared" ca="1" si="159"/>
        <v>#NUM!</v>
      </c>
      <c r="AK160" s="203" t="e">
        <f t="shared" ca="1" si="160"/>
        <v>#NUM!</v>
      </c>
      <c r="AL160" s="40" t="e">
        <f t="shared" ca="1" si="161"/>
        <v>#NUM!</v>
      </c>
      <c r="AM160" s="40" t="e">
        <f t="shared" ca="1" si="162"/>
        <v>#NUM!</v>
      </c>
      <c r="AN160" s="40" t="e">
        <f t="shared" ca="1" si="163"/>
        <v>#NUM!</v>
      </c>
      <c r="AO160" s="40" t="e">
        <f t="shared" ca="1" si="164"/>
        <v>#NUM!</v>
      </c>
      <c r="AP160" s="40" t="e">
        <f t="shared" ca="1" si="165"/>
        <v>#NUM!</v>
      </c>
      <c r="AQ160" s="40" t="e">
        <f t="shared" ca="1" si="166"/>
        <v>#NUM!</v>
      </c>
      <c r="AR160" s="40" t="e">
        <f t="shared" ca="1" si="167"/>
        <v>#NUM!</v>
      </c>
      <c r="AS160" s="40" t="e">
        <f t="shared" ca="1" si="168"/>
        <v>#NUM!</v>
      </c>
    </row>
    <row r="161" spans="1:45" x14ac:dyDescent="0.25">
      <c r="A161" s="154"/>
      <c r="B161" s="73">
        <f t="shared" si="144"/>
        <v>-59090.909090909088</v>
      </c>
      <c r="E161" s="148">
        <v>42826</v>
      </c>
      <c r="G161" s="139">
        <v>33</v>
      </c>
      <c r="H161" s="139">
        <v>0</v>
      </c>
      <c r="I161" s="49">
        <f t="shared" si="145"/>
        <v>46522</v>
      </c>
      <c r="J161" s="76">
        <v>1950000</v>
      </c>
      <c r="K161" s="40">
        <f t="shared" si="146"/>
        <v>33</v>
      </c>
      <c r="L161" s="74">
        <f t="shared" si="147"/>
        <v>1950000</v>
      </c>
      <c r="M161" s="76"/>
      <c r="N161" s="76">
        <f t="shared" si="148"/>
        <v>0</v>
      </c>
      <c r="O161" s="142"/>
      <c r="P161" s="142"/>
      <c r="Q161" s="142"/>
      <c r="R161" s="144"/>
      <c r="S161" s="144"/>
      <c r="T161" s="144"/>
      <c r="U161" s="144"/>
      <c r="V161" s="144"/>
      <c r="W161" s="144"/>
      <c r="X161" s="144"/>
      <c r="Y161" s="143"/>
      <c r="Z161" s="143">
        <f t="shared" si="149"/>
        <v>0</v>
      </c>
      <c r="AA161" s="9">
        <f t="shared" si="150"/>
        <v>0.375</v>
      </c>
      <c r="AB161" s="9">
        <f t="shared" si="151"/>
        <v>0</v>
      </c>
      <c r="AC161" s="9">
        <f t="shared" si="152"/>
        <v>0</v>
      </c>
      <c r="AD161" s="9">
        <f t="shared" si="153"/>
        <v>0</v>
      </c>
      <c r="AE161" s="40" t="e">
        <f t="shared" ca="1" si="154"/>
        <v>#NUM!</v>
      </c>
      <c r="AF161" s="40" t="e">
        <f t="shared" ca="1" si="155"/>
        <v>#NUM!</v>
      </c>
      <c r="AG161" s="40" t="e">
        <f t="shared" ca="1" si="156"/>
        <v>#NUM!</v>
      </c>
      <c r="AH161" s="40" t="e">
        <f t="shared" ca="1" si="157"/>
        <v>#NUM!</v>
      </c>
      <c r="AI161" s="40" t="e">
        <f t="shared" ca="1" si="158"/>
        <v>#NUM!</v>
      </c>
      <c r="AJ161" s="40" t="e">
        <f t="shared" ca="1" si="159"/>
        <v>#NUM!</v>
      </c>
      <c r="AK161" s="203" t="e">
        <f t="shared" ca="1" si="160"/>
        <v>#NUM!</v>
      </c>
      <c r="AL161" s="40" t="e">
        <f t="shared" ca="1" si="161"/>
        <v>#NUM!</v>
      </c>
      <c r="AM161" s="40" t="e">
        <f t="shared" ca="1" si="162"/>
        <v>#NUM!</v>
      </c>
      <c r="AN161" s="40" t="e">
        <f t="shared" ca="1" si="163"/>
        <v>#NUM!</v>
      </c>
      <c r="AO161" s="40" t="e">
        <f t="shared" ca="1" si="164"/>
        <v>#NUM!</v>
      </c>
      <c r="AP161" s="40" t="e">
        <f t="shared" ca="1" si="165"/>
        <v>#NUM!</v>
      </c>
      <c r="AQ161" s="40" t="e">
        <f t="shared" ca="1" si="166"/>
        <v>#NUM!</v>
      </c>
      <c r="AR161" s="40" t="e">
        <f t="shared" ca="1" si="167"/>
        <v>#NUM!</v>
      </c>
      <c r="AS161" s="40" t="e">
        <f t="shared" ca="1" si="168"/>
        <v>#NUM!</v>
      </c>
    </row>
    <row r="162" spans="1:45" x14ac:dyDescent="0.25">
      <c r="A162" s="154"/>
      <c r="B162" s="73">
        <f t="shared" si="144"/>
        <v>-59090.909090909088</v>
      </c>
      <c r="E162" s="148">
        <v>42826</v>
      </c>
      <c r="G162" s="139">
        <v>33</v>
      </c>
      <c r="H162" s="139">
        <v>0</v>
      </c>
      <c r="I162" s="49">
        <f t="shared" si="145"/>
        <v>46522</v>
      </c>
      <c r="J162" s="76">
        <v>1950000</v>
      </c>
      <c r="K162" s="40">
        <f t="shared" si="146"/>
        <v>33</v>
      </c>
      <c r="L162" s="74">
        <f t="shared" si="147"/>
        <v>1950000</v>
      </c>
      <c r="M162" s="76"/>
      <c r="N162" s="76">
        <f t="shared" si="148"/>
        <v>0</v>
      </c>
      <c r="O162" s="142"/>
      <c r="P162" s="142"/>
      <c r="Q162" s="142"/>
      <c r="R162" s="144"/>
      <c r="S162" s="144"/>
      <c r="T162" s="144"/>
      <c r="U162" s="144"/>
      <c r="V162" s="144"/>
      <c r="W162" s="144"/>
      <c r="X162" s="144"/>
      <c r="Y162" s="143"/>
      <c r="Z162" s="143">
        <f t="shared" si="149"/>
        <v>0</v>
      </c>
      <c r="AA162" s="9">
        <f t="shared" si="150"/>
        <v>0.375</v>
      </c>
      <c r="AB162" s="9">
        <f t="shared" si="151"/>
        <v>0</v>
      </c>
      <c r="AC162" s="9">
        <f t="shared" si="152"/>
        <v>0</v>
      </c>
      <c r="AD162" s="9">
        <f t="shared" si="153"/>
        <v>0</v>
      </c>
      <c r="AE162" s="40" t="e">
        <f t="shared" ca="1" si="154"/>
        <v>#NUM!</v>
      </c>
      <c r="AF162" s="40" t="e">
        <f t="shared" ca="1" si="155"/>
        <v>#NUM!</v>
      </c>
      <c r="AG162" s="40" t="e">
        <f t="shared" ca="1" si="156"/>
        <v>#NUM!</v>
      </c>
      <c r="AH162" s="40" t="e">
        <f t="shared" ca="1" si="157"/>
        <v>#NUM!</v>
      </c>
      <c r="AI162" s="40" t="e">
        <f t="shared" ca="1" si="158"/>
        <v>#NUM!</v>
      </c>
      <c r="AJ162" s="40" t="e">
        <f t="shared" ca="1" si="159"/>
        <v>#NUM!</v>
      </c>
      <c r="AK162" s="203" t="e">
        <f t="shared" ca="1" si="160"/>
        <v>#NUM!</v>
      </c>
      <c r="AL162" s="40" t="e">
        <f t="shared" ca="1" si="161"/>
        <v>#NUM!</v>
      </c>
      <c r="AM162" s="40" t="e">
        <f t="shared" ca="1" si="162"/>
        <v>#NUM!</v>
      </c>
      <c r="AN162" s="40" t="e">
        <f t="shared" ca="1" si="163"/>
        <v>#NUM!</v>
      </c>
      <c r="AO162" s="40" t="e">
        <f t="shared" ca="1" si="164"/>
        <v>#NUM!</v>
      </c>
      <c r="AP162" s="40" t="e">
        <f t="shared" ca="1" si="165"/>
        <v>#NUM!</v>
      </c>
      <c r="AQ162" s="40" t="e">
        <f t="shared" ca="1" si="166"/>
        <v>#NUM!</v>
      </c>
      <c r="AR162" s="40" t="e">
        <f t="shared" ca="1" si="167"/>
        <v>#NUM!</v>
      </c>
      <c r="AS162" s="40" t="e">
        <f t="shared" ca="1" si="168"/>
        <v>#NUM!</v>
      </c>
    </row>
    <row r="163" spans="1:45" x14ac:dyDescent="0.25">
      <c r="A163" s="154"/>
      <c r="B163" s="73">
        <f t="shared" si="144"/>
        <v>-59090.909090909088</v>
      </c>
      <c r="E163" s="148">
        <v>42826</v>
      </c>
      <c r="G163" s="139">
        <v>33</v>
      </c>
      <c r="H163" s="139">
        <v>0</v>
      </c>
      <c r="I163" s="49">
        <f t="shared" si="145"/>
        <v>46522</v>
      </c>
      <c r="J163" s="76">
        <v>1950000</v>
      </c>
      <c r="K163" s="40">
        <f t="shared" si="146"/>
        <v>33</v>
      </c>
      <c r="L163" s="74">
        <f t="shared" si="147"/>
        <v>1950000</v>
      </c>
      <c r="M163" s="76"/>
      <c r="N163" s="76">
        <f t="shared" si="148"/>
        <v>0</v>
      </c>
      <c r="O163" s="142"/>
      <c r="P163" s="142"/>
      <c r="Q163" s="142"/>
      <c r="R163" s="144"/>
      <c r="S163" s="144"/>
      <c r="T163" s="144"/>
      <c r="U163" s="144"/>
      <c r="V163" s="144"/>
      <c r="W163" s="144"/>
      <c r="X163" s="144"/>
      <c r="Y163" s="143"/>
      <c r="Z163" s="143">
        <f t="shared" si="149"/>
        <v>0</v>
      </c>
      <c r="AA163" s="9">
        <f t="shared" si="150"/>
        <v>0.375</v>
      </c>
      <c r="AB163" s="9">
        <f t="shared" si="151"/>
        <v>0</v>
      </c>
      <c r="AC163" s="9">
        <f t="shared" si="152"/>
        <v>0</v>
      </c>
      <c r="AD163" s="9">
        <f t="shared" si="153"/>
        <v>0</v>
      </c>
      <c r="AE163" s="40" t="e">
        <f t="shared" ca="1" si="154"/>
        <v>#NUM!</v>
      </c>
      <c r="AF163" s="40" t="e">
        <f t="shared" ca="1" si="155"/>
        <v>#NUM!</v>
      </c>
      <c r="AG163" s="40" t="e">
        <f t="shared" ca="1" si="156"/>
        <v>#NUM!</v>
      </c>
      <c r="AH163" s="40" t="e">
        <f t="shared" ca="1" si="157"/>
        <v>#NUM!</v>
      </c>
      <c r="AI163" s="40" t="e">
        <f t="shared" ca="1" si="158"/>
        <v>#NUM!</v>
      </c>
      <c r="AJ163" s="40" t="e">
        <f t="shared" ca="1" si="159"/>
        <v>#NUM!</v>
      </c>
      <c r="AK163" s="203" t="e">
        <f t="shared" ca="1" si="160"/>
        <v>#NUM!</v>
      </c>
      <c r="AL163" s="40" t="e">
        <f t="shared" ca="1" si="161"/>
        <v>#NUM!</v>
      </c>
      <c r="AM163" s="40" t="e">
        <f t="shared" ca="1" si="162"/>
        <v>#NUM!</v>
      </c>
      <c r="AN163" s="40" t="e">
        <f t="shared" ca="1" si="163"/>
        <v>#NUM!</v>
      </c>
      <c r="AO163" s="40" t="e">
        <f t="shared" ca="1" si="164"/>
        <v>#NUM!</v>
      </c>
      <c r="AP163" s="40" t="e">
        <f t="shared" ca="1" si="165"/>
        <v>#NUM!</v>
      </c>
      <c r="AQ163" s="40" t="e">
        <f t="shared" ca="1" si="166"/>
        <v>#NUM!</v>
      </c>
      <c r="AR163" s="40" t="e">
        <f t="shared" ca="1" si="167"/>
        <v>#NUM!</v>
      </c>
      <c r="AS163" s="40" t="e">
        <f t="shared" ca="1" si="168"/>
        <v>#NUM!</v>
      </c>
    </row>
    <row r="164" spans="1:45" x14ac:dyDescent="0.25">
      <c r="A164" s="154"/>
      <c r="B164" s="73">
        <f t="shared" si="144"/>
        <v>-59090.909090909088</v>
      </c>
      <c r="E164" s="148">
        <v>42826</v>
      </c>
      <c r="G164" s="139">
        <v>33</v>
      </c>
      <c r="H164" s="139">
        <v>0</v>
      </c>
      <c r="I164" s="49">
        <f t="shared" si="145"/>
        <v>46522</v>
      </c>
      <c r="J164" s="76">
        <v>1950000</v>
      </c>
      <c r="K164" s="40">
        <f t="shared" si="146"/>
        <v>33</v>
      </c>
      <c r="L164" s="74">
        <f t="shared" si="147"/>
        <v>1950000</v>
      </c>
      <c r="M164" s="76"/>
      <c r="N164" s="76">
        <f t="shared" si="148"/>
        <v>0</v>
      </c>
      <c r="O164" s="142"/>
      <c r="P164" s="142"/>
      <c r="Q164" s="142"/>
      <c r="R164" s="144"/>
      <c r="S164" s="144"/>
      <c r="T164" s="144"/>
      <c r="U164" s="144"/>
      <c r="V164" s="144"/>
      <c r="W164" s="144"/>
      <c r="X164" s="144"/>
      <c r="Y164" s="143"/>
      <c r="Z164" s="143">
        <f t="shared" si="149"/>
        <v>0</v>
      </c>
      <c r="AA164" s="9">
        <f t="shared" si="150"/>
        <v>0.375</v>
      </c>
      <c r="AB164" s="9">
        <f t="shared" si="151"/>
        <v>0</v>
      </c>
      <c r="AC164" s="9">
        <f t="shared" si="152"/>
        <v>0</v>
      </c>
      <c r="AD164" s="9">
        <f t="shared" si="153"/>
        <v>0</v>
      </c>
      <c r="AE164" s="40" t="e">
        <f t="shared" ca="1" si="154"/>
        <v>#NUM!</v>
      </c>
      <c r="AF164" s="40" t="e">
        <f t="shared" ca="1" si="155"/>
        <v>#NUM!</v>
      </c>
      <c r="AG164" s="40" t="e">
        <f t="shared" ca="1" si="156"/>
        <v>#NUM!</v>
      </c>
      <c r="AH164" s="40" t="e">
        <f t="shared" ca="1" si="157"/>
        <v>#NUM!</v>
      </c>
      <c r="AI164" s="40" t="e">
        <f t="shared" ca="1" si="158"/>
        <v>#NUM!</v>
      </c>
      <c r="AJ164" s="40" t="e">
        <f t="shared" ca="1" si="159"/>
        <v>#NUM!</v>
      </c>
      <c r="AK164" s="203" t="e">
        <f t="shared" ca="1" si="160"/>
        <v>#NUM!</v>
      </c>
      <c r="AL164" s="40" t="e">
        <f t="shared" ca="1" si="161"/>
        <v>#NUM!</v>
      </c>
      <c r="AM164" s="40" t="e">
        <f t="shared" ca="1" si="162"/>
        <v>#NUM!</v>
      </c>
      <c r="AN164" s="40" t="e">
        <f t="shared" ca="1" si="163"/>
        <v>#NUM!</v>
      </c>
      <c r="AO164" s="40" t="e">
        <f t="shared" ca="1" si="164"/>
        <v>#NUM!</v>
      </c>
      <c r="AP164" s="40" t="e">
        <f t="shared" ca="1" si="165"/>
        <v>#NUM!</v>
      </c>
      <c r="AQ164" s="40" t="e">
        <f t="shared" ca="1" si="166"/>
        <v>#NUM!</v>
      </c>
      <c r="AR164" s="40" t="e">
        <f t="shared" ca="1" si="167"/>
        <v>#NUM!</v>
      </c>
      <c r="AS164" s="40" t="e">
        <f t="shared" ca="1" si="168"/>
        <v>#NUM!</v>
      </c>
    </row>
    <row r="165" spans="1:45" x14ac:dyDescent="0.25">
      <c r="A165" s="154"/>
      <c r="B165" s="73">
        <f t="shared" si="144"/>
        <v>-59090.909090909088</v>
      </c>
      <c r="E165" s="148">
        <v>42826</v>
      </c>
      <c r="G165" s="139">
        <v>33</v>
      </c>
      <c r="H165" s="139">
        <v>0</v>
      </c>
      <c r="I165" s="49">
        <f t="shared" si="145"/>
        <v>46522</v>
      </c>
      <c r="J165" s="76">
        <v>1950000</v>
      </c>
      <c r="K165" s="40">
        <f t="shared" si="146"/>
        <v>33</v>
      </c>
      <c r="L165" s="74">
        <f t="shared" si="147"/>
        <v>1950000</v>
      </c>
      <c r="M165" s="76"/>
      <c r="N165" s="76">
        <f t="shared" si="148"/>
        <v>0</v>
      </c>
      <c r="O165" s="142"/>
      <c r="P165" s="142"/>
      <c r="Q165" s="142"/>
      <c r="R165" s="144"/>
      <c r="S165" s="144"/>
      <c r="T165" s="144"/>
      <c r="U165" s="144"/>
      <c r="V165" s="144"/>
      <c r="W165" s="144"/>
      <c r="X165" s="144"/>
      <c r="Y165" s="143"/>
      <c r="Z165" s="143">
        <f t="shared" si="149"/>
        <v>0</v>
      </c>
      <c r="AA165" s="9">
        <f t="shared" si="150"/>
        <v>0.375</v>
      </c>
      <c r="AB165" s="9">
        <f t="shared" si="151"/>
        <v>0</v>
      </c>
      <c r="AC165" s="9">
        <f t="shared" si="152"/>
        <v>0</v>
      </c>
      <c r="AD165" s="9">
        <f t="shared" si="153"/>
        <v>0</v>
      </c>
      <c r="AE165" s="40" t="e">
        <f t="shared" ca="1" si="154"/>
        <v>#NUM!</v>
      </c>
      <c r="AF165" s="40" t="e">
        <f t="shared" ca="1" si="155"/>
        <v>#NUM!</v>
      </c>
      <c r="AG165" s="40" t="e">
        <f t="shared" ca="1" si="156"/>
        <v>#NUM!</v>
      </c>
      <c r="AH165" s="40" t="e">
        <f t="shared" ca="1" si="157"/>
        <v>#NUM!</v>
      </c>
      <c r="AI165" s="40" t="e">
        <f t="shared" ca="1" si="158"/>
        <v>#NUM!</v>
      </c>
      <c r="AJ165" s="40" t="e">
        <f t="shared" ca="1" si="159"/>
        <v>#NUM!</v>
      </c>
      <c r="AK165" s="203" t="e">
        <f t="shared" ca="1" si="160"/>
        <v>#NUM!</v>
      </c>
      <c r="AL165" s="40" t="e">
        <f t="shared" ca="1" si="161"/>
        <v>#NUM!</v>
      </c>
      <c r="AM165" s="40" t="e">
        <f t="shared" ca="1" si="162"/>
        <v>#NUM!</v>
      </c>
      <c r="AN165" s="40" t="e">
        <f t="shared" ca="1" si="163"/>
        <v>#NUM!</v>
      </c>
      <c r="AO165" s="40" t="e">
        <f t="shared" ca="1" si="164"/>
        <v>#NUM!</v>
      </c>
      <c r="AP165" s="40" t="e">
        <f t="shared" ca="1" si="165"/>
        <v>#NUM!</v>
      </c>
      <c r="AQ165" s="40" t="e">
        <f t="shared" ca="1" si="166"/>
        <v>#NUM!</v>
      </c>
      <c r="AR165" s="40" t="e">
        <f t="shared" ca="1" si="167"/>
        <v>#NUM!</v>
      </c>
      <c r="AS165" s="40" t="e">
        <f t="shared" ca="1" si="168"/>
        <v>#NUM!</v>
      </c>
    </row>
    <row r="166" spans="1:45" x14ac:dyDescent="0.25">
      <c r="A166" s="154"/>
      <c r="B166" s="73">
        <f t="shared" si="144"/>
        <v>-59090.909090909088</v>
      </c>
      <c r="E166" s="148">
        <v>42826</v>
      </c>
      <c r="G166" s="139">
        <v>33</v>
      </c>
      <c r="H166" s="139">
        <v>0</v>
      </c>
      <c r="I166" s="49">
        <f t="shared" si="145"/>
        <v>46522</v>
      </c>
      <c r="J166" s="76">
        <v>1950000</v>
      </c>
      <c r="K166" s="40">
        <f t="shared" si="146"/>
        <v>33</v>
      </c>
      <c r="L166" s="74">
        <f t="shared" si="147"/>
        <v>1950000</v>
      </c>
      <c r="M166" s="76"/>
      <c r="N166" s="76">
        <f t="shared" si="148"/>
        <v>0</v>
      </c>
      <c r="O166" s="142"/>
      <c r="P166" s="142"/>
      <c r="Q166" s="142"/>
      <c r="R166" s="144"/>
      <c r="S166" s="144"/>
      <c r="T166" s="144"/>
      <c r="U166" s="144"/>
      <c r="V166" s="144"/>
      <c r="W166" s="144"/>
      <c r="X166" s="144"/>
      <c r="Y166" s="143"/>
      <c r="Z166" s="143">
        <f t="shared" si="149"/>
        <v>0</v>
      </c>
      <c r="AA166" s="9">
        <f t="shared" si="150"/>
        <v>0.375</v>
      </c>
      <c r="AB166" s="9">
        <f t="shared" si="151"/>
        <v>0</v>
      </c>
      <c r="AC166" s="9">
        <f t="shared" si="152"/>
        <v>0</v>
      </c>
      <c r="AD166" s="9">
        <f t="shared" si="153"/>
        <v>0</v>
      </c>
      <c r="AE166" s="40" t="e">
        <f t="shared" ca="1" si="154"/>
        <v>#NUM!</v>
      </c>
      <c r="AF166" s="40" t="e">
        <f t="shared" ca="1" si="155"/>
        <v>#NUM!</v>
      </c>
      <c r="AG166" s="40" t="e">
        <f t="shared" ca="1" si="156"/>
        <v>#NUM!</v>
      </c>
      <c r="AH166" s="40" t="e">
        <f t="shared" ca="1" si="157"/>
        <v>#NUM!</v>
      </c>
      <c r="AI166" s="40" t="e">
        <f t="shared" ca="1" si="158"/>
        <v>#NUM!</v>
      </c>
      <c r="AJ166" s="40" t="e">
        <f t="shared" ca="1" si="159"/>
        <v>#NUM!</v>
      </c>
      <c r="AK166" s="203" t="e">
        <f t="shared" ca="1" si="160"/>
        <v>#NUM!</v>
      </c>
      <c r="AL166" s="40" t="e">
        <f t="shared" ca="1" si="161"/>
        <v>#NUM!</v>
      </c>
      <c r="AM166" s="40" t="e">
        <f t="shared" ca="1" si="162"/>
        <v>#NUM!</v>
      </c>
      <c r="AN166" s="40" t="e">
        <f t="shared" ca="1" si="163"/>
        <v>#NUM!</v>
      </c>
      <c r="AO166" s="40" t="e">
        <f t="shared" ca="1" si="164"/>
        <v>#NUM!</v>
      </c>
      <c r="AP166" s="40" t="e">
        <f t="shared" ca="1" si="165"/>
        <v>#NUM!</v>
      </c>
      <c r="AQ166" s="40" t="e">
        <f t="shared" ca="1" si="166"/>
        <v>#NUM!</v>
      </c>
      <c r="AR166" s="40" t="e">
        <f t="shared" ca="1" si="167"/>
        <v>#NUM!</v>
      </c>
      <c r="AS166" s="40" t="e">
        <f t="shared" ca="1" si="168"/>
        <v>#NUM!</v>
      </c>
    </row>
    <row r="167" spans="1:45" x14ac:dyDescent="0.25">
      <c r="A167" s="154"/>
      <c r="B167" s="73">
        <f t="shared" si="144"/>
        <v>-59090.909090909088</v>
      </c>
      <c r="E167" s="148">
        <v>42826</v>
      </c>
      <c r="G167" s="139">
        <v>33</v>
      </c>
      <c r="H167" s="139">
        <v>0</v>
      </c>
      <c r="I167" s="49">
        <f t="shared" si="145"/>
        <v>46522</v>
      </c>
      <c r="J167" s="76">
        <v>1950000</v>
      </c>
      <c r="K167" s="40">
        <f t="shared" si="146"/>
        <v>33</v>
      </c>
      <c r="L167" s="74">
        <f t="shared" si="147"/>
        <v>1950000</v>
      </c>
      <c r="M167" s="76"/>
      <c r="N167" s="76">
        <f t="shared" si="148"/>
        <v>0</v>
      </c>
      <c r="O167" s="142"/>
      <c r="P167" s="142"/>
      <c r="Q167" s="142"/>
      <c r="R167" s="144"/>
      <c r="S167" s="144"/>
      <c r="T167" s="144"/>
      <c r="U167" s="144"/>
      <c r="V167" s="144"/>
      <c r="W167" s="144"/>
      <c r="X167" s="144"/>
      <c r="Y167" s="143"/>
      <c r="Z167" s="143">
        <f t="shared" si="149"/>
        <v>0</v>
      </c>
      <c r="AA167" s="9">
        <f t="shared" si="150"/>
        <v>0.375</v>
      </c>
      <c r="AB167" s="9">
        <f t="shared" si="151"/>
        <v>0</v>
      </c>
      <c r="AC167" s="9">
        <f t="shared" si="152"/>
        <v>0</v>
      </c>
      <c r="AD167" s="9">
        <f t="shared" si="153"/>
        <v>0</v>
      </c>
      <c r="AE167" s="40" t="e">
        <f t="shared" ca="1" si="154"/>
        <v>#NUM!</v>
      </c>
      <c r="AF167" s="40" t="e">
        <f t="shared" ca="1" si="155"/>
        <v>#NUM!</v>
      </c>
      <c r="AG167" s="40" t="e">
        <f t="shared" ca="1" si="156"/>
        <v>#NUM!</v>
      </c>
      <c r="AH167" s="40" t="e">
        <f t="shared" ca="1" si="157"/>
        <v>#NUM!</v>
      </c>
      <c r="AI167" s="40" t="e">
        <f t="shared" ca="1" si="158"/>
        <v>#NUM!</v>
      </c>
      <c r="AJ167" s="40" t="e">
        <f t="shared" ca="1" si="159"/>
        <v>#NUM!</v>
      </c>
      <c r="AK167" s="203" t="e">
        <f t="shared" ca="1" si="160"/>
        <v>#NUM!</v>
      </c>
      <c r="AL167" s="40" t="e">
        <f t="shared" ca="1" si="161"/>
        <v>#NUM!</v>
      </c>
      <c r="AM167" s="40" t="e">
        <f t="shared" ca="1" si="162"/>
        <v>#NUM!</v>
      </c>
      <c r="AN167" s="40" t="e">
        <f t="shared" ca="1" si="163"/>
        <v>#NUM!</v>
      </c>
      <c r="AO167" s="40" t="e">
        <f t="shared" ca="1" si="164"/>
        <v>#NUM!</v>
      </c>
      <c r="AP167" s="40" t="e">
        <f t="shared" ca="1" si="165"/>
        <v>#NUM!</v>
      </c>
      <c r="AQ167" s="40" t="e">
        <f t="shared" ca="1" si="166"/>
        <v>#NUM!</v>
      </c>
      <c r="AR167" s="40" t="e">
        <f t="shared" ca="1" si="167"/>
        <v>#NUM!</v>
      </c>
      <c r="AS167" s="40" t="e">
        <f t="shared" ca="1" si="168"/>
        <v>#NUM!</v>
      </c>
    </row>
    <row r="168" spans="1:45" x14ac:dyDescent="0.25">
      <c r="A168" s="154"/>
      <c r="B168" s="73">
        <f t="shared" si="144"/>
        <v>-59090.909090909088</v>
      </c>
      <c r="E168" s="148">
        <v>42826</v>
      </c>
      <c r="G168" s="139">
        <v>33</v>
      </c>
      <c r="H168" s="139">
        <v>0</v>
      </c>
      <c r="I168" s="49">
        <f t="shared" si="145"/>
        <v>46522</v>
      </c>
      <c r="J168" s="76">
        <v>1950000</v>
      </c>
      <c r="K168" s="40">
        <f t="shared" si="146"/>
        <v>33</v>
      </c>
      <c r="L168" s="74">
        <f t="shared" si="147"/>
        <v>1950000</v>
      </c>
      <c r="M168" s="76"/>
      <c r="N168" s="76">
        <f t="shared" si="148"/>
        <v>0</v>
      </c>
      <c r="O168" s="142"/>
      <c r="P168" s="142"/>
      <c r="Q168" s="142"/>
      <c r="R168" s="144"/>
      <c r="S168" s="144"/>
      <c r="T168" s="144"/>
      <c r="U168" s="144"/>
      <c r="V168" s="144"/>
      <c r="W168" s="144"/>
      <c r="X168" s="144"/>
      <c r="Y168" s="143"/>
      <c r="Z168" s="143">
        <f t="shared" si="149"/>
        <v>0</v>
      </c>
      <c r="AA168" s="9">
        <f t="shared" si="150"/>
        <v>0.375</v>
      </c>
      <c r="AB168" s="9">
        <f t="shared" si="151"/>
        <v>0</v>
      </c>
      <c r="AC168" s="9">
        <f t="shared" si="152"/>
        <v>0</v>
      </c>
      <c r="AD168" s="9">
        <f t="shared" si="153"/>
        <v>0</v>
      </c>
      <c r="AE168" s="40" t="e">
        <f t="shared" ca="1" si="154"/>
        <v>#NUM!</v>
      </c>
      <c r="AF168" s="40" t="e">
        <f t="shared" ca="1" si="155"/>
        <v>#NUM!</v>
      </c>
      <c r="AG168" s="40" t="e">
        <f t="shared" ca="1" si="156"/>
        <v>#NUM!</v>
      </c>
      <c r="AH168" s="40" t="e">
        <f t="shared" ca="1" si="157"/>
        <v>#NUM!</v>
      </c>
      <c r="AI168" s="40" t="e">
        <f t="shared" ca="1" si="158"/>
        <v>#NUM!</v>
      </c>
      <c r="AJ168" s="40" t="e">
        <f t="shared" ca="1" si="159"/>
        <v>#NUM!</v>
      </c>
      <c r="AK168" s="203" t="e">
        <f t="shared" ca="1" si="160"/>
        <v>#NUM!</v>
      </c>
      <c r="AL168" s="40" t="e">
        <f t="shared" ca="1" si="161"/>
        <v>#NUM!</v>
      </c>
      <c r="AM168" s="40" t="e">
        <f t="shared" ca="1" si="162"/>
        <v>#NUM!</v>
      </c>
      <c r="AN168" s="40" t="e">
        <f t="shared" ca="1" si="163"/>
        <v>#NUM!</v>
      </c>
      <c r="AO168" s="40" t="e">
        <f t="shared" ca="1" si="164"/>
        <v>#NUM!</v>
      </c>
      <c r="AP168" s="40" t="e">
        <f t="shared" ca="1" si="165"/>
        <v>#NUM!</v>
      </c>
      <c r="AQ168" s="40" t="e">
        <f t="shared" ca="1" si="166"/>
        <v>#NUM!</v>
      </c>
      <c r="AR168" s="40" t="e">
        <f t="shared" ca="1" si="167"/>
        <v>#NUM!</v>
      </c>
      <c r="AS168" s="40" t="e">
        <f t="shared" ca="1" si="168"/>
        <v>#NUM!</v>
      </c>
    </row>
    <row r="169" spans="1:45" x14ac:dyDescent="0.25">
      <c r="A169" s="154"/>
      <c r="B169" s="73">
        <f t="shared" si="144"/>
        <v>-59090.909090909088</v>
      </c>
      <c r="E169" s="148">
        <v>42826</v>
      </c>
      <c r="G169" s="139">
        <v>33</v>
      </c>
      <c r="H169" s="139">
        <v>0</v>
      </c>
      <c r="I169" s="49">
        <f t="shared" si="145"/>
        <v>46522</v>
      </c>
      <c r="J169" s="76">
        <v>1950000</v>
      </c>
      <c r="K169" s="40">
        <f t="shared" si="146"/>
        <v>33</v>
      </c>
      <c r="L169" s="74">
        <f t="shared" si="147"/>
        <v>1950000</v>
      </c>
      <c r="M169" s="76"/>
      <c r="N169" s="76">
        <f t="shared" si="148"/>
        <v>0</v>
      </c>
      <c r="O169" s="142"/>
      <c r="P169" s="142"/>
      <c r="Q169" s="142"/>
      <c r="R169" s="144"/>
      <c r="S169" s="144"/>
      <c r="T169" s="144"/>
      <c r="U169" s="144"/>
      <c r="V169" s="144"/>
      <c r="W169" s="144"/>
      <c r="X169" s="144"/>
      <c r="Y169" s="143"/>
      <c r="Z169" s="143">
        <f t="shared" si="149"/>
        <v>0</v>
      </c>
      <c r="AA169" s="9">
        <f t="shared" si="150"/>
        <v>0.375</v>
      </c>
      <c r="AB169" s="9">
        <f t="shared" si="151"/>
        <v>0</v>
      </c>
      <c r="AC169" s="9">
        <f t="shared" si="152"/>
        <v>0</v>
      </c>
      <c r="AD169" s="9">
        <f t="shared" si="153"/>
        <v>0</v>
      </c>
      <c r="AE169" s="40" t="e">
        <f t="shared" ca="1" si="154"/>
        <v>#NUM!</v>
      </c>
      <c r="AF169" s="40" t="e">
        <f t="shared" ca="1" si="155"/>
        <v>#NUM!</v>
      </c>
      <c r="AG169" s="40" t="e">
        <f t="shared" ca="1" si="156"/>
        <v>#NUM!</v>
      </c>
      <c r="AH169" s="40" t="e">
        <f t="shared" ca="1" si="157"/>
        <v>#NUM!</v>
      </c>
      <c r="AI169" s="40" t="e">
        <f t="shared" ca="1" si="158"/>
        <v>#NUM!</v>
      </c>
      <c r="AJ169" s="40" t="e">
        <f t="shared" ca="1" si="159"/>
        <v>#NUM!</v>
      </c>
      <c r="AK169" s="203" t="e">
        <f t="shared" ca="1" si="160"/>
        <v>#NUM!</v>
      </c>
      <c r="AL169" s="40" t="e">
        <f t="shared" ca="1" si="161"/>
        <v>#NUM!</v>
      </c>
      <c r="AM169" s="40" t="e">
        <f t="shared" ca="1" si="162"/>
        <v>#NUM!</v>
      </c>
      <c r="AN169" s="40" t="e">
        <f t="shared" ca="1" si="163"/>
        <v>#NUM!</v>
      </c>
      <c r="AO169" s="40" t="e">
        <f t="shared" ca="1" si="164"/>
        <v>#NUM!</v>
      </c>
      <c r="AP169" s="40" t="e">
        <f t="shared" ca="1" si="165"/>
        <v>#NUM!</v>
      </c>
      <c r="AQ169" s="40" t="e">
        <f t="shared" ca="1" si="166"/>
        <v>#NUM!</v>
      </c>
      <c r="AR169" s="40" t="e">
        <f t="shared" ca="1" si="167"/>
        <v>#NUM!</v>
      </c>
      <c r="AS169" s="40" t="e">
        <f t="shared" ca="1" si="168"/>
        <v>#NUM!</v>
      </c>
    </row>
    <row r="170" spans="1:45" x14ac:dyDescent="0.25">
      <c r="A170" s="154"/>
      <c r="B170" s="73">
        <f t="shared" si="144"/>
        <v>-59090.909090909088</v>
      </c>
      <c r="E170" s="148">
        <v>42826</v>
      </c>
      <c r="G170" s="139">
        <v>33</v>
      </c>
      <c r="H170" s="139">
        <v>0</v>
      </c>
      <c r="I170" s="49">
        <f t="shared" si="145"/>
        <v>46522</v>
      </c>
      <c r="J170" s="76">
        <v>1950000</v>
      </c>
      <c r="K170" s="40">
        <f t="shared" si="146"/>
        <v>33</v>
      </c>
      <c r="L170" s="74">
        <f t="shared" si="147"/>
        <v>1950000</v>
      </c>
      <c r="M170" s="76"/>
      <c r="N170" s="76">
        <f t="shared" si="148"/>
        <v>0</v>
      </c>
      <c r="O170" s="142"/>
      <c r="P170" s="142"/>
      <c r="Q170" s="142"/>
      <c r="R170" s="144"/>
      <c r="S170" s="144"/>
      <c r="T170" s="144"/>
      <c r="U170" s="144"/>
      <c r="V170" s="144"/>
      <c r="W170" s="144"/>
      <c r="X170" s="144"/>
      <c r="Y170" s="143"/>
      <c r="Z170" s="143">
        <f t="shared" si="149"/>
        <v>0</v>
      </c>
      <c r="AA170" s="9">
        <f t="shared" si="150"/>
        <v>0.375</v>
      </c>
      <c r="AB170" s="9">
        <f t="shared" si="151"/>
        <v>0</v>
      </c>
      <c r="AC170" s="9">
        <f t="shared" si="152"/>
        <v>0</v>
      </c>
      <c r="AD170" s="9">
        <f t="shared" si="153"/>
        <v>0</v>
      </c>
      <c r="AE170" s="40" t="e">
        <f t="shared" ca="1" si="154"/>
        <v>#NUM!</v>
      </c>
      <c r="AF170" s="40" t="e">
        <f t="shared" ca="1" si="155"/>
        <v>#NUM!</v>
      </c>
      <c r="AG170" s="40" t="e">
        <f t="shared" ca="1" si="156"/>
        <v>#NUM!</v>
      </c>
      <c r="AH170" s="40" t="e">
        <f t="shared" ca="1" si="157"/>
        <v>#NUM!</v>
      </c>
      <c r="AI170" s="40" t="e">
        <f t="shared" ca="1" si="158"/>
        <v>#NUM!</v>
      </c>
      <c r="AJ170" s="40" t="e">
        <f t="shared" ca="1" si="159"/>
        <v>#NUM!</v>
      </c>
      <c r="AK170" s="203" t="e">
        <f t="shared" ca="1" si="160"/>
        <v>#NUM!</v>
      </c>
      <c r="AL170" s="40" t="e">
        <f t="shared" ca="1" si="161"/>
        <v>#NUM!</v>
      </c>
      <c r="AM170" s="40" t="e">
        <f t="shared" ca="1" si="162"/>
        <v>#NUM!</v>
      </c>
      <c r="AN170" s="40" t="e">
        <f t="shared" ca="1" si="163"/>
        <v>#NUM!</v>
      </c>
      <c r="AO170" s="40" t="e">
        <f t="shared" ca="1" si="164"/>
        <v>#NUM!</v>
      </c>
      <c r="AP170" s="40" t="e">
        <f t="shared" ca="1" si="165"/>
        <v>#NUM!</v>
      </c>
      <c r="AQ170" s="40" t="e">
        <f t="shared" ca="1" si="166"/>
        <v>#NUM!</v>
      </c>
      <c r="AR170" s="40" t="e">
        <f t="shared" ca="1" si="167"/>
        <v>#NUM!</v>
      </c>
      <c r="AS170" s="40" t="e">
        <f t="shared" ca="1" si="168"/>
        <v>#NUM!</v>
      </c>
    </row>
    <row r="171" spans="1:45" x14ac:dyDescent="0.25">
      <c r="A171" s="154"/>
      <c r="B171" s="73">
        <f t="shared" si="144"/>
        <v>-59090.909090909088</v>
      </c>
      <c r="E171" s="148">
        <v>42826</v>
      </c>
      <c r="G171" s="139">
        <v>33</v>
      </c>
      <c r="H171" s="139">
        <v>0</v>
      </c>
      <c r="I171" s="49">
        <f t="shared" si="145"/>
        <v>46522</v>
      </c>
      <c r="J171" s="76">
        <v>1950000</v>
      </c>
      <c r="K171" s="40">
        <f t="shared" si="146"/>
        <v>33</v>
      </c>
      <c r="L171" s="74">
        <f t="shared" si="147"/>
        <v>1950000</v>
      </c>
      <c r="M171" s="76"/>
      <c r="N171" s="76">
        <f t="shared" si="148"/>
        <v>0</v>
      </c>
      <c r="O171" s="142"/>
      <c r="P171" s="142"/>
      <c r="Q171" s="142"/>
      <c r="R171" s="144"/>
      <c r="S171" s="144"/>
      <c r="T171" s="144"/>
      <c r="U171" s="144"/>
      <c r="V171" s="144"/>
      <c r="W171" s="144"/>
      <c r="X171" s="144"/>
      <c r="Y171" s="143"/>
      <c r="Z171" s="143">
        <f t="shared" si="149"/>
        <v>0</v>
      </c>
      <c r="AA171" s="9">
        <f t="shared" si="150"/>
        <v>0.375</v>
      </c>
      <c r="AB171" s="9">
        <f t="shared" si="151"/>
        <v>0</v>
      </c>
      <c r="AC171" s="9">
        <f t="shared" si="152"/>
        <v>0</v>
      </c>
      <c r="AD171" s="9">
        <f t="shared" si="153"/>
        <v>0</v>
      </c>
      <c r="AE171" s="40" t="e">
        <f t="shared" ca="1" si="154"/>
        <v>#NUM!</v>
      </c>
      <c r="AF171" s="40" t="e">
        <f t="shared" ca="1" si="155"/>
        <v>#NUM!</v>
      </c>
      <c r="AG171" s="40" t="e">
        <f t="shared" ca="1" si="156"/>
        <v>#NUM!</v>
      </c>
      <c r="AH171" s="40" t="e">
        <f t="shared" ca="1" si="157"/>
        <v>#NUM!</v>
      </c>
      <c r="AI171" s="40" t="e">
        <f t="shared" ca="1" si="158"/>
        <v>#NUM!</v>
      </c>
      <c r="AJ171" s="40" t="e">
        <f t="shared" ca="1" si="159"/>
        <v>#NUM!</v>
      </c>
      <c r="AK171" s="203" t="e">
        <f t="shared" ca="1" si="160"/>
        <v>#NUM!</v>
      </c>
      <c r="AL171" s="40" t="e">
        <f t="shared" ca="1" si="161"/>
        <v>#NUM!</v>
      </c>
      <c r="AM171" s="40" t="e">
        <f t="shared" ca="1" si="162"/>
        <v>#NUM!</v>
      </c>
      <c r="AN171" s="40" t="e">
        <f t="shared" ca="1" si="163"/>
        <v>#NUM!</v>
      </c>
      <c r="AO171" s="40" t="e">
        <f t="shared" ca="1" si="164"/>
        <v>#NUM!</v>
      </c>
      <c r="AP171" s="40" t="e">
        <f t="shared" ca="1" si="165"/>
        <v>#NUM!</v>
      </c>
      <c r="AQ171" s="40" t="e">
        <f t="shared" ca="1" si="166"/>
        <v>#NUM!</v>
      </c>
      <c r="AR171" s="40" t="e">
        <f t="shared" ca="1" si="167"/>
        <v>#NUM!</v>
      </c>
      <c r="AS171" s="40" t="e">
        <f t="shared" ca="1" si="168"/>
        <v>#NUM!</v>
      </c>
    </row>
    <row r="172" spans="1:45" x14ac:dyDescent="0.25">
      <c r="A172" s="154"/>
      <c r="B172" s="73">
        <f t="shared" si="144"/>
        <v>-59090.909090909088</v>
      </c>
      <c r="E172" s="148">
        <v>42826</v>
      </c>
      <c r="G172" s="139">
        <v>33</v>
      </c>
      <c r="H172" s="139">
        <v>0</v>
      </c>
      <c r="I172" s="49">
        <f t="shared" si="145"/>
        <v>46522</v>
      </c>
      <c r="J172" s="76">
        <v>1950000</v>
      </c>
      <c r="K172" s="40">
        <f t="shared" si="146"/>
        <v>33</v>
      </c>
      <c r="L172" s="74">
        <f t="shared" si="147"/>
        <v>1950000</v>
      </c>
      <c r="M172" s="76"/>
      <c r="N172" s="76">
        <f t="shared" si="148"/>
        <v>0</v>
      </c>
      <c r="O172" s="142"/>
      <c r="P172" s="142"/>
      <c r="Q172" s="142"/>
      <c r="R172" s="144"/>
      <c r="S172" s="144"/>
      <c r="T172" s="144"/>
      <c r="U172" s="144"/>
      <c r="V172" s="144"/>
      <c r="W172" s="144"/>
      <c r="X172" s="144"/>
      <c r="Y172" s="143"/>
      <c r="Z172" s="143">
        <f t="shared" si="149"/>
        <v>0</v>
      </c>
      <c r="AA172" s="9">
        <f t="shared" si="150"/>
        <v>0.375</v>
      </c>
      <c r="AB172" s="9">
        <f t="shared" si="151"/>
        <v>0</v>
      </c>
      <c r="AC172" s="9">
        <f t="shared" si="152"/>
        <v>0</v>
      </c>
      <c r="AD172" s="9">
        <f t="shared" si="153"/>
        <v>0</v>
      </c>
      <c r="AE172" s="40" t="e">
        <f t="shared" ca="1" si="154"/>
        <v>#NUM!</v>
      </c>
      <c r="AF172" s="40" t="e">
        <f t="shared" ca="1" si="155"/>
        <v>#NUM!</v>
      </c>
      <c r="AG172" s="40" t="e">
        <f t="shared" ca="1" si="156"/>
        <v>#NUM!</v>
      </c>
      <c r="AH172" s="40" t="e">
        <f t="shared" ca="1" si="157"/>
        <v>#NUM!</v>
      </c>
      <c r="AI172" s="40" t="e">
        <f t="shared" ca="1" si="158"/>
        <v>#NUM!</v>
      </c>
      <c r="AJ172" s="40" t="e">
        <f t="shared" ca="1" si="159"/>
        <v>#NUM!</v>
      </c>
      <c r="AK172" s="203" t="e">
        <f t="shared" ca="1" si="160"/>
        <v>#NUM!</v>
      </c>
      <c r="AL172" s="40" t="e">
        <f t="shared" ca="1" si="161"/>
        <v>#NUM!</v>
      </c>
      <c r="AM172" s="40" t="e">
        <f t="shared" ca="1" si="162"/>
        <v>#NUM!</v>
      </c>
      <c r="AN172" s="40" t="e">
        <f t="shared" ca="1" si="163"/>
        <v>#NUM!</v>
      </c>
      <c r="AO172" s="40" t="e">
        <f t="shared" ca="1" si="164"/>
        <v>#NUM!</v>
      </c>
      <c r="AP172" s="40" t="e">
        <f t="shared" ca="1" si="165"/>
        <v>#NUM!</v>
      </c>
      <c r="AQ172" s="40" t="e">
        <f t="shared" ca="1" si="166"/>
        <v>#NUM!</v>
      </c>
      <c r="AR172" s="40" t="e">
        <f t="shared" ca="1" si="167"/>
        <v>#NUM!</v>
      </c>
      <c r="AS172" s="40" t="e">
        <f t="shared" ca="1" si="168"/>
        <v>#NUM!</v>
      </c>
    </row>
    <row r="173" spans="1:45" x14ac:dyDescent="0.25">
      <c r="A173" s="154"/>
      <c r="B173" s="73">
        <f t="shared" si="144"/>
        <v>-59090.909090909088</v>
      </c>
      <c r="E173" s="148">
        <v>42826</v>
      </c>
      <c r="G173" s="139">
        <v>33</v>
      </c>
      <c r="H173" s="139">
        <v>0</v>
      </c>
      <c r="I173" s="49">
        <f t="shared" si="145"/>
        <v>46522</v>
      </c>
      <c r="J173" s="76">
        <v>1950000</v>
      </c>
      <c r="K173" s="40">
        <f t="shared" si="146"/>
        <v>33</v>
      </c>
      <c r="L173" s="74">
        <f t="shared" si="147"/>
        <v>1950000</v>
      </c>
      <c r="M173" s="76"/>
      <c r="N173" s="76">
        <f t="shared" si="148"/>
        <v>0</v>
      </c>
      <c r="O173" s="142"/>
      <c r="P173" s="142"/>
      <c r="Q173" s="142"/>
      <c r="R173" s="144"/>
      <c r="S173" s="144"/>
      <c r="T173" s="144"/>
      <c r="U173" s="144"/>
      <c r="V173" s="144"/>
      <c r="W173" s="144"/>
      <c r="X173" s="144"/>
      <c r="Y173" s="143"/>
      <c r="Z173" s="143">
        <f t="shared" si="149"/>
        <v>0</v>
      </c>
      <c r="AA173" s="9">
        <f t="shared" si="150"/>
        <v>0.375</v>
      </c>
      <c r="AB173" s="9">
        <f t="shared" si="151"/>
        <v>0</v>
      </c>
      <c r="AC173" s="9">
        <f t="shared" si="152"/>
        <v>0</v>
      </c>
      <c r="AD173" s="9">
        <f t="shared" si="153"/>
        <v>0</v>
      </c>
      <c r="AE173" s="40" t="e">
        <f t="shared" ca="1" si="154"/>
        <v>#NUM!</v>
      </c>
      <c r="AF173" s="40" t="e">
        <f t="shared" ca="1" si="155"/>
        <v>#NUM!</v>
      </c>
      <c r="AG173" s="40" t="e">
        <f t="shared" ca="1" si="156"/>
        <v>#NUM!</v>
      </c>
      <c r="AH173" s="40" t="e">
        <f t="shared" ca="1" si="157"/>
        <v>#NUM!</v>
      </c>
      <c r="AI173" s="40" t="e">
        <f t="shared" ca="1" si="158"/>
        <v>#NUM!</v>
      </c>
      <c r="AJ173" s="40" t="e">
        <f t="shared" ca="1" si="159"/>
        <v>#NUM!</v>
      </c>
      <c r="AK173" s="203" t="e">
        <f t="shared" ca="1" si="160"/>
        <v>#NUM!</v>
      </c>
      <c r="AL173" s="40" t="e">
        <f t="shared" ca="1" si="161"/>
        <v>#NUM!</v>
      </c>
      <c r="AM173" s="40" t="e">
        <f t="shared" ca="1" si="162"/>
        <v>#NUM!</v>
      </c>
      <c r="AN173" s="40" t="e">
        <f t="shared" ca="1" si="163"/>
        <v>#NUM!</v>
      </c>
      <c r="AO173" s="40" t="e">
        <f t="shared" ca="1" si="164"/>
        <v>#NUM!</v>
      </c>
      <c r="AP173" s="40" t="e">
        <f t="shared" ca="1" si="165"/>
        <v>#NUM!</v>
      </c>
      <c r="AQ173" s="40" t="e">
        <f t="shared" ca="1" si="166"/>
        <v>#NUM!</v>
      </c>
      <c r="AR173" s="40" t="e">
        <f t="shared" ca="1" si="167"/>
        <v>#NUM!</v>
      </c>
      <c r="AS173" s="40" t="e">
        <f t="shared" ca="1" si="168"/>
        <v>#NUM!</v>
      </c>
    </row>
    <row r="174" spans="1:45" x14ac:dyDescent="0.25">
      <c r="A174" s="154"/>
      <c r="B174" s="73">
        <f t="shared" si="144"/>
        <v>-59090.909090909088</v>
      </c>
      <c r="E174" s="148">
        <v>42826</v>
      </c>
      <c r="G174" s="139">
        <v>33</v>
      </c>
      <c r="H174" s="139">
        <v>0</v>
      </c>
      <c r="I174" s="49">
        <f t="shared" si="145"/>
        <v>46522</v>
      </c>
      <c r="J174" s="76">
        <v>1950000</v>
      </c>
      <c r="K174" s="40">
        <f t="shared" si="146"/>
        <v>33</v>
      </c>
      <c r="L174" s="74">
        <f t="shared" si="147"/>
        <v>1950000</v>
      </c>
      <c r="M174" s="76"/>
      <c r="N174" s="76">
        <f t="shared" si="148"/>
        <v>0</v>
      </c>
      <c r="O174" s="142"/>
      <c r="P174" s="142"/>
      <c r="Q174" s="142"/>
      <c r="R174" s="144"/>
      <c r="S174" s="144"/>
      <c r="T174" s="144"/>
      <c r="U174" s="144"/>
      <c r="V174" s="144"/>
      <c r="W174" s="144"/>
      <c r="X174" s="144"/>
      <c r="Y174" s="143"/>
      <c r="Z174" s="143">
        <f t="shared" si="149"/>
        <v>0</v>
      </c>
      <c r="AA174" s="9">
        <f t="shared" si="150"/>
        <v>0.375</v>
      </c>
      <c r="AB174" s="9">
        <f t="shared" si="151"/>
        <v>0</v>
      </c>
      <c r="AC174" s="9">
        <f t="shared" si="152"/>
        <v>0</v>
      </c>
      <c r="AD174" s="9">
        <f t="shared" si="153"/>
        <v>0</v>
      </c>
      <c r="AE174" s="40" t="e">
        <f t="shared" ca="1" si="154"/>
        <v>#NUM!</v>
      </c>
      <c r="AF174" s="40" t="e">
        <f t="shared" ca="1" si="155"/>
        <v>#NUM!</v>
      </c>
      <c r="AG174" s="40" t="e">
        <f t="shared" ca="1" si="156"/>
        <v>#NUM!</v>
      </c>
      <c r="AH174" s="40" t="e">
        <f t="shared" ca="1" si="157"/>
        <v>#NUM!</v>
      </c>
      <c r="AI174" s="40" t="e">
        <f t="shared" ca="1" si="158"/>
        <v>#NUM!</v>
      </c>
      <c r="AJ174" s="40" t="e">
        <f t="shared" ca="1" si="159"/>
        <v>#NUM!</v>
      </c>
      <c r="AK174" s="203" t="e">
        <f t="shared" ca="1" si="160"/>
        <v>#NUM!</v>
      </c>
      <c r="AL174" s="40" t="e">
        <f t="shared" ca="1" si="161"/>
        <v>#NUM!</v>
      </c>
      <c r="AM174" s="40" t="e">
        <f t="shared" ca="1" si="162"/>
        <v>#NUM!</v>
      </c>
      <c r="AN174" s="40" t="e">
        <f t="shared" ca="1" si="163"/>
        <v>#NUM!</v>
      </c>
      <c r="AO174" s="40" t="e">
        <f t="shared" ca="1" si="164"/>
        <v>#NUM!</v>
      </c>
      <c r="AP174" s="40" t="e">
        <f t="shared" ca="1" si="165"/>
        <v>#NUM!</v>
      </c>
      <c r="AQ174" s="40" t="e">
        <f t="shared" ca="1" si="166"/>
        <v>#NUM!</v>
      </c>
      <c r="AR174" s="40" t="e">
        <f t="shared" ca="1" si="167"/>
        <v>#NUM!</v>
      </c>
      <c r="AS174" s="40" t="e">
        <f t="shared" ca="1" si="168"/>
        <v>#NUM!</v>
      </c>
    </row>
    <row r="175" spans="1:45" x14ac:dyDescent="0.25">
      <c r="A175" s="154"/>
      <c r="B175" s="73">
        <f t="shared" si="144"/>
        <v>-59090.909090909088</v>
      </c>
      <c r="E175" s="148">
        <v>42826</v>
      </c>
      <c r="G175" s="139">
        <v>33</v>
      </c>
      <c r="H175" s="139">
        <v>0</v>
      </c>
      <c r="I175" s="49">
        <f t="shared" si="145"/>
        <v>46522</v>
      </c>
      <c r="J175" s="76">
        <v>1950000</v>
      </c>
      <c r="K175" s="40">
        <f t="shared" si="146"/>
        <v>33</v>
      </c>
      <c r="L175" s="74">
        <f t="shared" si="147"/>
        <v>1950000</v>
      </c>
      <c r="M175" s="76"/>
      <c r="N175" s="76">
        <f t="shared" si="148"/>
        <v>0</v>
      </c>
      <c r="O175" s="142"/>
      <c r="P175" s="142"/>
      <c r="Q175" s="142"/>
      <c r="R175" s="144"/>
      <c r="S175" s="144"/>
      <c r="T175" s="144"/>
      <c r="U175" s="144"/>
      <c r="V175" s="144"/>
      <c r="W175" s="144"/>
      <c r="X175" s="144"/>
      <c r="Y175" s="143"/>
      <c r="Z175" s="143">
        <f t="shared" si="149"/>
        <v>0</v>
      </c>
      <c r="AA175" s="9">
        <f t="shared" si="150"/>
        <v>0.375</v>
      </c>
      <c r="AB175" s="9">
        <f t="shared" si="151"/>
        <v>0</v>
      </c>
      <c r="AC175" s="9">
        <f t="shared" si="152"/>
        <v>0</v>
      </c>
      <c r="AD175" s="9">
        <f t="shared" si="153"/>
        <v>0</v>
      </c>
      <c r="AE175" s="40" t="e">
        <f t="shared" ca="1" si="154"/>
        <v>#NUM!</v>
      </c>
      <c r="AF175" s="40" t="e">
        <f t="shared" ca="1" si="155"/>
        <v>#NUM!</v>
      </c>
      <c r="AG175" s="40" t="e">
        <f t="shared" ca="1" si="156"/>
        <v>#NUM!</v>
      </c>
      <c r="AH175" s="40" t="e">
        <f t="shared" ca="1" si="157"/>
        <v>#NUM!</v>
      </c>
      <c r="AI175" s="40" t="e">
        <f t="shared" ca="1" si="158"/>
        <v>#NUM!</v>
      </c>
      <c r="AJ175" s="40" t="e">
        <f t="shared" ca="1" si="159"/>
        <v>#NUM!</v>
      </c>
      <c r="AK175" s="203" t="e">
        <f t="shared" ca="1" si="160"/>
        <v>#NUM!</v>
      </c>
      <c r="AL175" s="40" t="e">
        <f t="shared" ca="1" si="161"/>
        <v>#NUM!</v>
      </c>
      <c r="AM175" s="40" t="e">
        <f t="shared" ca="1" si="162"/>
        <v>#NUM!</v>
      </c>
      <c r="AN175" s="40" t="e">
        <f t="shared" ca="1" si="163"/>
        <v>#NUM!</v>
      </c>
      <c r="AO175" s="40" t="e">
        <f t="shared" ca="1" si="164"/>
        <v>#NUM!</v>
      </c>
      <c r="AP175" s="40" t="e">
        <f t="shared" ca="1" si="165"/>
        <v>#NUM!</v>
      </c>
      <c r="AQ175" s="40" t="e">
        <f t="shared" ca="1" si="166"/>
        <v>#NUM!</v>
      </c>
      <c r="AR175" s="40" t="e">
        <f t="shared" ca="1" si="167"/>
        <v>#NUM!</v>
      </c>
      <c r="AS175" s="40" t="e">
        <f t="shared" ca="1" si="168"/>
        <v>#NUM!</v>
      </c>
    </row>
    <row r="176" spans="1:45" x14ac:dyDescent="0.25">
      <c r="A176" s="154"/>
      <c r="B176" s="73">
        <f t="shared" si="144"/>
        <v>-59090.909090909088</v>
      </c>
      <c r="E176" s="148">
        <v>42826</v>
      </c>
      <c r="G176" s="139">
        <v>33</v>
      </c>
      <c r="H176" s="139">
        <v>0</v>
      </c>
      <c r="I176" s="49">
        <f t="shared" si="145"/>
        <v>46522</v>
      </c>
      <c r="J176" s="76">
        <v>1950000</v>
      </c>
      <c r="K176" s="40">
        <f t="shared" si="146"/>
        <v>33</v>
      </c>
      <c r="L176" s="74">
        <f t="shared" si="147"/>
        <v>1950000</v>
      </c>
      <c r="M176" s="76"/>
      <c r="N176" s="76">
        <f t="shared" si="148"/>
        <v>0</v>
      </c>
      <c r="O176" s="142"/>
      <c r="P176" s="142"/>
      <c r="Q176" s="142"/>
      <c r="R176" s="144"/>
      <c r="S176" s="144"/>
      <c r="T176" s="144"/>
      <c r="U176" s="144"/>
      <c r="V176" s="144"/>
      <c r="W176" s="144"/>
      <c r="X176" s="144"/>
      <c r="Y176" s="143"/>
      <c r="Z176" s="143">
        <f t="shared" si="149"/>
        <v>0</v>
      </c>
      <c r="AA176" s="9">
        <f t="shared" si="150"/>
        <v>0.375</v>
      </c>
      <c r="AB176" s="9">
        <f t="shared" si="151"/>
        <v>0</v>
      </c>
      <c r="AC176" s="9">
        <f t="shared" si="152"/>
        <v>0</v>
      </c>
      <c r="AD176" s="9">
        <f t="shared" si="153"/>
        <v>0</v>
      </c>
      <c r="AE176" s="40" t="e">
        <f t="shared" ca="1" si="154"/>
        <v>#NUM!</v>
      </c>
      <c r="AF176" s="40" t="e">
        <f t="shared" ca="1" si="155"/>
        <v>#NUM!</v>
      </c>
      <c r="AG176" s="40" t="e">
        <f t="shared" ca="1" si="156"/>
        <v>#NUM!</v>
      </c>
      <c r="AH176" s="40" t="e">
        <f t="shared" ca="1" si="157"/>
        <v>#NUM!</v>
      </c>
      <c r="AI176" s="40" t="e">
        <f t="shared" ca="1" si="158"/>
        <v>#NUM!</v>
      </c>
      <c r="AJ176" s="40" t="e">
        <f t="shared" ca="1" si="159"/>
        <v>#NUM!</v>
      </c>
      <c r="AK176" s="203" t="e">
        <f t="shared" ca="1" si="160"/>
        <v>#NUM!</v>
      </c>
      <c r="AL176" s="40" t="e">
        <f t="shared" ca="1" si="161"/>
        <v>#NUM!</v>
      </c>
      <c r="AM176" s="40" t="e">
        <f t="shared" ca="1" si="162"/>
        <v>#NUM!</v>
      </c>
      <c r="AN176" s="40" t="e">
        <f t="shared" ca="1" si="163"/>
        <v>#NUM!</v>
      </c>
      <c r="AO176" s="40" t="e">
        <f t="shared" ca="1" si="164"/>
        <v>#NUM!</v>
      </c>
      <c r="AP176" s="40" t="e">
        <f t="shared" ca="1" si="165"/>
        <v>#NUM!</v>
      </c>
      <c r="AQ176" s="40" t="e">
        <f t="shared" ca="1" si="166"/>
        <v>#NUM!</v>
      </c>
      <c r="AR176" s="40" t="e">
        <f t="shared" ca="1" si="167"/>
        <v>#NUM!</v>
      </c>
      <c r="AS176" s="40" t="e">
        <f t="shared" ca="1" si="168"/>
        <v>#NUM!</v>
      </c>
    </row>
    <row r="177" spans="1:45" x14ac:dyDescent="0.25">
      <c r="A177" s="154"/>
      <c r="B177" s="73">
        <f t="shared" si="144"/>
        <v>-59090.909090909088</v>
      </c>
      <c r="E177" s="148">
        <v>42826</v>
      </c>
      <c r="G177" s="139">
        <v>33</v>
      </c>
      <c r="H177" s="139">
        <v>0</v>
      </c>
      <c r="I177" s="49">
        <f t="shared" si="145"/>
        <v>46522</v>
      </c>
      <c r="J177" s="76">
        <v>1950000</v>
      </c>
      <c r="K177" s="40">
        <f t="shared" si="146"/>
        <v>33</v>
      </c>
      <c r="L177" s="74">
        <f t="shared" si="147"/>
        <v>1950000</v>
      </c>
      <c r="M177" s="76"/>
      <c r="N177" s="76">
        <f t="shared" si="148"/>
        <v>0</v>
      </c>
      <c r="O177" s="142"/>
      <c r="P177" s="142"/>
      <c r="Q177" s="142"/>
      <c r="R177" s="144"/>
      <c r="S177" s="144"/>
      <c r="T177" s="144"/>
      <c r="U177" s="144"/>
      <c r="V177" s="144"/>
      <c r="W177" s="144"/>
      <c r="X177" s="144"/>
      <c r="Y177" s="143"/>
      <c r="Z177" s="143">
        <f t="shared" si="149"/>
        <v>0</v>
      </c>
      <c r="AA177" s="9">
        <f t="shared" si="150"/>
        <v>0.375</v>
      </c>
      <c r="AB177" s="9">
        <f t="shared" si="151"/>
        <v>0</v>
      </c>
      <c r="AC177" s="9">
        <f t="shared" si="152"/>
        <v>0</v>
      </c>
      <c r="AD177" s="9">
        <f t="shared" si="153"/>
        <v>0</v>
      </c>
      <c r="AE177" s="40" t="e">
        <f t="shared" ca="1" si="154"/>
        <v>#NUM!</v>
      </c>
      <c r="AF177" s="40" t="e">
        <f t="shared" ca="1" si="155"/>
        <v>#NUM!</v>
      </c>
      <c r="AG177" s="40" t="e">
        <f t="shared" ca="1" si="156"/>
        <v>#NUM!</v>
      </c>
      <c r="AH177" s="40" t="e">
        <f t="shared" ca="1" si="157"/>
        <v>#NUM!</v>
      </c>
      <c r="AI177" s="40" t="e">
        <f t="shared" ca="1" si="158"/>
        <v>#NUM!</v>
      </c>
      <c r="AJ177" s="40" t="e">
        <f t="shared" ca="1" si="159"/>
        <v>#NUM!</v>
      </c>
      <c r="AK177" s="203" t="e">
        <f t="shared" ca="1" si="160"/>
        <v>#NUM!</v>
      </c>
      <c r="AL177" s="40" t="e">
        <f t="shared" ca="1" si="161"/>
        <v>#NUM!</v>
      </c>
      <c r="AM177" s="40" t="e">
        <f t="shared" ca="1" si="162"/>
        <v>#NUM!</v>
      </c>
      <c r="AN177" s="40" t="e">
        <f t="shared" ca="1" si="163"/>
        <v>#NUM!</v>
      </c>
      <c r="AO177" s="40" t="e">
        <f t="shared" ca="1" si="164"/>
        <v>#NUM!</v>
      </c>
      <c r="AP177" s="40" t="e">
        <f t="shared" ca="1" si="165"/>
        <v>#NUM!</v>
      </c>
      <c r="AQ177" s="40" t="e">
        <f t="shared" ca="1" si="166"/>
        <v>#NUM!</v>
      </c>
      <c r="AR177" s="40" t="e">
        <f t="shared" ca="1" si="167"/>
        <v>#NUM!</v>
      </c>
      <c r="AS177" s="40" t="e">
        <f t="shared" ca="1" si="168"/>
        <v>#NUM!</v>
      </c>
    </row>
    <row r="178" spans="1:45" x14ac:dyDescent="0.25">
      <c r="A178" s="154"/>
      <c r="B178" s="73">
        <f t="shared" si="144"/>
        <v>-59090.909090909088</v>
      </c>
      <c r="E178" s="148">
        <v>42826</v>
      </c>
      <c r="G178" s="139">
        <v>33</v>
      </c>
      <c r="H178" s="139">
        <v>0</v>
      </c>
      <c r="I178" s="49">
        <f t="shared" si="145"/>
        <v>46522</v>
      </c>
      <c r="J178" s="76">
        <v>1950000</v>
      </c>
      <c r="K178" s="40">
        <f t="shared" si="146"/>
        <v>33</v>
      </c>
      <c r="L178" s="74">
        <f t="shared" si="147"/>
        <v>1950000</v>
      </c>
      <c r="M178" s="76"/>
      <c r="N178" s="76">
        <f t="shared" si="148"/>
        <v>0</v>
      </c>
      <c r="O178" s="142"/>
      <c r="P178" s="142"/>
      <c r="Q178" s="142"/>
      <c r="R178" s="144"/>
      <c r="S178" s="144"/>
      <c r="T178" s="144"/>
      <c r="U178" s="144"/>
      <c r="V178" s="144"/>
      <c r="W178" s="144"/>
      <c r="X178" s="144"/>
      <c r="Y178" s="143"/>
      <c r="Z178" s="143">
        <f t="shared" si="149"/>
        <v>0</v>
      </c>
      <c r="AA178" s="9">
        <f t="shared" si="150"/>
        <v>0.375</v>
      </c>
      <c r="AB178" s="9">
        <f t="shared" si="151"/>
        <v>0</v>
      </c>
      <c r="AC178" s="9">
        <f t="shared" si="152"/>
        <v>0</v>
      </c>
      <c r="AD178" s="9">
        <f t="shared" si="153"/>
        <v>0</v>
      </c>
      <c r="AE178" s="40" t="e">
        <f t="shared" ca="1" si="154"/>
        <v>#NUM!</v>
      </c>
      <c r="AF178" s="40" t="e">
        <f t="shared" ca="1" si="155"/>
        <v>#NUM!</v>
      </c>
      <c r="AG178" s="40" t="e">
        <f t="shared" ca="1" si="156"/>
        <v>#NUM!</v>
      </c>
      <c r="AH178" s="40" t="e">
        <f t="shared" ca="1" si="157"/>
        <v>#NUM!</v>
      </c>
      <c r="AI178" s="40" t="e">
        <f t="shared" ca="1" si="158"/>
        <v>#NUM!</v>
      </c>
      <c r="AJ178" s="40" t="e">
        <f t="shared" ca="1" si="159"/>
        <v>#NUM!</v>
      </c>
      <c r="AK178" s="203" t="e">
        <f t="shared" ca="1" si="160"/>
        <v>#NUM!</v>
      </c>
      <c r="AL178" s="40" t="e">
        <f t="shared" ca="1" si="161"/>
        <v>#NUM!</v>
      </c>
      <c r="AM178" s="40" t="e">
        <f t="shared" ca="1" si="162"/>
        <v>#NUM!</v>
      </c>
      <c r="AN178" s="40" t="e">
        <f t="shared" ca="1" si="163"/>
        <v>#NUM!</v>
      </c>
      <c r="AO178" s="40" t="e">
        <f t="shared" ca="1" si="164"/>
        <v>#NUM!</v>
      </c>
      <c r="AP178" s="40" t="e">
        <f t="shared" ca="1" si="165"/>
        <v>#NUM!</v>
      </c>
      <c r="AQ178" s="40" t="e">
        <f t="shared" ca="1" si="166"/>
        <v>#NUM!</v>
      </c>
      <c r="AR178" s="40" t="e">
        <f t="shared" ca="1" si="167"/>
        <v>#NUM!</v>
      </c>
      <c r="AS178" s="40" t="e">
        <f t="shared" ca="1" si="168"/>
        <v>#NUM!</v>
      </c>
    </row>
    <row r="179" spans="1:45" x14ac:dyDescent="0.25">
      <c r="A179" s="154"/>
      <c r="B179" s="73">
        <f t="shared" si="144"/>
        <v>-59090.909090909088</v>
      </c>
      <c r="E179" s="148">
        <v>42826</v>
      </c>
      <c r="G179" s="139">
        <v>33</v>
      </c>
      <c r="H179" s="139">
        <v>0</v>
      </c>
      <c r="I179" s="49">
        <f t="shared" si="145"/>
        <v>46522</v>
      </c>
      <c r="J179" s="76">
        <v>1950000</v>
      </c>
      <c r="K179" s="40">
        <f t="shared" si="146"/>
        <v>33</v>
      </c>
      <c r="L179" s="74">
        <f t="shared" si="147"/>
        <v>1950000</v>
      </c>
      <c r="M179" s="76"/>
      <c r="N179" s="76">
        <f t="shared" si="148"/>
        <v>0</v>
      </c>
      <c r="O179" s="142"/>
      <c r="P179" s="142"/>
      <c r="Q179" s="142"/>
      <c r="R179" s="144"/>
      <c r="S179" s="144"/>
      <c r="T179" s="144"/>
      <c r="U179" s="144"/>
      <c r="V179" s="144"/>
      <c r="W179" s="144"/>
      <c r="X179" s="144"/>
      <c r="Y179" s="143"/>
      <c r="Z179" s="143">
        <f t="shared" si="149"/>
        <v>0</v>
      </c>
      <c r="AA179" s="9">
        <f t="shared" si="150"/>
        <v>0.375</v>
      </c>
      <c r="AB179" s="9">
        <f t="shared" si="151"/>
        <v>0</v>
      </c>
      <c r="AC179" s="9">
        <f t="shared" si="152"/>
        <v>0</v>
      </c>
      <c r="AD179" s="9">
        <f t="shared" si="153"/>
        <v>0</v>
      </c>
      <c r="AE179" s="40" t="e">
        <f t="shared" ca="1" si="154"/>
        <v>#NUM!</v>
      </c>
      <c r="AF179" s="40" t="e">
        <f t="shared" ca="1" si="155"/>
        <v>#NUM!</v>
      </c>
      <c r="AG179" s="40" t="e">
        <f t="shared" ca="1" si="156"/>
        <v>#NUM!</v>
      </c>
      <c r="AH179" s="40" t="e">
        <f t="shared" ca="1" si="157"/>
        <v>#NUM!</v>
      </c>
      <c r="AI179" s="40" t="e">
        <f t="shared" ca="1" si="158"/>
        <v>#NUM!</v>
      </c>
      <c r="AJ179" s="40" t="e">
        <f t="shared" ca="1" si="159"/>
        <v>#NUM!</v>
      </c>
      <c r="AK179" s="203" t="e">
        <f t="shared" ca="1" si="160"/>
        <v>#NUM!</v>
      </c>
      <c r="AL179" s="40" t="e">
        <f t="shared" ca="1" si="161"/>
        <v>#NUM!</v>
      </c>
      <c r="AM179" s="40" t="e">
        <f t="shared" ca="1" si="162"/>
        <v>#NUM!</v>
      </c>
      <c r="AN179" s="40" t="e">
        <f t="shared" ca="1" si="163"/>
        <v>#NUM!</v>
      </c>
      <c r="AO179" s="40" t="e">
        <f t="shared" ca="1" si="164"/>
        <v>#NUM!</v>
      </c>
      <c r="AP179" s="40" t="e">
        <f t="shared" ca="1" si="165"/>
        <v>#NUM!</v>
      </c>
      <c r="AQ179" s="40" t="e">
        <f t="shared" ca="1" si="166"/>
        <v>#NUM!</v>
      </c>
      <c r="AR179" s="40" t="e">
        <f t="shared" ca="1" si="167"/>
        <v>#NUM!</v>
      </c>
      <c r="AS179" s="40" t="e">
        <f t="shared" ca="1" si="168"/>
        <v>#NUM!</v>
      </c>
    </row>
    <row r="180" spans="1:45" x14ac:dyDescent="0.25">
      <c r="A180" s="154"/>
      <c r="B180" s="73">
        <f t="shared" si="144"/>
        <v>-59090.909090909088</v>
      </c>
      <c r="E180" s="148">
        <v>42826</v>
      </c>
      <c r="G180" s="139">
        <v>33</v>
      </c>
      <c r="H180" s="139">
        <v>0</v>
      </c>
      <c r="I180" s="49">
        <f t="shared" si="145"/>
        <v>46522</v>
      </c>
      <c r="J180" s="76">
        <v>1950000</v>
      </c>
      <c r="K180" s="40">
        <f t="shared" si="146"/>
        <v>33</v>
      </c>
      <c r="L180" s="74">
        <f t="shared" si="147"/>
        <v>1950000</v>
      </c>
      <c r="M180" s="76"/>
      <c r="N180" s="76">
        <f t="shared" si="148"/>
        <v>0</v>
      </c>
      <c r="O180" s="142"/>
      <c r="P180" s="142"/>
      <c r="Q180" s="142"/>
      <c r="R180" s="144"/>
      <c r="S180" s="144"/>
      <c r="T180" s="144"/>
      <c r="U180" s="144"/>
      <c r="V180" s="144"/>
      <c r="W180" s="144"/>
      <c r="X180" s="144"/>
      <c r="Y180" s="143"/>
      <c r="Z180" s="143">
        <f t="shared" si="149"/>
        <v>0</v>
      </c>
      <c r="AA180" s="9">
        <f t="shared" si="150"/>
        <v>0.375</v>
      </c>
      <c r="AB180" s="9">
        <f t="shared" si="151"/>
        <v>0</v>
      </c>
      <c r="AC180" s="9">
        <f t="shared" si="152"/>
        <v>0</v>
      </c>
      <c r="AD180" s="9">
        <f t="shared" si="153"/>
        <v>0</v>
      </c>
      <c r="AE180" s="40" t="e">
        <f t="shared" ca="1" si="154"/>
        <v>#NUM!</v>
      </c>
      <c r="AF180" s="40" t="e">
        <f t="shared" ca="1" si="155"/>
        <v>#NUM!</v>
      </c>
      <c r="AG180" s="40" t="e">
        <f t="shared" ca="1" si="156"/>
        <v>#NUM!</v>
      </c>
      <c r="AH180" s="40" t="e">
        <f t="shared" ca="1" si="157"/>
        <v>#NUM!</v>
      </c>
      <c r="AI180" s="40" t="e">
        <f t="shared" ca="1" si="158"/>
        <v>#NUM!</v>
      </c>
      <c r="AJ180" s="40" t="e">
        <f t="shared" ca="1" si="159"/>
        <v>#NUM!</v>
      </c>
      <c r="AK180" s="203" t="e">
        <f t="shared" ca="1" si="160"/>
        <v>#NUM!</v>
      </c>
      <c r="AL180" s="40" t="e">
        <f t="shared" ca="1" si="161"/>
        <v>#NUM!</v>
      </c>
      <c r="AM180" s="40" t="e">
        <f t="shared" ca="1" si="162"/>
        <v>#NUM!</v>
      </c>
      <c r="AN180" s="40" t="e">
        <f t="shared" ca="1" si="163"/>
        <v>#NUM!</v>
      </c>
      <c r="AO180" s="40" t="e">
        <f t="shared" ca="1" si="164"/>
        <v>#NUM!</v>
      </c>
      <c r="AP180" s="40" t="e">
        <f t="shared" ca="1" si="165"/>
        <v>#NUM!</v>
      </c>
      <c r="AQ180" s="40" t="e">
        <f t="shared" ca="1" si="166"/>
        <v>#NUM!</v>
      </c>
      <c r="AR180" s="40" t="e">
        <f t="shared" ca="1" si="167"/>
        <v>#NUM!</v>
      </c>
      <c r="AS180" s="40" t="e">
        <f t="shared" ca="1" si="168"/>
        <v>#NUM!</v>
      </c>
    </row>
    <row r="181" spans="1:45" x14ac:dyDescent="0.25">
      <c r="A181" s="154"/>
      <c r="B181" s="73">
        <f t="shared" si="144"/>
        <v>-59090.909090909088</v>
      </c>
      <c r="E181" s="148">
        <v>42826</v>
      </c>
      <c r="G181" s="139">
        <v>33</v>
      </c>
      <c r="H181" s="139">
        <v>0</v>
      </c>
      <c r="I181" s="49">
        <f t="shared" si="145"/>
        <v>46522</v>
      </c>
      <c r="J181" s="76">
        <v>1950000</v>
      </c>
      <c r="K181" s="40">
        <f t="shared" si="146"/>
        <v>33</v>
      </c>
      <c r="L181" s="74">
        <f t="shared" si="147"/>
        <v>1950000</v>
      </c>
      <c r="M181" s="76"/>
      <c r="N181" s="76">
        <f t="shared" si="148"/>
        <v>0</v>
      </c>
      <c r="O181" s="142"/>
      <c r="P181" s="142"/>
      <c r="Q181" s="142"/>
      <c r="R181" s="144"/>
      <c r="S181" s="144"/>
      <c r="T181" s="144"/>
      <c r="U181" s="144"/>
      <c r="V181" s="144"/>
      <c r="W181" s="144"/>
      <c r="X181" s="144"/>
      <c r="Y181" s="143"/>
      <c r="Z181" s="143">
        <f t="shared" si="149"/>
        <v>0</v>
      </c>
      <c r="AA181" s="9">
        <f t="shared" si="150"/>
        <v>0.375</v>
      </c>
      <c r="AB181" s="9">
        <f t="shared" si="151"/>
        <v>0</v>
      </c>
      <c r="AC181" s="9">
        <f t="shared" si="152"/>
        <v>0</v>
      </c>
      <c r="AD181" s="9">
        <f t="shared" si="153"/>
        <v>0</v>
      </c>
      <c r="AE181" s="40" t="e">
        <f t="shared" ca="1" si="154"/>
        <v>#NUM!</v>
      </c>
      <c r="AF181" s="40" t="e">
        <f t="shared" ca="1" si="155"/>
        <v>#NUM!</v>
      </c>
      <c r="AG181" s="40" t="e">
        <f t="shared" ca="1" si="156"/>
        <v>#NUM!</v>
      </c>
      <c r="AH181" s="40" t="e">
        <f t="shared" ca="1" si="157"/>
        <v>#NUM!</v>
      </c>
      <c r="AI181" s="40" t="e">
        <f t="shared" ca="1" si="158"/>
        <v>#NUM!</v>
      </c>
      <c r="AJ181" s="40" t="e">
        <f t="shared" ca="1" si="159"/>
        <v>#NUM!</v>
      </c>
      <c r="AK181" s="203" t="e">
        <f t="shared" ca="1" si="160"/>
        <v>#NUM!</v>
      </c>
      <c r="AL181" s="40" t="e">
        <f t="shared" ca="1" si="161"/>
        <v>#NUM!</v>
      </c>
      <c r="AM181" s="40" t="e">
        <f t="shared" ca="1" si="162"/>
        <v>#NUM!</v>
      </c>
      <c r="AN181" s="40" t="e">
        <f t="shared" ca="1" si="163"/>
        <v>#NUM!</v>
      </c>
      <c r="AO181" s="40" t="e">
        <f t="shared" ca="1" si="164"/>
        <v>#NUM!</v>
      </c>
      <c r="AP181" s="40" t="e">
        <f t="shared" ca="1" si="165"/>
        <v>#NUM!</v>
      </c>
      <c r="AQ181" s="40" t="e">
        <f t="shared" ca="1" si="166"/>
        <v>#NUM!</v>
      </c>
      <c r="AR181" s="40" t="e">
        <f t="shared" ca="1" si="167"/>
        <v>#NUM!</v>
      </c>
      <c r="AS181" s="40" t="e">
        <f t="shared" ca="1" si="168"/>
        <v>#NUM!</v>
      </c>
    </row>
    <row r="182" spans="1:45" x14ac:dyDescent="0.25">
      <c r="A182" s="154"/>
      <c r="B182" s="73">
        <f t="shared" si="144"/>
        <v>-59090.909090909088</v>
      </c>
      <c r="E182" s="148">
        <v>42826</v>
      </c>
      <c r="G182" s="139">
        <v>33</v>
      </c>
      <c r="H182" s="139">
        <v>0</v>
      </c>
      <c r="I182" s="49">
        <f t="shared" si="145"/>
        <v>46522</v>
      </c>
      <c r="J182" s="76">
        <v>1950000</v>
      </c>
      <c r="K182" s="40">
        <f t="shared" si="146"/>
        <v>33</v>
      </c>
      <c r="L182" s="74">
        <f t="shared" si="147"/>
        <v>1950000</v>
      </c>
      <c r="M182" s="76"/>
      <c r="N182" s="76">
        <f t="shared" si="148"/>
        <v>0</v>
      </c>
      <c r="O182" s="142"/>
      <c r="P182" s="142"/>
      <c r="Q182" s="142"/>
      <c r="R182" s="144"/>
      <c r="S182" s="144"/>
      <c r="T182" s="144"/>
      <c r="U182" s="144"/>
      <c r="V182" s="144"/>
      <c r="W182" s="144"/>
      <c r="X182" s="144"/>
      <c r="Y182" s="143"/>
      <c r="Z182" s="143">
        <f t="shared" si="149"/>
        <v>0</v>
      </c>
      <c r="AA182" s="9">
        <f t="shared" si="150"/>
        <v>0.375</v>
      </c>
      <c r="AB182" s="9">
        <f t="shared" si="151"/>
        <v>0</v>
      </c>
      <c r="AC182" s="9">
        <f t="shared" si="152"/>
        <v>0</v>
      </c>
      <c r="AD182" s="9">
        <f t="shared" si="153"/>
        <v>0</v>
      </c>
      <c r="AE182" s="40" t="e">
        <f t="shared" ca="1" si="154"/>
        <v>#NUM!</v>
      </c>
      <c r="AF182" s="40" t="e">
        <f t="shared" ca="1" si="155"/>
        <v>#NUM!</v>
      </c>
      <c r="AG182" s="40" t="e">
        <f t="shared" ca="1" si="156"/>
        <v>#NUM!</v>
      </c>
      <c r="AH182" s="40" t="e">
        <f t="shared" ca="1" si="157"/>
        <v>#NUM!</v>
      </c>
      <c r="AI182" s="40" t="e">
        <f t="shared" ca="1" si="158"/>
        <v>#NUM!</v>
      </c>
      <c r="AJ182" s="40" t="e">
        <f t="shared" ca="1" si="159"/>
        <v>#NUM!</v>
      </c>
      <c r="AK182" s="203" t="e">
        <f t="shared" ca="1" si="160"/>
        <v>#NUM!</v>
      </c>
      <c r="AL182" s="40" t="e">
        <f t="shared" ca="1" si="161"/>
        <v>#NUM!</v>
      </c>
      <c r="AM182" s="40" t="e">
        <f t="shared" ca="1" si="162"/>
        <v>#NUM!</v>
      </c>
      <c r="AN182" s="40" t="e">
        <f t="shared" ca="1" si="163"/>
        <v>#NUM!</v>
      </c>
      <c r="AO182" s="40" t="e">
        <f t="shared" ca="1" si="164"/>
        <v>#NUM!</v>
      </c>
      <c r="AP182" s="40" t="e">
        <f t="shared" ca="1" si="165"/>
        <v>#NUM!</v>
      </c>
      <c r="AQ182" s="40" t="e">
        <f t="shared" ca="1" si="166"/>
        <v>#NUM!</v>
      </c>
      <c r="AR182" s="40" t="e">
        <f t="shared" ca="1" si="167"/>
        <v>#NUM!</v>
      </c>
      <c r="AS182" s="40" t="e">
        <f t="shared" ca="1" si="168"/>
        <v>#NUM!</v>
      </c>
    </row>
    <row r="183" spans="1:45" x14ac:dyDescent="0.25">
      <c r="A183" s="154"/>
      <c r="B183" s="73">
        <f t="shared" si="144"/>
        <v>-59090.909090909088</v>
      </c>
      <c r="E183" s="148">
        <v>42826</v>
      </c>
      <c r="G183" s="139">
        <v>33</v>
      </c>
      <c r="H183" s="139">
        <v>0</v>
      </c>
      <c r="I183" s="49">
        <f t="shared" si="145"/>
        <v>46522</v>
      </c>
      <c r="J183" s="76">
        <v>1950000</v>
      </c>
      <c r="K183" s="40">
        <f t="shared" si="146"/>
        <v>33</v>
      </c>
      <c r="L183" s="74">
        <f t="shared" si="147"/>
        <v>1950000</v>
      </c>
      <c r="M183" s="76"/>
      <c r="N183" s="76">
        <f t="shared" si="148"/>
        <v>0</v>
      </c>
      <c r="O183" s="142"/>
      <c r="P183" s="142"/>
      <c r="Q183" s="142"/>
      <c r="R183" s="144"/>
      <c r="S183" s="144"/>
      <c r="T183" s="144"/>
      <c r="U183" s="144"/>
      <c r="V183" s="144"/>
      <c r="W183" s="144"/>
      <c r="X183" s="144"/>
      <c r="Y183" s="143"/>
      <c r="Z183" s="143">
        <f t="shared" si="149"/>
        <v>0</v>
      </c>
      <c r="AA183" s="9">
        <f t="shared" si="150"/>
        <v>0.375</v>
      </c>
      <c r="AB183" s="9">
        <f t="shared" si="151"/>
        <v>0</v>
      </c>
      <c r="AC183" s="9">
        <f t="shared" si="152"/>
        <v>0</v>
      </c>
      <c r="AD183" s="9">
        <f t="shared" si="153"/>
        <v>0</v>
      </c>
      <c r="AE183" s="40" t="e">
        <f t="shared" ca="1" si="154"/>
        <v>#NUM!</v>
      </c>
      <c r="AF183" s="40" t="e">
        <f t="shared" ca="1" si="155"/>
        <v>#NUM!</v>
      </c>
      <c r="AG183" s="40" t="e">
        <f t="shared" ca="1" si="156"/>
        <v>#NUM!</v>
      </c>
      <c r="AH183" s="40" t="e">
        <f t="shared" ca="1" si="157"/>
        <v>#NUM!</v>
      </c>
      <c r="AI183" s="40" t="e">
        <f t="shared" ca="1" si="158"/>
        <v>#NUM!</v>
      </c>
      <c r="AJ183" s="40" t="e">
        <f t="shared" ca="1" si="159"/>
        <v>#NUM!</v>
      </c>
      <c r="AK183" s="203" t="e">
        <f t="shared" ca="1" si="160"/>
        <v>#NUM!</v>
      </c>
      <c r="AL183" s="40" t="e">
        <f t="shared" ca="1" si="161"/>
        <v>#NUM!</v>
      </c>
      <c r="AM183" s="40" t="e">
        <f t="shared" ca="1" si="162"/>
        <v>#NUM!</v>
      </c>
      <c r="AN183" s="40" t="e">
        <f t="shared" ca="1" si="163"/>
        <v>#NUM!</v>
      </c>
      <c r="AO183" s="40" t="e">
        <f t="shared" ca="1" si="164"/>
        <v>#NUM!</v>
      </c>
      <c r="AP183" s="40" t="e">
        <f t="shared" ca="1" si="165"/>
        <v>#NUM!</v>
      </c>
      <c r="AQ183" s="40" t="e">
        <f t="shared" ca="1" si="166"/>
        <v>#NUM!</v>
      </c>
      <c r="AR183" s="40" t="e">
        <f t="shared" ca="1" si="167"/>
        <v>#NUM!</v>
      </c>
      <c r="AS183" s="40" t="e">
        <f t="shared" ca="1" si="168"/>
        <v>#NUM!</v>
      </c>
    </row>
    <row r="184" spans="1:45" x14ac:dyDescent="0.25">
      <c r="A184" s="154"/>
      <c r="B184" s="73">
        <f t="shared" si="144"/>
        <v>-59090.909090909088</v>
      </c>
      <c r="E184" s="148">
        <v>42826</v>
      </c>
      <c r="G184" s="139">
        <v>33</v>
      </c>
      <c r="H184" s="139">
        <v>0</v>
      </c>
      <c r="I184" s="49">
        <f t="shared" si="145"/>
        <v>46522</v>
      </c>
      <c r="J184" s="76">
        <v>1950000</v>
      </c>
      <c r="K184" s="40">
        <f t="shared" si="146"/>
        <v>33</v>
      </c>
      <c r="L184" s="74">
        <f t="shared" si="147"/>
        <v>1950000</v>
      </c>
      <c r="M184" s="76"/>
      <c r="N184" s="76">
        <f t="shared" si="148"/>
        <v>0</v>
      </c>
      <c r="O184" s="142"/>
      <c r="P184" s="142"/>
      <c r="Q184" s="142"/>
      <c r="R184" s="144"/>
      <c r="S184" s="144"/>
      <c r="T184" s="144"/>
      <c r="U184" s="144"/>
      <c r="V184" s="144"/>
      <c r="W184" s="144"/>
      <c r="X184" s="144"/>
      <c r="Y184" s="143"/>
      <c r="Z184" s="143">
        <f t="shared" si="149"/>
        <v>0</v>
      </c>
      <c r="AA184" s="9">
        <f t="shared" si="150"/>
        <v>0.375</v>
      </c>
      <c r="AB184" s="9">
        <f t="shared" si="151"/>
        <v>0</v>
      </c>
      <c r="AC184" s="9">
        <f t="shared" si="152"/>
        <v>0</v>
      </c>
      <c r="AD184" s="9">
        <f t="shared" si="153"/>
        <v>0</v>
      </c>
      <c r="AE184" s="40" t="e">
        <f t="shared" ca="1" si="154"/>
        <v>#NUM!</v>
      </c>
      <c r="AF184" s="40" t="e">
        <f t="shared" ca="1" si="155"/>
        <v>#NUM!</v>
      </c>
      <c r="AG184" s="40" t="e">
        <f t="shared" ca="1" si="156"/>
        <v>#NUM!</v>
      </c>
      <c r="AH184" s="40" t="e">
        <f t="shared" ca="1" si="157"/>
        <v>#NUM!</v>
      </c>
      <c r="AI184" s="40" t="e">
        <f t="shared" ca="1" si="158"/>
        <v>#NUM!</v>
      </c>
      <c r="AJ184" s="40" t="e">
        <f t="shared" ca="1" si="159"/>
        <v>#NUM!</v>
      </c>
      <c r="AK184" s="203" t="e">
        <f t="shared" ca="1" si="160"/>
        <v>#NUM!</v>
      </c>
      <c r="AL184" s="40" t="e">
        <f t="shared" ca="1" si="161"/>
        <v>#NUM!</v>
      </c>
      <c r="AM184" s="40" t="e">
        <f t="shared" ca="1" si="162"/>
        <v>#NUM!</v>
      </c>
      <c r="AN184" s="40" t="e">
        <f t="shared" ca="1" si="163"/>
        <v>#NUM!</v>
      </c>
      <c r="AO184" s="40" t="e">
        <f t="shared" ca="1" si="164"/>
        <v>#NUM!</v>
      </c>
      <c r="AP184" s="40" t="e">
        <f t="shared" ca="1" si="165"/>
        <v>#NUM!</v>
      </c>
      <c r="AQ184" s="40" t="e">
        <f t="shared" ca="1" si="166"/>
        <v>#NUM!</v>
      </c>
      <c r="AR184" s="40" t="e">
        <f t="shared" ca="1" si="167"/>
        <v>#NUM!</v>
      </c>
      <c r="AS184" s="40" t="e">
        <f t="shared" ca="1" si="168"/>
        <v>#NUM!</v>
      </c>
    </row>
    <row r="185" spans="1:45" x14ac:dyDescent="0.25">
      <c r="A185" s="154"/>
      <c r="B185" s="73">
        <f t="shared" si="144"/>
        <v>-59090.909090909088</v>
      </c>
      <c r="E185" s="148">
        <v>42826</v>
      </c>
      <c r="G185" s="139">
        <v>33</v>
      </c>
      <c r="H185" s="139">
        <v>0</v>
      </c>
      <c r="I185" s="49">
        <f t="shared" si="145"/>
        <v>46522</v>
      </c>
      <c r="J185" s="76">
        <v>1950000</v>
      </c>
      <c r="K185" s="40">
        <f t="shared" si="146"/>
        <v>33</v>
      </c>
      <c r="L185" s="74">
        <f t="shared" si="147"/>
        <v>1950000</v>
      </c>
      <c r="M185" s="76"/>
      <c r="N185" s="76">
        <f t="shared" si="148"/>
        <v>0</v>
      </c>
      <c r="O185" s="142"/>
      <c r="P185" s="142"/>
      <c r="Q185" s="142"/>
      <c r="R185" s="144"/>
      <c r="S185" s="144"/>
      <c r="T185" s="144"/>
      <c r="U185" s="144"/>
      <c r="V185" s="144"/>
      <c r="W185" s="144"/>
      <c r="X185" s="144"/>
      <c r="Y185" s="143"/>
      <c r="Z185" s="143">
        <f t="shared" si="149"/>
        <v>0</v>
      </c>
      <c r="AA185" s="9">
        <f t="shared" si="150"/>
        <v>0.375</v>
      </c>
      <c r="AB185" s="9">
        <f t="shared" si="151"/>
        <v>0</v>
      </c>
      <c r="AC185" s="9">
        <f t="shared" si="152"/>
        <v>0</v>
      </c>
      <c r="AD185" s="9">
        <f t="shared" si="153"/>
        <v>0</v>
      </c>
      <c r="AE185" s="40" t="e">
        <f t="shared" ca="1" si="154"/>
        <v>#NUM!</v>
      </c>
      <c r="AF185" s="40" t="e">
        <f t="shared" ca="1" si="155"/>
        <v>#NUM!</v>
      </c>
      <c r="AG185" s="40" t="e">
        <f t="shared" ca="1" si="156"/>
        <v>#NUM!</v>
      </c>
      <c r="AH185" s="40" t="e">
        <f t="shared" ca="1" si="157"/>
        <v>#NUM!</v>
      </c>
      <c r="AI185" s="40" t="e">
        <f t="shared" ca="1" si="158"/>
        <v>#NUM!</v>
      </c>
      <c r="AJ185" s="40" t="e">
        <f t="shared" ca="1" si="159"/>
        <v>#NUM!</v>
      </c>
      <c r="AK185" s="203" t="e">
        <f t="shared" ca="1" si="160"/>
        <v>#NUM!</v>
      </c>
      <c r="AL185" s="40" t="e">
        <f t="shared" ca="1" si="161"/>
        <v>#NUM!</v>
      </c>
      <c r="AM185" s="40" t="e">
        <f t="shared" ca="1" si="162"/>
        <v>#NUM!</v>
      </c>
      <c r="AN185" s="40" t="e">
        <f t="shared" ca="1" si="163"/>
        <v>#NUM!</v>
      </c>
      <c r="AO185" s="40" t="e">
        <f t="shared" ca="1" si="164"/>
        <v>#NUM!</v>
      </c>
      <c r="AP185" s="40" t="e">
        <f t="shared" ca="1" si="165"/>
        <v>#NUM!</v>
      </c>
      <c r="AQ185" s="40" t="e">
        <f t="shared" ca="1" si="166"/>
        <v>#NUM!</v>
      </c>
      <c r="AR185" s="40" t="e">
        <f t="shared" ca="1" si="167"/>
        <v>#NUM!</v>
      </c>
      <c r="AS185" s="40" t="e">
        <f t="shared" ca="1" si="168"/>
        <v>#NUM!</v>
      </c>
    </row>
    <row r="186" spans="1:45" x14ac:dyDescent="0.25">
      <c r="A186" s="154"/>
      <c r="B186" s="73">
        <f t="shared" si="144"/>
        <v>-59090.909090909088</v>
      </c>
      <c r="E186" s="148">
        <v>42826</v>
      </c>
      <c r="G186" s="139">
        <v>33</v>
      </c>
      <c r="H186" s="139">
        <v>0</v>
      </c>
      <c r="I186" s="49">
        <f t="shared" si="145"/>
        <v>46522</v>
      </c>
      <c r="J186" s="76">
        <v>1950000</v>
      </c>
      <c r="K186" s="40">
        <f t="shared" si="146"/>
        <v>33</v>
      </c>
      <c r="L186" s="74">
        <f t="shared" si="147"/>
        <v>1950000</v>
      </c>
      <c r="M186" s="76"/>
      <c r="N186" s="76">
        <f t="shared" si="148"/>
        <v>0</v>
      </c>
      <c r="O186" s="142"/>
      <c r="P186" s="142"/>
      <c r="Q186" s="142"/>
      <c r="R186" s="144"/>
      <c r="S186" s="144"/>
      <c r="T186" s="144"/>
      <c r="U186" s="144"/>
      <c r="V186" s="144"/>
      <c r="W186" s="144"/>
      <c r="X186" s="144"/>
      <c r="Y186" s="143"/>
      <c r="Z186" s="143">
        <f t="shared" si="149"/>
        <v>0</v>
      </c>
      <c r="AA186" s="9">
        <f t="shared" si="150"/>
        <v>0.375</v>
      </c>
      <c r="AB186" s="9">
        <f t="shared" si="151"/>
        <v>0</v>
      </c>
      <c r="AC186" s="9">
        <f t="shared" si="152"/>
        <v>0</v>
      </c>
      <c r="AD186" s="9">
        <f t="shared" si="153"/>
        <v>0</v>
      </c>
      <c r="AE186" s="40" t="e">
        <f t="shared" ca="1" si="154"/>
        <v>#NUM!</v>
      </c>
      <c r="AF186" s="40" t="e">
        <f t="shared" ca="1" si="155"/>
        <v>#NUM!</v>
      </c>
      <c r="AG186" s="40" t="e">
        <f t="shared" ca="1" si="156"/>
        <v>#NUM!</v>
      </c>
      <c r="AH186" s="40" t="e">
        <f t="shared" ca="1" si="157"/>
        <v>#NUM!</v>
      </c>
      <c r="AI186" s="40" t="e">
        <f t="shared" ca="1" si="158"/>
        <v>#NUM!</v>
      </c>
      <c r="AJ186" s="40" t="e">
        <f t="shared" ca="1" si="159"/>
        <v>#NUM!</v>
      </c>
      <c r="AK186" s="203" t="e">
        <f t="shared" ca="1" si="160"/>
        <v>#NUM!</v>
      </c>
      <c r="AL186" s="40" t="e">
        <f t="shared" ca="1" si="161"/>
        <v>#NUM!</v>
      </c>
      <c r="AM186" s="40" t="e">
        <f t="shared" ca="1" si="162"/>
        <v>#NUM!</v>
      </c>
      <c r="AN186" s="40" t="e">
        <f t="shared" ca="1" si="163"/>
        <v>#NUM!</v>
      </c>
      <c r="AO186" s="40" t="e">
        <f t="shared" ca="1" si="164"/>
        <v>#NUM!</v>
      </c>
      <c r="AP186" s="40" t="e">
        <f t="shared" ca="1" si="165"/>
        <v>#NUM!</v>
      </c>
      <c r="AQ186" s="40" t="e">
        <f t="shared" ca="1" si="166"/>
        <v>#NUM!</v>
      </c>
      <c r="AR186" s="40" t="e">
        <f t="shared" ca="1" si="167"/>
        <v>#NUM!</v>
      </c>
      <c r="AS186" s="40" t="e">
        <f t="shared" ca="1" si="168"/>
        <v>#NUM!</v>
      </c>
    </row>
    <row r="187" spans="1:45" x14ac:dyDescent="0.25">
      <c r="A187" s="154"/>
      <c r="B187" s="73">
        <f t="shared" si="144"/>
        <v>-59090.909090909088</v>
      </c>
      <c r="E187" s="148">
        <v>42826</v>
      </c>
      <c r="G187" s="139">
        <v>33</v>
      </c>
      <c r="H187" s="139">
        <v>0</v>
      </c>
      <c r="I187" s="49">
        <f t="shared" si="145"/>
        <v>46522</v>
      </c>
      <c r="J187" s="76">
        <v>1950000</v>
      </c>
      <c r="K187" s="40">
        <f t="shared" si="146"/>
        <v>33</v>
      </c>
      <c r="L187" s="74">
        <f t="shared" si="147"/>
        <v>1950000</v>
      </c>
      <c r="M187" s="76"/>
      <c r="N187" s="76">
        <f t="shared" si="148"/>
        <v>0</v>
      </c>
      <c r="O187" s="142"/>
      <c r="P187" s="142"/>
      <c r="Q187" s="142"/>
      <c r="R187" s="144"/>
      <c r="S187" s="144"/>
      <c r="T187" s="144"/>
      <c r="U187" s="144"/>
      <c r="V187" s="144"/>
      <c r="W187" s="144"/>
      <c r="X187" s="144"/>
      <c r="Y187" s="143"/>
      <c r="Z187" s="143">
        <f t="shared" si="149"/>
        <v>0</v>
      </c>
      <c r="AA187" s="9">
        <f t="shared" si="150"/>
        <v>0.375</v>
      </c>
      <c r="AB187" s="9">
        <f t="shared" si="151"/>
        <v>0</v>
      </c>
      <c r="AC187" s="9">
        <f t="shared" si="152"/>
        <v>0</v>
      </c>
      <c r="AD187" s="9">
        <f t="shared" si="153"/>
        <v>0</v>
      </c>
      <c r="AE187" s="40" t="e">
        <f t="shared" ca="1" si="154"/>
        <v>#NUM!</v>
      </c>
      <c r="AF187" s="40" t="e">
        <f t="shared" ca="1" si="155"/>
        <v>#NUM!</v>
      </c>
      <c r="AG187" s="40" t="e">
        <f t="shared" ca="1" si="156"/>
        <v>#NUM!</v>
      </c>
      <c r="AH187" s="40" t="e">
        <f t="shared" ca="1" si="157"/>
        <v>#NUM!</v>
      </c>
      <c r="AI187" s="40" t="e">
        <f t="shared" ca="1" si="158"/>
        <v>#NUM!</v>
      </c>
      <c r="AJ187" s="40" t="e">
        <f t="shared" ca="1" si="159"/>
        <v>#NUM!</v>
      </c>
      <c r="AK187" s="203" t="e">
        <f t="shared" ca="1" si="160"/>
        <v>#NUM!</v>
      </c>
      <c r="AL187" s="40" t="e">
        <f t="shared" ca="1" si="161"/>
        <v>#NUM!</v>
      </c>
      <c r="AM187" s="40" t="e">
        <f t="shared" ca="1" si="162"/>
        <v>#NUM!</v>
      </c>
      <c r="AN187" s="40" t="e">
        <f t="shared" ca="1" si="163"/>
        <v>#NUM!</v>
      </c>
      <c r="AO187" s="40" t="e">
        <f t="shared" ca="1" si="164"/>
        <v>#NUM!</v>
      </c>
      <c r="AP187" s="40" t="e">
        <f t="shared" ca="1" si="165"/>
        <v>#NUM!</v>
      </c>
      <c r="AQ187" s="40" t="e">
        <f t="shared" ca="1" si="166"/>
        <v>#NUM!</v>
      </c>
      <c r="AR187" s="40" t="e">
        <f t="shared" ca="1" si="167"/>
        <v>#NUM!</v>
      </c>
      <c r="AS187" s="40" t="e">
        <f t="shared" ca="1" si="168"/>
        <v>#NUM!</v>
      </c>
    </row>
    <row r="188" spans="1:45" x14ac:dyDescent="0.25">
      <c r="A188" s="154"/>
      <c r="B188" s="73">
        <f t="shared" si="144"/>
        <v>-59090.909090909088</v>
      </c>
      <c r="E188" s="148">
        <v>42826</v>
      </c>
      <c r="G188" s="139">
        <v>33</v>
      </c>
      <c r="H188" s="139">
        <v>0</v>
      </c>
      <c r="I188" s="49">
        <f t="shared" si="145"/>
        <v>46522</v>
      </c>
      <c r="J188" s="76">
        <v>1950000</v>
      </c>
      <c r="K188" s="40">
        <f t="shared" si="146"/>
        <v>33</v>
      </c>
      <c r="L188" s="74">
        <f t="shared" si="147"/>
        <v>1950000</v>
      </c>
      <c r="M188" s="76"/>
      <c r="N188" s="76">
        <f t="shared" si="148"/>
        <v>0</v>
      </c>
      <c r="O188" s="142"/>
      <c r="P188" s="142"/>
      <c r="Q188" s="142"/>
      <c r="R188" s="144"/>
      <c r="S188" s="144"/>
      <c r="T188" s="144"/>
      <c r="U188" s="144"/>
      <c r="V188" s="144"/>
      <c r="W188" s="144"/>
      <c r="X188" s="144"/>
      <c r="Y188" s="143"/>
      <c r="Z188" s="143">
        <f t="shared" si="149"/>
        <v>0</v>
      </c>
      <c r="AA188" s="9">
        <f t="shared" si="150"/>
        <v>0.375</v>
      </c>
      <c r="AB188" s="9">
        <f t="shared" si="151"/>
        <v>0</v>
      </c>
      <c r="AC188" s="9">
        <f t="shared" si="152"/>
        <v>0</v>
      </c>
      <c r="AD188" s="9">
        <f t="shared" si="153"/>
        <v>0</v>
      </c>
      <c r="AE188" s="40" t="e">
        <f t="shared" ca="1" si="154"/>
        <v>#NUM!</v>
      </c>
      <c r="AF188" s="40" t="e">
        <f t="shared" ca="1" si="155"/>
        <v>#NUM!</v>
      </c>
      <c r="AG188" s="40" t="e">
        <f t="shared" ca="1" si="156"/>
        <v>#NUM!</v>
      </c>
      <c r="AH188" s="40" t="e">
        <f t="shared" ca="1" si="157"/>
        <v>#NUM!</v>
      </c>
      <c r="AI188" s="40" t="e">
        <f t="shared" ca="1" si="158"/>
        <v>#NUM!</v>
      </c>
      <c r="AJ188" s="40" t="e">
        <f t="shared" ca="1" si="159"/>
        <v>#NUM!</v>
      </c>
      <c r="AK188" s="203" t="e">
        <f t="shared" ca="1" si="160"/>
        <v>#NUM!</v>
      </c>
      <c r="AL188" s="40" t="e">
        <f t="shared" ca="1" si="161"/>
        <v>#NUM!</v>
      </c>
      <c r="AM188" s="40" t="e">
        <f t="shared" ca="1" si="162"/>
        <v>#NUM!</v>
      </c>
      <c r="AN188" s="40" t="e">
        <f t="shared" ca="1" si="163"/>
        <v>#NUM!</v>
      </c>
      <c r="AO188" s="40" t="e">
        <f t="shared" ca="1" si="164"/>
        <v>#NUM!</v>
      </c>
      <c r="AP188" s="40" t="e">
        <f t="shared" ca="1" si="165"/>
        <v>#NUM!</v>
      </c>
      <c r="AQ188" s="40" t="e">
        <f t="shared" ca="1" si="166"/>
        <v>#NUM!</v>
      </c>
      <c r="AR188" s="40" t="e">
        <f t="shared" ca="1" si="167"/>
        <v>#NUM!</v>
      </c>
      <c r="AS188" s="40" t="e">
        <f t="shared" ca="1" si="168"/>
        <v>#NUM!</v>
      </c>
    </row>
    <row r="189" spans="1:45" x14ac:dyDescent="0.25">
      <c r="A189" s="154"/>
      <c r="B189" s="73">
        <f t="shared" si="144"/>
        <v>-59090.909090909088</v>
      </c>
      <c r="E189" s="148">
        <v>42826</v>
      </c>
      <c r="G189" s="139">
        <v>33</v>
      </c>
      <c r="H189" s="139">
        <v>0</v>
      </c>
      <c r="I189" s="49">
        <f t="shared" si="145"/>
        <v>46522</v>
      </c>
      <c r="J189" s="76">
        <v>1950000</v>
      </c>
      <c r="K189" s="40">
        <f t="shared" si="146"/>
        <v>33</v>
      </c>
      <c r="L189" s="74">
        <f t="shared" si="147"/>
        <v>1950000</v>
      </c>
      <c r="M189" s="76"/>
      <c r="N189" s="76">
        <f t="shared" si="148"/>
        <v>0</v>
      </c>
      <c r="O189" s="142"/>
      <c r="P189" s="142"/>
      <c r="Q189" s="142"/>
      <c r="R189" s="144"/>
      <c r="S189" s="144"/>
      <c r="T189" s="144"/>
      <c r="U189" s="144"/>
      <c r="V189" s="144"/>
      <c r="W189" s="144"/>
      <c r="X189" s="144"/>
      <c r="Y189" s="143"/>
      <c r="Z189" s="143">
        <f t="shared" si="149"/>
        <v>0</v>
      </c>
      <c r="AA189" s="9">
        <f t="shared" si="150"/>
        <v>0.375</v>
      </c>
      <c r="AB189" s="9">
        <f t="shared" si="151"/>
        <v>0</v>
      </c>
      <c r="AC189" s="9">
        <f t="shared" si="152"/>
        <v>0</v>
      </c>
      <c r="AD189" s="9">
        <f t="shared" si="153"/>
        <v>0</v>
      </c>
      <c r="AE189" s="40" t="e">
        <f t="shared" ca="1" si="154"/>
        <v>#NUM!</v>
      </c>
      <c r="AF189" s="40" t="e">
        <f t="shared" ca="1" si="155"/>
        <v>#NUM!</v>
      </c>
      <c r="AG189" s="40" t="e">
        <f t="shared" ca="1" si="156"/>
        <v>#NUM!</v>
      </c>
      <c r="AH189" s="40" t="e">
        <f t="shared" ca="1" si="157"/>
        <v>#NUM!</v>
      </c>
      <c r="AI189" s="40" t="e">
        <f t="shared" ca="1" si="158"/>
        <v>#NUM!</v>
      </c>
      <c r="AJ189" s="40" t="e">
        <f t="shared" ca="1" si="159"/>
        <v>#NUM!</v>
      </c>
      <c r="AK189" s="203" t="e">
        <f t="shared" ca="1" si="160"/>
        <v>#NUM!</v>
      </c>
      <c r="AL189" s="40" t="e">
        <f t="shared" ca="1" si="161"/>
        <v>#NUM!</v>
      </c>
      <c r="AM189" s="40" t="e">
        <f t="shared" ca="1" si="162"/>
        <v>#NUM!</v>
      </c>
      <c r="AN189" s="40" t="e">
        <f t="shared" ca="1" si="163"/>
        <v>#NUM!</v>
      </c>
      <c r="AO189" s="40" t="e">
        <f t="shared" ca="1" si="164"/>
        <v>#NUM!</v>
      </c>
      <c r="AP189" s="40" t="e">
        <f t="shared" ca="1" si="165"/>
        <v>#NUM!</v>
      </c>
      <c r="AQ189" s="40" t="e">
        <f t="shared" ca="1" si="166"/>
        <v>#NUM!</v>
      </c>
      <c r="AR189" s="40" t="e">
        <f t="shared" ca="1" si="167"/>
        <v>#NUM!</v>
      </c>
      <c r="AS189" s="40" t="e">
        <f t="shared" ca="1" si="168"/>
        <v>#NUM!</v>
      </c>
    </row>
    <row r="190" spans="1:45" x14ac:dyDescent="0.25">
      <c r="A190" s="154"/>
      <c r="B190" s="73">
        <f t="shared" si="144"/>
        <v>-59090.909090909088</v>
      </c>
      <c r="E190" s="148">
        <v>42826</v>
      </c>
      <c r="G190" s="139">
        <v>33</v>
      </c>
      <c r="H190" s="139">
        <v>0</v>
      </c>
      <c r="I190" s="49">
        <f t="shared" si="145"/>
        <v>46522</v>
      </c>
      <c r="J190" s="76">
        <v>1950000</v>
      </c>
      <c r="K190" s="40">
        <f t="shared" si="146"/>
        <v>33</v>
      </c>
      <c r="L190" s="74">
        <f t="shared" si="147"/>
        <v>1950000</v>
      </c>
      <c r="M190" s="76"/>
      <c r="N190" s="76">
        <f t="shared" si="148"/>
        <v>0</v>
      </c>
      <c r="O190" s="142"/>
      <c r="P190" s="142"/>
      <c r="Q190" s="142"/>
      <c r="R190" s="144"/>
      <c r="S190" s="144"/>
      <c r="T190" s="144"/>
      <c r="U190" s="144"/>
      <c r="V190" s="144"/>
      <c r="W190" s="144"/>
      <c r="X190" s="144"/>
      <c r="Y190" s="143"/>
      <c r="Z190" s="143">
        <f t="shared" si="149"/>
        <v>0</v>
      </c>
      <c r="AA190" s="9">
        <f t="shared" si="150"/>
        <v>0.375</v>
      </c>
      <c r="AB190" s="9">
        <f t="shared" si="151"/>
        <v>0</v>
      </c>
      <c r="AC190" s="9">
        <f t="shared" si="152"/>
        <v>0</v>
      </c>
      <c r="AD190" s="9">
        <f t="shared" si="153"/>
        <v>0</v>
      </c>
      <c r="AE190" s="40" t="e">
        <f t="shared" ca="1" si="154"/>
        <v>#NUM!</v>
      </c>
      <c r="AF190" s="40" t="e">
        <f t="shared" ca="1" si="155"/>
        <v>#NUM!</v>
      </c>
      <c r="AG190" s="40" t="e">
        <f t="shared" ca="1" si="156"/>
        <v>#NUM!</v>
      </c>
      <c r="AH190" s="40" t="e">
        <f t="shared" ca="1" si="157"/>
        <v>#NUM!</v>
      </c>
      <c r="AI190" s="40" t="e">
        <f t="shared" ca="1" si="158"/>
        <v>#NUM!</v>
      </c>
      <c r="AJ190" s="40" t="e">
        <f t="shared" ca="1" si="159"/>
        <v>#NUM!</v>
      </c>
      <c r="AK190" s="203" t="e">
        <f t="shared" ca="1" si="160"/>
        <v>#NUM!</v>
      </c>
      <c r="AL190" s="40" t="e">
        <f t="shared" ca="1" si="161"/>
        <v>#NUM!</v>
      </c>
      <c r="AM190" s="40" t="e">
        <f t="shared" ca="1" si="162"/>
        <v>#NUM!</v>
      </c>
      <c r="AN190" s="40" t="e">
        <f t="shared" ca="1" si="163"/>
        <v>#NUM!</v>
      </c>
      <c r="AO190" s="40" t="e">
        <f t="shared" ca="1" si="164"/>
        <v>#NUM!</v>
      </c>
      <c r="AP190" s="40" t="e">
        <f t="shared" ca="1" si="165"/>
        <v>#NUM!</v>
      </c>
      <c r="AQ190" s="40" t="e">
        <f t="shared" ca="1" si="166"/>
        <v>#NUM!</v>
      </c>
      <c r="AR190" s="40" t="e">
        <f t="shared" ca="1" si="167"/>
        <v>#NUM!</v>
      </c>
      <c r="AS190" s="40" t="e">
        <f t="shared" ca="1" si="168"/>
        <v>#NUM!</v>
      </c>
    </row>
    <row r="191" spans="1:45" x14ac:dyDescent="0.25">
      <c r="A191" s="154"/>
      <c r="B191" s="73">
        <f t="shared" si="144"/>
        <v>-59090.909090909088</v>
      </c>
      <c r="E191" s="148">
        <v>42826</v>
      </c>
      <c r="G191" s="139">
        <v>33</v>
      </c>
      <c r="H191" s="139">
        <v>0</v>
      </c>
      <c r="I191" s="49">
        <f t="shared" si="145"/>
        <v>46522</v>
      </c>
      <c r="J191" s="76">
        <v>1950000</v>
      </c>
      <c r="K191" s="40">
        <f t="shared" si="146"/>
        <v>33</v>
      </c>
      <c r="L191" s="74">
        <f t="shared" si="147"/>
        <v>1950000</v>
      </c>
      <c r="M191" s="76"/>
      <c r="N191" s="76">
        <f t="shared" si="148"/>
        <v>0</v>
      </c>
      <c r="O191" s="142"/>
      <c r="P191" s="142"/>
      <c r="Q191" s="142"/>
      <c r="R191" s="144"/>
      <c r="S191" s="144"/>
      <c r="T191" s="144"/>
      <c r="U191" s="144"/>
      <c r="V191" s="144"/>
      <c r="W191" s="144"/>
      <c r="X191" s="144"/>
      <c r="Y191" s="143"/>
      <c r="Z191" s="143">
        <f t="shared" si="149"/>
        <v>0</v>
      </c>
      <c r="AA191" s="9">
        <f t="shared" si="150"/>
        <v>0.375</v>
      </c>
      <c r="AB191" s="9">
        <f t="shared" si="151"/>
        <v>0</v>
      </c>
      <c r="AC191" s="9">
        <f t="shared" si="152"/>
        <v>0</v>
      </c>
      <c r="AD191" s="9">
        <f t="shared" si="153"/>
        <v>0</v>
      </c>
      <c r="AE191" s="40" t="e">
        <f t="shared" ca="1" si="154"/>
        <v>#NUM!</v>
      </c>
      <c r="AF191" s="40" t="e">
        <f t="shared" ca="1" si="155"/>
        <v>#NUM!</v>
      </c>
      <c r="AG191" s="40" t="e">
        <f t="shared" ca="1" si="156"/>
        <v>#NUM!</v>
      </c>
      <c r="AH191" s="40" t="e">
        <f t="shared" ca="1" si="157"/>
        <v>#NUM!</v>
      </c>
      <c r="AI191" s="40" t="e">
        <f t="shared" ca="1" si="158"/>
        <v>#NUM!</v>
      </c>
      <c r="AJ191" s="40" t="e">
        <f t="shared" ca="1" si="159"/>
        <v>#NUM!</v>
      </c>
      <c r="AK191" s="203" t="e">
        <f t="shared" ca="1" si="160"/>
        <v>#NUM!</v>
      </c>
      <c r="AL191" s="40" t="e">
        <f t="shared" ca="1" si="161"/>
        <v>#NUM!</v>
      </c>
      <c r="AM191" s="40" t="e">
        <f t="shared" ca="1" si="162"/>
        <v>#NUM!</v>
      </c>
      <c r="AN191" s="40" t="e">
        <f t="shared" ca="1" si="163"/>
        <v>#NUM!</v>
      </c>
      <c r="AO191" s="40" t="e">
        <f t="shared" ca="1" si="164"/>
        <v>#NUM!</v>
      </c>
      <c r="AP191" s="40" t="e">
        <f t="shared" ca="1" si="165"/>
        <v>#NUM!</v>
      </c>
      <c r="AQ191" s="40" t="e">
        <f t="shared" ca="1" si="166"/>
        <v>#NUM!</v>
      </c>
      <c r="AR191" s="40" t="e">
        <f t="shared" ca="1" si="167"/>
        <v>#NUM!</v>
      </c>
      <c r="AS191" s="40" t="e">
        <f t="shared" ca="1" si="168"/>
        <v>#NUM!</v>
      </c>
    </row>
    <row r="192" spans="1:45" x14ac:dyDescent="0.25">
      <c r="A192" s="154"/>
      <c r="B192" s="73">
        <f t="shared" si="144"/>
        <v>-59090.909090909088</v>
      </c>
      <c r="E192" s="148">
        <v>42826</v>
      </c>
      <c r="G192" s="139">
        <v>33</v>
      </c>
      <c r="H192" s="139">
        <v>0</v>
      </c>
      <c r="I192" s="49">
        <f t="shared" si="145"/>
        <v>46522</v>
      </c>
      <c r="J192" s="76">
        <v>1950000</v>
      </c>
      <c r="K192" s="40">
        <f t="shared" si="146"/>
        <v>33</v>
      </c>
      <c r="L192" s="74">
        <f t="shared" si="147"/>
        <v>1950000</v>
      </c>
      <c r="M192" s="76"/>
      <c r="N192" s="76">
        <f t="shared" si="148"/>
        <v>0</v>
      </c>
      <c r="O192" s="142"/>
      <c r="P192" s="142"/>
      <c r="Q192" s="142"/>
      <c r="R192" s="144"/>
      <c r="S192" s="144"/>
      <c r="T192" s="144"/>
      <c r="U192" s="144"/>
      <c r="V192" s="144"/>
      <c r="W192" s="144"/>
      <c r="X192" s="144"/>
      <c r="Y192" s="143"/>
      <c r="Z192" s="143">
        <f t="shared" si="149"/>
        <v>0</v>
      </c>
      <c r="AA192" s="9">
        <f t="shared" si="150"/>
        <v>0.375</v>
      </c>
      <c r="AB192" s="9">
        <f t="shared" si="151"/>
        <v>0</v>
      </c>
      <c r="AC192" s="9">
        <f t="shared" si="152"/>
        <v>0</v>
      </c>
      <c r="AD192" s="9">
        <f t="shared" si="153"/>
        <v>0</v>
      </c>
      <c r="AE192" s="40" t="e">
        <f t="shared" ca="1" si="154"/>
        <v>#NUM!</v>
      </c>
      <c r="AF192" s="40" t="e">
        <f t="shared" ca="1" si="155"/>
        <v>#NUM!</v>
      </c>
      <c r="AG192" s="40" t="e">
        <f t="shared" ca="1" si="156"/>
        <v>#NUM!</v>
      </c>
      <c r="AH192" s="40" t="e">
        <f t="shared" ca="1" si="157"/>
        <v>#NUM!</v>
      </c>
      <c r="AI192" s="40" t="e">
        <f t="shared" ca="1" si="158"/>
        <v>#NUM!</v>
      </c>
      <c r="AJ192" s="40" t="e">
        <f t="shared" ca="1" si="159"/>
        <v>#NUM!</v>
      </c>
      <c r="AK192" s="203" t="e">
        <f t="shared" ca="1" si="160"/>
        <v>#NUM!</v>
      </c>
      <c r="AL192" s="40" t="e">
        <f t="shared" ca="1" si="161"/>
        <v>#NUM!</v>
      </c>
      <c r="AM192" s="40" t="e">
        <f t="shared" ca="1" si="162"/>
        <v>#NUM!</v>
      </c>
      <c r="AN192" s="40" t="e">
        <f t="shared" ca="1" si="163"/>
        <v>#NUM!</v>
      </c>
      <c r="AO192" s="40" t="e">
        <f t="shared" ca="1" si="164"/>
        <v>#NUM!</v>
      </c>
      <c r="AP192" s="40" t="e">
        <f t="shared" ca="1" si="165"/>
        <v>#NUM!</v>
      </c>
      <c r="AQ192" s="40" t="e">
        <f t="shared" ca="1" si="166"/>
        <v>#NUM!</v>
      </c>
      <c r="AR192" s="40" t="e">
        <f t="shared" ca="1" si="167"/>
        <v>#NUM!</v>
      </c>
      <c r="AS192" s="40" t="e">
        <f t="shared" ca="1" si="168"/>
        <v>#NUM!</v>
      </c>
    </row>
    <row r="193" spans="1:45" x14ac:dyDescent="0.25">
      <c r="A193" s="154"/>
      <c r="B193" s="73">
        <f t="shared" si="144"/>
        <v>-59090.909090909088</v>
      </c>
      <c r="E193" s="148">
        <v>42826</v>
      </c>
      <c r="G193" s="139">
        <v>33</v>
      </c>
      <c r="H193" s="139">
        <v>0</v>
      </c>
      <c r="I193" s="49">
        <f t="shared" si="145"/>
        <v>46522</v>
      </c>
      <c r="J193" s="76">
        <v>1950000</v>
      </c>
      <c r="K193" s="40">
        <f t="shared" si="146"/>
        <v>33</v>
      </c>
      <c r="L193" s="74">
        <f t="shared" si="147"/>
        <v>1950000</v>
      </c>
      <c r="M193" s="76"/>
      <c r="N193" s="76">
        <f t="shared" si="148"/>
        <v>0</v>
      </c>
      <c r="O193" s="142"/>
      <c r="P193" s="142"/>
      <c r="Q193" s="142"/>
      <c r="R193" s="144"/>
      <c r="S193" s="144"/>
      <c r="T193" s="144"/>
      <c r="U193" s="144"/>
      <c r="V193" s="144"/>
      <c r="W193" s="144"/>
      <c r="X193" s="144"/>
      <c r="Y193" s="143"/>
      <c r="Z193" s="143">
        <f t="shared" si="149"/>
        <v>0</v>
      </c>
      <c r="AA193" s="9">
        <f t="shared" si="150"/>
        <v>0.375</v>
      </c>
      <c r="AB193" s="9">
        <f t="shared" si="151"/>
        <v>0</v>
      </c>
      <c r="AC193" s="9">
        <f t="shared" si="152"/>
        <v>0</v>
      </c>
      <c r="AD193" s="9">
        <f t="shared" si="153"/>
        <v>0</v>
      </c>
      <c r="AE193" s="40" t="e">
        <f t="shared" ca="1" si="154"/>
        <v>#NUM!</v>
      </c>
      <c r="AF193" s="40" t="e">
        <f t="shared" ca="1" si="155"/>
        <v>#NUM!</v>
      </c>
      <c r="AG193" s="40" t="e">
        <f t="shared" ca="1" si="156"/>
        <v>#NUM!</v>
      </c>
      <c r="AH193" s="40" t="e">
        <f t="shared" ca="1" si="157"/>
        <v>#NUM!</v>
      </c>
      <c r="AI193" s="40" t="e">
        <f t="shared" ca="1" si="158"/>
        <v>#NUM!</v>
      </c>
      <c r="AJ193" s="40" t="e">
        <f t="shared" ca="1" si="159"/>
        <v>#NUM!</v>
      </c>
      <c r="AK193" s="203" t="e">
        <f t="shared" ca="1" si="160"/>
        <v>#NUM!</v>
      </c>
      <c r="AL193" s="40" t="e">
        <f t="shared" ca="1" si="161"/>
        <v>#NUM!</v>
      </c>
      <c r="AM193" s="40" t="e">
        <f t="shared" ca="1" si="162"/>
        <v>#NUM!</v>
      </c>
      <c r="AN193" s="40" t="e">
        <f t="shared" ca="1" si="163"/>
        <v>#NUM!</v>
      </c>
      <c r="AO193" s="40" t="e">
        <f t="shared" ca="1" si="164"/>
        <v>#NUM!</v>
      </c>
      <c r="AP193" s="40" t="e">
        <f t="shared" ca="1" si="165"/>
        <v>#NUM!</v>
      </c>
      <c r="AQ193" s="40" t="e">
        <f t="shared" ca="1" si="166"/>
        <v>#NUM!</v>
      </c>
      <c r="AR193" s="40" t="e">
        <f t="shared" ca="1" si="167"/>
        <v>#NUM!</v>
      </c>
      <c r="AS193" s="40" t="e">
        <f t="shared" ca="1" si="168"/>
        <v>#NUM!</v>
      </c>
    </row>
    <row r="194" spans="1:45" x14ac:dyDescent="0.25">
      <c r="A194" s="154"/>
      <c r="B194" s="73">
        <f t="shared" si="144"/>
        <v>-59090.909090909088</v>
      </c>
      <c r="E194" s="148">
        <v>42826</v>
      </c>
      <c r="G194" s="139">
        <v>33</v>
      </c>
      <c r="H194" s="139">
        <v>0</v>
      </c>
      <c r="I194" s="49">
        <f t="shared" si="145"/>
        <v>46522</v>
      </c>
      <c r="J194" s="76">
        <v>1950000</v>
      </c>
      <c r="K194" s="40">
        <f t="shared" si="146"/>
        <v>33</v>
      </c>
      <c r="L194" s="74">
        <f t="shared" si="147"/>
        <v>1950000</v>
      </c>
      <c r="M194" s="76"/>
      <c r="N194" s="76">
        <f t="shared" si="148"/>
        <v>0</v>
      </c>
      <c r="O194" s="142"/>
      <c r="P194" s="142"/>
      <c r="Q194" s="142"/>
      <c r="R194" s="144"/>
      <c r="S194" s="144"/>
      <c r="T194" s="144"/>
      <c r="U194" s="144"/>
      <c r="V194" s="144"/>
      <c r="W194" s="144"/>
      <c r="X194" s="144"/>
      <c r="Y194" s="143"/>
      <c r="Z194" s="143">
        <f t="shared" si="149"/>
        <v>0</v>
      </c>
      <c r="AA194" s="9">
        <f t="shared" si="150"/>
        <v>0.375</v>
      </c>
      <c r="AB194" s="9">
        <f t="shared" si="151"/>
        <v>0</v>
      </c>
      <c r="AC194" s="9">
        <f t="shared" si="152"/>
        <v>0</v>
      </c>
      <c r="AD194" s="9">
        <f t="shared" si="153"/>
        <v>0</v>
      </c>
      <c r="AE194" s="40" t="e">
        <f t="shared" ca="1" si="154"/>
        <v>#NUM!</v>
      </c>
      <c r="AF194" s="40" t="e">
        <f t="shared" ca="1" si="155"/>
        <v>#NUM!</v>
      </c>
      <c r="AG194" s="40" t="e">
        <f t="shared" ca="1" si="156"/>
        <v>#NUM!</v>
      </c>
      <c r="AH194" s="40" t="e">
        <f t="shared" ca="1" si="157"/>
        <v>#NUM!</v>
      </c>
      <c r="AI194" s="40" t="e">
        <f t="shared" ca="1" si="158"/>
        <v>#NUM!</v>
      </c>
      <c r="AJ194" s="40" t="e">
        <f t="shared" ca="1" si="159"/>
        <v>#NUM!</v>
      </c>
      <c r="AK194" s="203" t="e">
        <f t="shared" ca="1" si="160"/>
        <v>#NUM!</v>
      </c>
      <c r="AL194" s="40" t="e">
        <f t="shared" ca="1" si="161"/>
        <v>#NUM!</v>
      </c>
      <c r="AM194" s="40" t="e">
        <f t="shared" ca="1" si="162"/>
        <v>#NUM!</v>
      </c>
      <c r="AN194" s="40" t="e">
        <f t="shared" ca="1" si="163"/>
        <v>#NUM!</v>
      </c>
      <c r="AO194" s="40" t="e">
        <f t="shared" ca="1" si="164"/>
        <v>#NUM!</v>
      </c>
      <c r="AP194" s="40" t="e">
        <f t="shared" ca="1" si="165"/>
        <v>#NUM!</v>
      </c>
      <c r="AQ194" s="40" t="e">
        <f t="shared" ca="1" si="166"/>
        <v>#NUM!</v>
      </c>
      <c r="AR194" s="40" t="e">
        <f t="shared" ca="1" si="167"/>
        <v>#NUM!</v>
      </c>
      <c r="AS194" s="40" t="e">
        <f t="shared" ca="1" si="168"/>
        <v>#NUM!</v>
      </c>
    </row>
    <row r="195" spans="1:45" x14ac:dyDescent="0.25">
      <c r="A195" s="154"/>
      <c r="B195" s="73">
        <f t="shared" si="144"/>
        <v>-59090.909090909088</v>
      </c>
      <c r="E195" s="148">
        <v>42826</v>
      </c>
      <c r="G195" s="139">
        <v>33</v>
      </c>
      <c r="H195" s="139">
        <v>0</v>
      </c>
      <c r="I195" s="49">
        <f t="shared" si="145"/>
        <v>46522</v>
      </c>
      <c r="J195" s="76">
        <v>1950000</v>
      </c>
      <c r="K195" s="40">
        <f t="shared" si="146"/>
        <v>33</v>
      </c>
      <c r="L195" s="74">
        <f t="shared" si="147"/>
        <v>1950000</v>
      </c>
      <c r="M195" s="76"/>
      <c r="N195" s="76">
        <f t="shared" si="148"/>
        <v>0</v>
      </c>
      <c r="O195" s="142"/>
      <c r="P195" s="142"/>
      <c r="Q195" s="142"/>
      <c r="R195" s="144"/>
      <c r="S195" s="144"/>
      <c r="T195" s="144"/>
      <c r="U195" s="144"/>
      <c r="V195" s="144"/>
      <c r="W195" s="144"/>
      <c r="X195" s="144"/>
      <c r="Y195" s="143"/>
      <c r="Z195" s="143">
        <f t="shared" si="149"/>
        <v>0</v>
      </c>
      <c r="AA195" s="9">
        <f t="shared" si="150"/>
        <v>0.375</v>
      </c>
      <c r="AB195" s="9">
        <f t="shared" si="151"/>
        <v>0</v>
      </c>
      <c r="AC195" s="9">
        <f t="shared" si="152"/>
        <v>0</v>
      </c>
      <c r="AD195" s="9">
        <f t="shared" si="153"/>
        <v>0</v>
      </c>
      <c r="AE195" s="40" t="e">
        <f t="shared" ca="1" si="154"/>
        <v>#NUM!</v>
      </c>
      <c r="AF195" s="40" t="e">
        <f t="shared" ca="1" si="155"/>
        <v>#NUM!</v>
      </c>
      <c r="AG195" s="40" t="e">
        <f t="shared" ca="1" si="156"/>
        <v>#NUM!</v>
      </c>
      <c r="AH195" s="40" t="e">
        <f t="shared" ca="1" si="157"/>
        <v>#NUM!</v>
      </c>
      <c r="AI195" s="40" t="e">
        <f t="shared" ca="1" si="158"/>
        <v>#NUM!</v>
      </c>
      <c r="AJ195" s="40" t="e">
        <f t="shared" ca="1" si="159"/>
        <v>#NUM!</v>
      </c>
      <c r="AK195" s="203" t="e">
        <f t="shared" ca="1" si="160"/>
        <v>#NUM!</v>
      </c>
      <c r="AL195" s="40" t="e">
        <f t="shared" ca="1" si="161"/>
        <v>#NUM!</v>
      </c>
      <c r="AM195" s="40" t="e">
        <f t="shared" ca="1" si="162"/>
        <v>#NUM!</v>
      </c>
      <c r="AN195" s="40" t="e">
        <f t="shared" ca="1" si="163"/>
        <v>#NUM!</v>
      </c>
      <c r="AO195" s="40" t="e">
        <f t="shared" ca="1" si="164"/>
        <v>#NUM!</v>
      </c>
      <c r="AP195" s="40" t="e">
        <f t="shared" ca="1" si="165"/>
        <v>#NUM!</v>
      </c>
      <c r="AQ195" s="40" t="e">
        <f t="shared" ca="1" si="166"/>
        <v>#NUM!</v>
      </c>
      <c r="AR195" s="40" t="e">
        <f t="shared" ca="1" si="167"/>
        <v>#NUM!</v>
      </c>
      <c r="AS195" s="40" t="e">
        <f t="shared" ca="1" si="168"/>
        <v>#NUM!</v>
      </c>
    </row>
    <row r="196" spans="1:45" x14ac:dyDescent="0.25">
      <c r="A196" s="154"/>
      <c r="B196" s="73">
        <f t="shared" si="144"/>
        <v>-59090.909090909088</v>
      </c>
      <c r="E196" s="148">
        <v>42826</v>
      </c>
      <c r="G196" s="139">
        <v>33</v>
      </c>
      <c r="H196" s="139">
        <v>0</v>
      </c>
      <c r="I196" s="49">
        <f t="shared" si="145"/>
        <v>46522</v>
      </c>
      <c r="J196" s="76">
        <v>1950000</v>
      </c>
      <c r="K196" s="40">
        <f t="shared" si="146"/>
        <v>33</v>
      </c>
      <c r="L196" s="74">
        <f t="shared" si="147"/>
        <v>1950000</v>
      </c>
      <c r="M196" s="76"/>
      <c r="N196" s="76">
        <f t="shared" si="148"/>
        <v>0</v>
      </c>
      <c r="O196" s="142"/>
      <c r="P196" s="142"/>
      <c r="Q196" s="142"/>
      <c r="R196" s="144"/>
      <c r="S196" s="144"/>
      <c r="T196" s="144"/>
      <c r="U196" s="144"/>
      <c r="V196" s="144"/>
      <c r="W196" s="144"/>
      <c r="X196" s="144"/>
      <c r="Y196" s="143"/>
      <c r="Z196" s="143">
        <f t="shared" si="149"/>
        <v>0</v>
      </c>
      <c r="AA196" s="9">
        <f t="shared" si="150"/>
        <v>0.375</v>
      </c>
      <c r="AB196" s="9">
        <f t="shared" si="151"/>
        <v>0</v>
      </c>
      <c r="AC196" s="9">
        <f t="shared" si="152"/>
        <v>0</v>
      </c>
      <c r="AD196" s="9">
        <f t="shared" si="153"/>
        <v>0</v>
      </c>
      <c r="AE196" s="40" t="e">
        <f t="shared" ca="1" si="154"/>
        <v>#NUM!</v>
      </c>
      <c r="AF196" s="40" t="e">
        <f t="shared" ca="1" si="155"/>
        <v>#NUM!</v>
      </c>
      <c r="AG196" s="40" t="e">
        <f t="shared" ca="1" si="156"/>
        <v>#NUM!</v>
      </c>
      <c r="AH196" s="40" t="e">
        <f t="shared" ca="1" si="157"/>
        <v>#NUM!</v>
      </c>
      <c r="AI196" s="40" t="e">
        <f t="shared" ca="1" si="158"/>
        <v>#NUM!</v>
      </c>
      <c r="AJ196" s="40" t="e">
        <f t="shared" ca="1" si="159"/>
        <v>#NUM!</v>
      </c>
      <c r="AK196" s="203" t="e">
        <f t="shared" ca="1" si="160"/>
        <v>#NUM!</v>
      </c>
      <c r="AL196" s="40" t="e">
        <f t="shared" ca="1" si="161"/>
        <v>#NUM!</v>
      </c>
      <c r="AM196" s="40" t="e">
        <f t="shared" ca="1" si="162"/>
        <v>#NUM!</v>
      </c>
      <c r="AN196" s="40" t="e">
        <f t="shared" ca="1" si="163"/>
        <v>#NUM!</v>
      </c>
      <c r="AO196" s="40" t="e">
        <f t="shared" ca="1" si="164"/>
        <v>#NUM!</v>
      </c>
      <c r="AP196" s="40" t="e">
        <f t="shared" ca="1" si="165"/>
        <v>#NUM!</v>
      </c>
      <c r="AQ196" s="40" t="e">
        <f t="shared" ca="1" si="166"/>
        <v>#NUM!</v>
      </c>
      <c r="AR196" s="40" t="e">
        <f t="shared" ca="1" si="167"/>
        <v>#NUM!</v>
      </c>
      <c r="AS196" s="40" t="e">
        <f t="shared" ca="1" si="168"/>
        <v>#NUM!</v>
      </c>
    </row>
    <row r="197" spans="1:45" x14ac:dyDescent="0.25">
      <c r="A197" s="154"/>
      <c r="B197" s="73">
        <f t="shared" si="144"/>
        <v>-59090.909090909088</v>
      </c>
      <c r="E197" s="148">
        <v>42826</v>
      </c>
      <c r="G197" s="139">
        <v>33</v>
      </c>
      <c r="H197" s="139">
        <v>0</v>
      </c>
      <c r="I197" s="49">
        <f t="shared" si="145"/>
        <v>46522</v>
      </c>
      <c r="J197" s="76">
        <v>1950000</v>
      </c>
      <c r="K197" s="40">
        <f t="shared" si="146"/>
        <v>33</v>
      </c>
      <c r="L197" s="74">
        <f t="shared" si="147"/>
        <v>1950000</v>
      </c>
      <c r="M197" s="76"/>
      <c r="N197" s="76">
        <f t="shared" si="148"/>
        <v>0</v>
      </c>
      <c r="O197" s="142"/>
      <c r="P197" s="142"/>
      <c r="Q197" s="142"/>
      <c r="R197" s="144"/>
      <c r="S197" s="144"/>
      <c r="T197" s="144"/>
      <c r="U197" s="144"/>
      <c r="V197" s="144"/>
      <c r="W197" s="144"/>
      <c r="X197" s="144"/>
      <c r="Y197" s="143"/>
      <c r="Z197" s="143">
        <f t="shared" si="149"/>
        <v>0</v>
      </c>
      <c r="AA197" s="9">
        <f t="shared" si="150"/>
        <v>0.375</v>
      </c>
      <c r="AB197" s="9">
        <f t="shared" si="151"/>
        <v>0</v>
      </c>
      <c r="AC197" s="9">
        <f t="shared" si="152"/>
        <v>0</v>
      </c>
      <c r="AD197" s="9">
        <f t="shared" si="153"/>
        <v>0</v>
      </c>
      <c r="AE197" s="40" t="e">
        <f t="shared" ca="1" si="154"/>
        <v>#NUM!</v>
      </c>
      <c r="AF197" s="40" t="e">
        <f t="shared" ca="1" si="155"/>
        <v>#NUM!</v>
      </c>
      <c r="AG197" s="40" t="e">
        <f t="shared" ca="1" si="156"/>
        <v>#NUM!</v>
      </c>
      <c r="AH197" s="40" t="e">
        <f t="shared" ca="1" si="157"/>
        <v>#NUM!</v>
      </c>
      <c r="AI197" s="40" t="e">
        <f t="shared" ca="1" si="158"/>
        <v>#NUM!</v>
      </c>
      <c r="AJ197" s="40" t="e">
        <f t="shared" ca="1" si="159"/>
        <v>#NUM!</v>
      </c>
      <c r="AK197" s="203" t="e">
        <f t="shared" ca="1" si="160"/>
        <v>#NUM!</v>
      </c>
      <c r="AL197" s="40" t="e">
        <f t="shared" ca="1" si="161"/>
        <v>#NUM!</v>
      </c>
      <c r="AM197" s="40" t="e">
        <f t="shared" ca="1" si="162"/>
        <v>#NUM!</v>
      </c>
      <c r="AN197" s="40" t="e">
        <f t="shared" ca="1" si="163"/>
        <v>#NUM!</v>
      </c>
      <c r="AO197" s="40" t="e">
        <f t="shared" ca="1" si="164"/>
        <v>#NUM!</v>
      </c>
      <c r="AP197" s="40" t="e">
        <f t="shared" ca="1" si="165"/>
        <v>#NUM!</v>
      </c>
      <c r="AQ197" s="40" t="e">
        <f t="shared" ca="1" si="166"/>
        <v>#NUM!</v>
      </c>
      <c r="AR197" s="40" t="e">
        <f t="shared" ca="1" si="167"/>
        <v>#NUM!</v>
      </c>
      <c r="AS197" s="40" t="e">
        <f t="shared" ca="1" si="168"/>
        <v>#NUM!</v>
      </c>
    </row>
    <row r="198" spans="1:45" x14ac:dyDescent="0.25">
      <c r="A198" s="154"/>
      <c r="B198" s="73">
        <f t="shared" si="144"/>
        <v>-59090.909090909088</v>
      </c>
      <c r="E198" s="148">
        <v>42826</v>
      </c>
      <c r="G198" s="139">
        <v>33</v>
      </c>
      <c r="H198" s="139">
        <v>0</v>
      </c>
      <c r="I198" s="49">
        <f t="shared" si="145"/>
        <v>46522</v>
      </c>
      <c r="J198" s="76">
        <v>1950000</v>
      </c>
      <c r="K198" s="40">
        <f t="shared" si="146"/>
        <v>33</v>
      </c>
      <c r="L198" s="74">
        <f t="shared" si="147"/>
        <v>1950000</v>
      </c>
      <c r="M198" s="76"/>
      <c r="N198" s="76">
        <f t="shared" si="148"/>
        <v>0</v>
      </c>
      <c r="O198" s="142"/>
      <c r="P198" s="142"/>
      <c r="Q198" s="142"/>
      <c r="R198" s="144"/>
      <c r="S198" s="144"/>
      <c r="T198" s="144"/>
      <c r="U198" s="144"/>
      <c r="V198" s="144"/>
      <c r="W198" s="144"/>
      <c r="X198" s="144"/>
      <c r="Y198" s="143"/>
      <c r="Z198" s="143">
        <f t="shared" si="149"/>
        <v>0</v>
      </c>
      <c r="AA198" s="9">
        <f t="shared" si="150"/>
        <v>0.375</v>
      </c>
      <c r="AB198" s="9">
        <f t="shared" si="151"/>
        <v>0</v>
      </c>
      <c r="AC198" s="9">
        <f t="shared" si="152"/>
        <v>0</v>
      </c>
      <c r="AD198" s="9">
        <f t="shared" si="153"/>
        <v>0</v>
      </c>
      <c r="AE198" s="40" t="e">
        <f t="shared" ca="1" si="154"/>
        <v>#NUM!</v>
      </c>
      <c r="AF198" s="40" t="e">
        <f t="shared" ca="1" si="155"/>
        <v>#NUM!</v>
      </c>
      <c r="AG198" s="40" t="e">
        <f t="shared" ca="1" si="156"/>
        <v>#NUM!</v>
      </c>
      <c r="AH198" s="40" t="e">
        <f t="shared" ca="1" si="157"/>
        <v>#NUM!</v>
      </c>
      <c r="AI198" s="40" t="e">
        <f t="shared" ca="1" si="158"/>
        <v>#NUM!</v>
      </c>
      <c r="AJ198" s="40" t="e">
        <f t="shared" ca="1" si="159"/>
        <v>#NUM!</v>
      </c>
      <c r="AK198" s="203" t="e">
        <f t="shared" ca="1" si="160"/>
        <v>#NUM!</v>
      </c>
      <c r="AL198" s="40" t="e">
        <f t="shared" ca="1" si="161"/>
        <v>#NUM!</v>
      </c>
      <c r="AM198" s="40" t="e">
        <f t="shared" ca="1" si="162"/>
        <v>#NUM!</v>
      </c>
      <c r="AN198" s="40" t="e">
        <f t="shared" ca="1" si="163"/>
        <v>#NUM!</v>
      </c>
      <c r="AO198" s="40" t="e">
        <f t="shared" ca="1" si="164"/>
        <v>#NUM!</v>
      </c>
      <c r="AP198" s="40" t="e">
        <f t="shared" ca="1" si="165"/>
        <v>#NUM!</v>
      </c>
      <c r="AQ198" s="40" t="e">
        <f t="shared" ca="1" si="166"/>
        <v>#NUM!</v>
      </c>
      <c r="AR198" s="40" t="e">
        <f t="shared" ca="1" si="167"/>
        <v>#NUM!</v>
      </c>
      <c r="AS198" s="40" t="e">
        <f t="shared" ca="1" si="168"/>
        <v>#NUM!</v>
      </c>
    </row>
    <row r="199" spans="1:45" x14ac:dyDescent="0.25">
      <c r="A199" s="154"/>
      <c r="B199" s="73">
        <f t="shared" si="144"/>
        <v>-59090.909090909088</v>
      </c>
      <c r="E199" s="148">
        <v>42826</v>
      </c>
      <c r="G199" s="139">
        <v>33</v>
      </c>
      <c r="H199" s="139">
        <v>0</v>
      </c>
      <c r="I199" s="49">
        <f t="shared" si="145"/>
        <v>46522</v>
      </c>
      <c r="J199" s="76">
        <v>1950000</v>
      </c>
      <c r="K199" s="40">
        <f t="shared" si="146"/>
        <v>33</v>
      </c>
      <c r="L199" s="74">
        <f t="shared" si="147"/>
        <v>1950000</v>
      </c>
      <c r="M199" s="76"/>
      <c r="N199" s="76">
        <f t="shared" si="148"/>
        <v>0</v>
      </c>
      <c r="O199" s="142"/>
      <c r="P199" s="142"/>
      <c r="Q199" s="142"/>
      <c r="R199" s="144"/>
      <c r="S199" s="144"/>
      <c r="T199" s="144"/>
      <c r="U199" s="144"/>
      <c r="V199" s="144"/>
      <c r="W199" s="144"/>
      <c r="X199" s="144"/>
      <c r="Y199" s="143"/>
      <c r="Z199" s="143">
        <f t="shared" si="149"/>
        <v>0</v>
      </c>
      <c r="AA199" s="9">
        <f t="shared" si="150"/>
        <v>0.375</v>
      </c>
      <c r="AB199" s="9">
        <f t="shared" si="151"/>
        <v>0</v>
      </c>
      <c r="AC199" s="9">
        <f t="shared" si="152"/>
        <v>0</v>
      </c>
      <c r="AD199" s="9">
        <f t="shared" si="153"/>
        <v>0</v>
      </c>
      <c r="AE199" s="40" t="e">
        <f t="shared" ca="1" si="154"/>
        <v>#NUM!</v>
      </c>
      <c r="AF199" s="40" t="e">
        <f t="shared" ca="1" si="155"/>
        <v>#NUM!</v>
      </c>
      <c r="AG199" s="40" t="e">
        <f t="shared" ca="1" si="156"/>
        <v>#NUM!</v>
      </c>
      <c r="AH199" s="40" t="e">
        <f t="shared" ca="1" si="157"/>
        <v>#NUM!</v>
      </c>
      <c r="AI199" s="40" t="e">
        <f t="shared" ca="1" si="158"/>
        <v>#NUM!</v>
      </c>
      <c r="AJ199" s="40" t="e">
        <f t="shared" ca="1" si="159"/>
        <v>#NUM!</v>
      </c>
      <c r="AK199" s="203" t="e">
        <f t="shared" ca="1" si="160"/>
        <v>#NUM!</v>
      </c>
      <c r="AL199" s="40" t="e">
        <f t="shared" ca="1" si="161"/>
        <v>#NUM!</v>
      </c>
      <c r="AM199" s="40" t="e">
        <f t="shared" ca="1" si="162"/>
        <v>#NUM!</v>
      </c>
      <c r="AN199" s="40" t="e">
        <f t="shared" ca="1" si="163"/>
        <v>#NUM!</v>
      </c>
      <c r="AO199" s="40" t="e">
        <f t="shared" ca="1" si="164"/>
        <v>#NUM!</v>
      </c>
      <c r="AP199" s="40" t="e">
        <f t="shared" ca="1" si="165"/>
        <v>#NUM!</v>
      </c>
      <c r="AQ199" s="40" t="e">
        <f t="shared" ca="1" si="166"/>
        <v>#NUM!</v>
      </c>
      <c r="AR199" s="40" t="e">
        <f t="shared" ca="1" si="167"/>
        <v>#NUM!</v>
      </c>
      <c r="AS199" s="40" t="e">
        <f t="shared" ca="1" si="168"/>
        <v>#NUM!</v>
      </c>
    </row>
    <row r="200" spans="1:45" x14ac:dyDescent="0.25">
      <c r="A200" s="154"/>
      <c r="B200" s="73">
        <f t="shared" si="144"/>
        <v>-59090.909090909088</v>
      </c>
      <c r="E200" s="148">
        <v>42826</v>
      </c>
      <c r="G200" s="139">
        <v>33</v>
      </c>
      <c r="H200" s="139">
        <v>0</v>
      </c>
      <c r="I200" s="49">
        <f t="shared" si="145"/>
        <v>46522</v>
      </c>
      <c r="J200" s="76">
        <v>1950000</v>
      </c>
      <c r="K200" s="40">
        <f t="shared" si="146"/>
        <v>33</v>
      </c>
      <c r="L200" s="74">
        <f t="shared" si="147"/>
        <v>1950000</v>
      </c>
      <c r="M200" s="76"/>
      <c r="N200" s="76">
        <f t="shared" si="148"/>
        <v>0</v>
      </c>
      <c r="O200" s="142"/>
      <c r="P200" s="142"/>
      <c r="Q200" s="142"/>
      <c r="R200" s="144"/>
      <c r="S200" s="144"/>
      <c r="T200" s="144"/>
      <c r="U200" s="144"/>
      <c r="V200" s="144"/>
      <c r="W200" s="144"/>
      <c r="X200" s="144"/>
      <c r="Y200" s="143"/>
      <c r="Z200" s="143">
        <f t="shared" si="149"/>
        <v>0</v>
      </c>
      <c r="AA200" s="9">
        <f t="shared" si="150"/>
        <v>0.375</v>
      </c>
      <c r="AB200" s="9">
        <f t="shared" si="151"/>
        <v>0</v>
      </c>
      <c r="AC200" s="9">
        <f t="shared" si="152"/>
        <v>0</v>
      </c>
      <c r="AD200" s="9">
        <f t="shared" si="153"/>
        <v>0</v>
      </c>
      <c r="AE200" s="40" t="e">
        <f t="shared" ca="1" si="154"/>
        <v>#NUM!</v>
      </c>
      <c r="AF200" s="40" t="e">
        <f t="shared" ca="1" si="155"/>
        <v>#NUM!</v>
      </c>
      <c r="AG200" s="40" t="e">
        <f t="shared" ca="1" si="156"/>
        <v>#NUM!</v>
      </c>
      <c r="AH200" s="40" t="e">
        <f t="shared" ca="1" si="157"/>
        <v>#NUM!</v>
      </c>
      <c r="AI200" s="40" t="e">
        <f t="shared" ca="1" si="158"/>
        <v>#NUM!</v>
      </c>
      <c r="AJ200" s="40" t="e">
        <f t="shared" ca="1" si="159"/>
        <v>#NUM!</v>
      </c>
      <c r="AK200" s="203" t="e">
        <f t="shared" ca="1" si="160"/>
        <v>#NUM!</v>
      </c>
      <c r="AL200" s="40" t="e">
        <f t="shared" ca="1" si="161"/>
        <v>#NUM!</v>
      </c>
      <c r="AM200" s="40" t="e">
        <f t="shared" ca="1" si="162"/>
        <v>#NUM!</v>
      </c>
      <c r="AN200" s="40" t="e">
        <f t="shared" ca="1" si="163"/>
        <v>#NUM!</v>
      </c>
      <c r="AO200" s="40" t="e">
        <f t="shared" ca="1" si="164"/>
        <v>#NUM!</v>
      </c>
      <c r="AP200" s="40" t="e">
        <f t="shared" ca="1" si="165"/>
        <v>#NUM!</v>
      </c>
      <c r="AQ200" s="40" t="e">
        <f t="shared" ca="1" si="166"/>
        <v>#NUM!</v>
      </c>
      <c r="AR200" s="40" t="e">
        <f t="shared" ca="1" si="167"/>
        <v>#NUM!</v>
      </c>
      <c r="AS200" s="40" t="e">
        <f t="shared" ca="1" si="168"/>
        <v>#NUM!</v>
      </c>
    </row>
    <row r="201" spans="1:45" x14ac:dyDescent="0.25">
      <c r="A201" s="154"/>
      <c r="B201" s="73">
        <f t="shared" si="144"/>
        <v>-59090.909090909088</v>
      </c>
      <c r="E201" s="148">
        <v>42826</v>
      </c>
      <c r="G201" s="139">
        <v>33</v>
      </c>
      <c r="H201" s="139">
        <v>0</v>
      </c>
      <c r="I201" s="49">
        <f t="shared" si="145"/>
        <v>46522</v>
      </c>
      <c r="J201" s="76">
        <v>1950000</v>
      </c>
      <c r="K201" s="40">
        <f t="shared" si="146"/>
        <v>33</v>
      </c>
      <c r="L201" s="74">
        <f t="shared" si="147"/>
        <v>1950000</v>
      </c>
      <c r="M201" s="76"/>
      <c r="N201" s="76">
        <f t="shared" si="148"/>
        <v>0</v>
      </c>
      <c r="O201" s="142"/>
      <c r="P201" s="142"/>
      <c r="Q201" s="142"/>
      <c r="R201" s="144"/>
      <c r="S201" s="144"/>
      <c r="T201" s="144"/>
      <c r="U201" s="144"/>
      <c r="V201" s="144"/>
      <c r="W201" s="144"/>
      <c r="X201" s="144"/>
      <c r="Y201" s="143"/>
      <c r="Z201" s="143">
        <f t="shared" si="149"/>
        <v>0</v>
      </c>
      <c r="AA201" s="9">
        <f t="shared" si="150"/>
        <v>0.375</v>
      </c>
      <c r="AB201" s="9">
        <f t="shared" si="151"/>
        <v>0</v>
      </c>
      <c r="AC201" s="9">
        <f t="shared" si="152"/>
        <v>0</v>
      </c>
      <c r="AD201" s="9">
        <f t="shared" si="153"/>
        <v>0</v>
      </c>
      <c r="AE201" s="40" t="e">
        <f t="shared" ca="1" si="154"/>
        <v>#NUM!</v>
      </c>
      <c r="AF201" s="40" t="e">
        <f t="shared" ca="1" si="155"/>
        <v>#NUM!</v>
      </c>
      <c r="AG201" s="40" t="e">
        <f t="shared" ca="1" si="156"/>
        <v>#NUM!</v>
      </c>
      <c r="AH201" s="40" t="e">
        <f t="shared" ca="1" si="157"/>
        <v>#NUM!</v>
      </c>
      <c r="AI201" s="40" t="e">
        <f t="shared" ca="1" si="158"/>
        <v>#NUM!</v>
      </c>
      <c r="AJ201" s="40" t="e">
        <f t="shared" ca="1" si="159"/>
        <v>#NUM!</v>
      </c>
      <c r="AK201" s="203" t="e">
        <f t="shared" ca="1" si="160"/>
        <v>#NUM!</v>
      </c>
      <c r="AL201" s="40" t="e">
        <f t="shared" ca="1" si="161"/>
        <v>#NUM!</v>
      </c>
      <c r="AM201" s="40" t="e">
        <f t="shared" ca="1" si="162"/>
        <v>#NUM!</v>
      </c>
      <c r="AN201" s="40" t="e">
        <f t="shared" ca="1" si="163"/>
        <v>#NUM!</v>
      </c>
      <c r="AO201" s="40" t="e">
        <f t="shared" ca="1" si="164"/>
        <v>#NUM!</v>
      </c>
      <c r="AP201" s="40" t="e">
        <f t="shared" ca="1" si="165"/>
        <v>#NUM!</v>
      </c>
      <c r="AQ201" s="40" t="e">
        <f t="shared" ca="1" si="166"/>
        <v>#NUM!</v>
      </c>
      <c r="AR201" s="40" t="e">
        <f t="shared" ca="1" si="167"/>
        <v>#NUM!</v>
      </c>
      <c r="AS201" s="40" t="e">
        <f t="shared" ca="1" si="168"/>
        <v>#NUM!</v>
      </c>
    </row>
    <row r="202" spans="1:45" x14ac:dyDescent="0.25">
      <c r="A202" s="154"/>
      <c r="B202" s="73">
        <f t="shared" si="144"/>
        <v>-59090.909090909088</v>
      </c>
      <c r="E202" s="148">
        <v>42826</v>
      </c>
      <c r="G202" s="139">
        <v>33</v>
      </c>
      <c r="H202" s="139">
        <v>0</v>
      </c>
      <c r="I202" s="49">
        <f t="shared" si="145"/>
        <v>46522</v>
      </c>
      <c r="J202" s="76">
        <v>1950000</v>
      </c>
      <c r="K202" s="40">
        <f t="shared" si="146"/>
        <v>33</v>
      </c>
      <c r="L202" s="74">
        <f t="shared" si="147"/>
        <v>1950000</v>
      </c>
      <c r="M202" s="76"/>
      <c r="N202" s="76">
        <f t="shared" si="148"/>
        <v>0</v>
      </c>
      <c r="O202" s="142"/>
      <c r="P202" s="142"/>
      <c r="Q202" s="142"/>
      <c r="R202" s="144"/>
      <c r="S202" s="144"/>
      <c r="T202" s="144"/>
      <c r="U202" s="144"/>
      <c r="V202" s="144"/>
      <c r="W202" s="144"/>
      <c r="X202" s="144"/>
      <c r="Y202" s="143"/>
      <c r="Z202" s="143">
        <f t="shared" si="149"/>
        <v>0</v>
      </c>
      <c r="AA202" s="9">
        <f t="shared" si="150"/>
        <v>0.375</v>
      </c>
      <c r="AB202" s="9">
        <f t="shared" si="151"/>
        <v>0</v>
      </c>
      <c r="AC202" s="9">
        <f t="shared" si="152"/>
        <v>0</v>
      </c>
      <c r="AD202" s="9">
        <f t="shared" si="153"/>
        <v>0</v>
      </c>
      <c r="AE202" s="40" t="e">
        <f t="shared" ca="1" si="154"/>
        <v>#NUM!</v>
      </c>
      <c r="AF202" s="40" t="e">
        <f t="shared" ca="1" si="155"/>
        <v>#NUM!</v>
      </c>
      <c r="AG202" s="40" t="e">
        <f t="shared" ca="1" si="156"/>
        <v>#NUM!</v>
      </c>
      <c r="AH202" s="40" t="e">
        <f t="shared" ca="1" si="157"/>
        <v>#NUM!</v>
      </c>
      <c r="AI202" s="40" t="e">
        <f t="shared" ca="1" si="158"/>
        <v>#NUM!</v>
      </c>
      <c r="AJ202" s="40" t="e">
        <f t="shared" ca="1" si="159"/>
        <v>#NUM!</v>
      </c>
      <c r="AK202" s="203" t="e">
        <f t="shared" ca="1" si="160"/>
        <v>#NUM!</v>
      </c>
      <c r="AL202" s="40" t="e">
        <f t="shared" ca="1" si="161"/>
        <v>#NUM!</v>
      </c>
      <c r="AM202" s="40" t="e">
        <f t="shared" ca="1" si="162"/>
        <v>#NUM!</v>
      </c>
      <c r="AN202" s="40" t="e">
        <f t="shared" ca="1" si="163"/>
        <v>#NUM!</v>
      </c>
      <c r="AO202" s="40" t="e">
        <f t="shared" ca="1" si="164"/>
        <v>#NUM!</v>
      </c>
      <c r="AP202" s="40" t="e">
        <f t="shared" ca="1" si="165"/>
        <v>#NUM!</v>
      </c>
      <c r="AQ202" s="40" t="e">
        <f t="shared" ca="1" si="166"/>
        <v>#NUM!</v>
      </c>
      <c r="AR202" s="40" t="e">
        <f t="shared" ca="1" si="167"/>
        <v>#NUM!</v>
      </c>
      <c r="AS202" s="40" t="e">
        <f t="shared" ca="1" si="168"/>
        <v>#NUM!</v>
      </c>
    </row>
    <row r="203" spans="1:45" x14ac:dyDescent="0.25">
      <c r="A203" s="154"/>
      <c r="B203" s="73">
        <f t="shared" si="144"/>
        <v>-59090.909090909088</v>
      </c>
      <c r="E203" s="148">
        <v>42826</v>
      </c>
      <c r="G203" s="139">
        <v>33</v>
      </c>
      <c r="H203" s="139">
        <v>0</v>
      </c>
      <c r="I203" s="49">
        <f t="shared" si="145"/>
        <v>46522</v>
      </c>
      <c r="J203" s="76">
        <v>1950000</v>
      </c>
      <c r="K203" s="40">
        <f t="shared" si="146"/>
        <v>33</v>
      </c>
      <c r="L203" s="74">
        <f t="shared" si="147"/>
        <v>1950000</v>
      </c>
      <c r="M203" s="76"/>
      <c r="N203" s="76">
        <f t="shared" si="148"/>
        <v>0</v>
      </c>
      <c r="O203" s="142"/>
      <c r="P203" s="142"/>
      <c r="Q203" s="142"/>
      <c r="R203" s="144"/>
      <c r="S203" s="144"/>
      <c r="T203" s="144"/>
      <c r="U203" s="144"/>
      <c r="V203" s="144"/>
      <c r="W203" s="144"/>
      <c r="X203" s="144"/>
      <c r="Y203" s="143"/>
      <c r="Z203" s="143">
        <f t="shared" si="149"/>
        <v>0</v>
      </c>
      <c r="AA203" s="9">
        <f t="shared" si="150"/>
        <v>0.375</v>
      </c>
      <c r="AB203" s="9">
        <f t="shared" si="151"/>
        <v>0</v>
      </c>
      <c r="AC203" s="9">
        <f t="shared" si="152"/>
        <v>0</v>
      </c>
      <c r="AD203" s="9">
        <f t="shared" si="153"/>
        <v>0</v>
      </c>
      <c r="AE203" s="40" t="e">
        <f t="shared" ca="1" si="154"/>
        <v>#NUM!</v>
      </c>
      <c r="AF203" s="40" t="e">
        <f t="shared" ca="1" si="155"/>
        <v>#NUM!</v>
      </c>
      <c r="AG203" s="40" t="e">
        <f t="shared" ca="1" si="156"/>
        <v>#NUM!</v>
      </c>
      <c r="AH203" s="40" t="e">
        <f t="shared" ca="1" si="157"/>
        <v>#NUM!</v>
      </c>
      <c r="AI203" s="40" t="e">
        <f t="shared" ca="1" si="158"/>
        <v>#NUM!</v>
      </c>
      <c r="AJ203" s="40" t="e">
        <f t="shared" ca="1" si="159"/>
        <v>#NUM!</v>
      </c>
      <c r="AK203" s="203" t="e">
        <f t="shared" ca="1" si="160"/>
        <v>#NUM!</v>
      </c>
      <c r="AL203" s="40" t="e">
        <f t="shared" ca="1" si="161"/>
        <v>#NUM!</v>
      </c>
      <c r="AM203" s="40" t="e">
        <f t="shared" ca="1" si="162"/>
        <v>#NUM!</v>
      </c>
      <c r="AN203" s="40" t="e">
        <f t="shared" ca="1" si="163"/>
        <v>#NUM!</v>
      </c>
      <c r="AO203" s="40" t="e">
        <f t="shared" ca="1" si="164"/>
        <v>#NUM!</v>
      </c>
      <c r="AP203" s="40" t="e">
        <f t="shared" ca="1" si="165"/>
        <v>#NUM!</v>
      </c>
      <c r="AQ203" s="40" t="e">
        <f t="shared" ca="1" si="166"/>
        <v>#NUM!</v>
      </c>
      <c r="AR203" s="40" t="e">
        <f t="shared" ca="1" si="167"/>
        <v>#NUM!</v>
      </c>
      <c r="AS203" s="40" t="e">
        <f t="shared" ca="1" si="168"/>
        <v>#NUM!</v>
      </c>
    </row>
  </sheetData>
  <sortState ref="A63:AS79">
    <sortCondition ref="B63:B79"/>
  </sortState>
  <conditionalFormatting sqref="L19:L203 L2:L16">
    <cfRule type="cellIs" dxfId="57" priority="140" operator="lessThan">
      <formula>0</formula>
    </cfRule>
    <cfRule type="cellIs" dxfId="56" priority="141" operator="greaterThan">
      <formula>0</formula>
    </cfRule>
  </conditionalFormatting>
  <conditionalFormatting sqref="B19:B203 B2:B16">
    <cfRule type="cellIs" dxfId="55" priority="129" operator="between">
      <formula>500000</formula>
      <formula>700000</formula>
    </cfRule>
    <cfRule type="cellIs" dxfId="54" priority="130" operator="lessThan">
      <formula>500000</formula>
    </cfRule>
    <cfRule type="cellIs" dxfId="53" priority="131" operator="greaterThan">
      <formula>700000</formula>
    </cfRule>
  </conditionalFormatting>
  <conditionalFormatting sqref="AB19:AB203 AB2:AB16">
    <cfRule type="cellIs" dxfId="52" priority="121" operator="lessThan">
      <formula>5</formula>
    </cfRule>
    <cfRule type="cellIs" dxfId="51" priority="122" operator="greaterThan">
      <formula>7</formula>
    </cfRule>
  </conditionalFormatting>
  <conditionalFormatting sqref="AC19:AD203 AC2:AD16">
    <cfRule type="cellIs" dxfId="50" priority="119" operator="lessThan">
      <formula>0.35</formula>
    </cfRule>
    <cfRule type="cellIs" dxfId="49" priority="120" operator="greaterThan">
      <formula>0.5</formula>
    </cfRule>
  </conditionalFormatting>
  <conditionalFormatting sqref="AM17:AN17 AP17 AN19:AS203 AG19:AI203 AE19:AE203 AK19:AL203 AN2:AS16 AG2:AI16 AE2:AE16 AK2:AL16">
    <cfRule type="cellIs" dxfId="48" priority="116" operator="greaterThan">
      <formula>12.5</formula>
    </cfRule>
  </conditionalFormatting>
  <conditionalFormatting sqref="M19:M203 M2:M16">
    <cfRule type="cellIs" dxfId="47" priority="102" operator="greaterThan">
      <formula>35000</formula>
    </cfRule>
  </conditionalFormatting>
  <conditionalFormatting sqref="P19:P203 P2:P16">
    <cfRule type="cellIs" dxfId="46" priority="101" operator="greaterThan">
      <formula>"4.9"</formula>
    </cfRule>
  </conditionalFormatting>
  <conditionalFormatting sqref="AR17:AS17">
    <cfRule type="cellIs" dxfId="45" priority="95" operator="greaterThan">
      <formula>12.5</formula>
    </cfRule>
  </conditionalFormatting>
  <conditionalFormatting sqref="AF19:AF203 AF2:AF16">
    <cfRule type="cellIs" dxfId="44" priority="70" operator="lessThan">
      <formula>14</formula>
    </cfRule>
    <cfRule type="cellIs" dxfId="43" priority="71" operator="greaterThan">
      <formula>14.19</formula>
    </cfRule>
  </conditionalFormatting>
  <conditionalFormatting sqref="AM19:AM203 AM2:AM16">
    <cfRule type="cellIs" dxfId="42" priority="68" operator="lessThan">
      <formula>14.2</formula>
    </cfRule>
    <cfRule type="cellIs" dxfId="41" priority="69" operator="greaterThan">
      <formula>15</formula>
    </cfRule>
  </conditionalFormatting>
  <conditionalFormatting sqref="AA19:AA1048576 AA1:AA16">
    <cfRule type="cellIs" dxfId="40" priority="8" operator="lessThan">
      <formula>2.2</formula>
    </cfRule>
    <cfRule type="cellIs" dxfId="39" priority="9" operator="greaterThan">
      <formula>3.5</formula>
    </cfRule>
  </conditionalFormatting>
  <conditionalFormatting sqref="R2:X16">
    <cfRule type="colorScale" priority="2514">
      <colorScale>
        <cfvo type="min"/>
        <cfvo type="max"/>
        <color rgb="FFFFEF9C"/>
        <color rgb="FF63BE7B"/>
      </colorScale>
    </cfRule>
  </conditionalFormatting>
  <conditionalFormatting sqref="Y2:Y16">
    <cfRule type="dataBar" priority="2516">
      <dataBar>
        <cfvo type="min"/>
        <cfvo type="max"/>
        <color rgb="FF008AEF"/>
      </dataBar>
      <extLst>
        <ext xmlns:x14="http://schemas.microsoft.com/office/spreadsheetml/2009/9/main" uri="{B025F937-C7B1-47D3-B67F-A62EFF666E3E}">
          <x14:id>{EA31D7E8-5705-45C9-9ED1-C99524A0F4CE}</x14:id>
        </ext>
      </extLst>
    </cfRule>
  </conditionalFormatting>
  <conditionalFormatting sqref="Z2:Z16">
    <cfRule type="dataBar" priority="2518">
      <dataBar>
        <cfvo type="min"/>
        <cfvo type="max"/>
        <color rgb="FFFFB628"/>
      </dataBar>
      <extLst>
        <ext xmlns:x14="http://schemas.microsoft.com/office/spreadsheetml/2009/9/main" uri="{B025F937-C7B1-47D3-B67F-A62EFF666E3E}">
          <x14:id>{653E72DB-5AF9-4496-996F-D68BCA2D99FD}</x14:id>
        </ext>
      </extLst>
    </cfRule>
  </conditionalFormatting>
  <conditionalFormatting sqref="Z19:Z203">
    <cfRule type="dataBar" priority="3913">
      <dataBar>
        <cfvo type="min"/>
        <cfvo type="max"/>
        <color rgb="FFFFB628"/>
      </dataBar>
      <extLst>
        <ext xmlns:x14="http://schemas.microsoft.com/office/spreadsheetml/2009/9/main" uri="{B025F937-C7B1-47D3-B67F-A62EFF666E3E}">
          <x14:id>{3C682282-25D2-4EFE-9CBD-074D64A6ECE2}</x14:id>
        </ext>
      </extLst>
    </cfRule>
  </conditionalFormatting>
  <conditionalFormatting sqref="R19:X203">
    <cfRule type="colorScale" priority="3914">
      <colorScale>
        <cfvo type="min"/>
        <cfvo type="max"/>
        <color rgb="FFFFEF9C"/>
        <color rgb="FF63BE7B"/>
      </colorScale>
    </cfRule>
  </conditionalFormatting>
  <conditionalFormatting sqref="Y19:Y203">
    <cfRule type="dataBar" priority="3915">
      <dataBar>
        <cfvo type="min"/>
        <cfvo type="max"/>
        <color rgb="FF008AEF"/>
      </dataBar>
      <extLst>
        <ext xmlns:x14="http://schemas.microsoft.com/office/spreadsheetml/2009/9/main" uri="{B025F937-C7B1-47D3-B67F-A62EFF666E3E}">
          <x14:id>{1D23E164-B355-463D-9615-10D1173488AA}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31D7E8-5705-45C9-9ED1-C99524A0F4CE}">
            <x14:dataBar minLength="0" maxLength="100" border="1" negativeBarBorderColorSameAsPositive="0">
              <x14:cfvo type="autoMin"/>
              <x14:cfvo type="autoMax"/>
              <x14:borderColor rgb="FF008AEF"/>
              <x14:negativeFillColor rgb="FFFF0000"/>
              <x14:negativeBorderColor rgb="FFFF0000"/>
              <x14:axisColor rgb="FF000000"/>
            </x14:dataBar>
          </x14:cfRule>
          <xm:sqref>Y2:Y16</xm:sqref>
        </x14:conditionalFormatting>
        <x14:conditionalFormatting xmlns:xm="http://schemas.microsoft.com/office/excel/2006/main">
          <x14:cfRule type="dataBar" id="{653E72DB-5AF9-4496-996F-D68BCA2D99FD}">
            <x14:dataBar minLength="0" maxLength="100" border="1" negativeBarBorderColorSameAsPositive="0">
              <x14:cfvo type="autoMin"/>
              <x14:cfvo type="autoMax"/>
              <x14:borderColor rgb="FFFFB628"/>
              <x14:negativeFillColor rgb="FFFF0000"/>
              <x14:negativeBorderColor rgb="FFFF0000"/>
              <x14:axisColor rgb="FF000000"/>
            </x14:dataBar>
          </x14:cfRule>
          <xm:sqref>Z2:Z16</xm:sqref>
        </x14:conditionalFormatting>
        <x14:conditionalFormatting xmlns:xm="http://schemas.microsoft.com/office/excel/2006/main">
          <x14:cfRule type="dataBar" id="{3C682282-25D2-4EFE-9CBD-074D64A6ECE2}">
            <x14:dataBar minLength="0" maxLength="100" border="1" negativeBarBorderColorSameAsPositive="0">
              <x14:cfvo type="autoMin"/>
              <x14:cfvo type="autoMax"/>
              <x14:borderColor rgb="FFFFB628"/>
              <x14:negativeFillColor rgb="FFFF0000"/>
              <x14:negativeBorderColor rgb="FFFF0000"/>
              <x14:axisColor rgb="FF000000"/>
            </x14:dataBar>
          </x14:cfRule>
          <xm:sqref>Z19:Z203</xm:sqref>
        </x14:conditionalFormatting>
        <x14:conditionalFormatting xmlns:xm="http://schemas.microsoft.com/office/excel/2006/main">
          <x14:cfRule type="dataBar" id="{1D23E164-B355-463D-9615-10D1173488AA}">
            <x14:dataBar minLength="0" maxLength="100" border="1" negativeBarBorderColorSameAsPositive="0">
              <x14:cfvo type="autoMin"/>
              <x14:cfvo type="autoMax"/>
              <x14:borderColor rgb="FF008AEF"/>
              <x14:negativeFillColor rgb="FFFF0000"/>
              <x14:negativeBorderColor rgb="FFFF0000"/>
              <x14:axisColor rgb="FF000000"/>
            </x14:dataBar>
          </x14:cfRule>
          <xm:sqref>Y19:Y203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T165"/>
  <sheetViews>
    <sheetView workbookViewId="0"/>
  </sheetViews>
  <sheetFormatPr baseColWidth="10" defaultColWidth="11.42578125" defaultRowHeight="15" x14ac:dyDescent="0.25"/>
  <cols>
    <col min="1" max="1" width="6.140625" style="69" customWidth="1"/>
    <col min="2" max="2" width="11.5703125" style="69"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428</v>
      </c>
      <c r="B1"/>
    </row>
    <row r="2" spans="1:40" x14ac:dyDescent="0.25">
      <c r="A2"/>
      <c r="B2" t="s">
        <v>429</v>
      </c>
    </row>
    <row r="3" spans="1:40" x14ac:dyDescent="0.25">
      <c r="A3" t="s">
        <v>430</v>
      </c>
      <c r="B3"/>
    </row>
    <row r="4" spans="1:40" x14ac:dyDescent="0.25">
      <c r="A4"/>
      <c r="B4" t="s">
        <v>431</v>
      </c>
    </row>
    <row r="5" spans="1:40" x14ac:dyDescent="0.25">
      <c r="A5"/>
      <c r="B5" t="s">
        <v>432</v>
      </c>
    </row>
    <row r="6" spans="1:40" x14ac:dyDescent="0.25">
      <c r="A6" t="s">
        <v>433</v>
      </c>
      <c r="B6"/>
    </row>
    <row r="7" spans="1:40" x14ac:dyDescent="0.25">
      <c r="A7"/>
      <c r="B7" t="s">
        <v>434</v>
      </c>
      <c r="X7">
        <f>X8-112</f>
        <v>80.5</v>
      </c>
    </row>
    <row r="8" spans="1:40" x14ac:dyDescent="0.25">
      <c r="A8" t="s">
        <v>435</v>
      </c>
      <c r="B8"/>
      <c r="X8">
        <f>(X9+X10)*7</f>
        <v>192.5</v>
      </c>
    </row>
    <row r="9" spans="1:40" x14ac:dyDescent="0.25">
      <c r="A9"/>
      <c r="B9" t="s">
        <v>436</v>
      </c>
      <c r="W9" s="246" t="s">
        <v>224</v>
      </c>
      <c r="X9" s="247">
        <v>13.5</v>
      </c>
    </row>
    <row r="10" spans="1:40" x14ac:dyDescent="0.25">
      <c r="A10"/>
      <c r="B10"/>
      <c r="W10" s="246" t="s">
        <v>437</v>
      </c>
      <c r="X10" s="246">
        <v>14</v>
      </c>
    </row>
    <row r="11" spans="1:40" x14ac:dyDescent="0.25">
      <c r="A11"/>
      <c r="B11"/>
      <c r="F11" s="242"/>
      <c r="G11" s="242"/>
      <c r="H11" s="242"/>
      <c r="I11" s="242"/>
      <c r="J11" s="242"/>
      <c r="K11" s="242"/>
      <c r="L11" s="242"/>
      <c r="M11" s="243">
        <f>SUM(M13:M27)</f>
        <v>970</v>
      </c>
      <c r="N11" s="242"/>
      <c r="O11" s="242"/>
      <c r="P11" s="242"/>
      <c r="Q11" s="242"/>
      <c r="R11" s="242"/>
      <c r="S11" s="242"/>
      <c r="T11" s="242"/>
      <c r="U11" s="242"/>
      <c r="Y11" s="242"/>
      <c r="Z11" s="242"/>
      <c r="AA11" s="242"/>
      <c r="AB11" s="242"/>
      <c r="AC11" s="242"/>
      <c r="AD11" s="242"/>
      <c r="AE11" s="242"/>
      <c r="AF11" s="243">
        <f>SUM(AF13:AF27)</f>
        <v>5644.4400000000005</v>
      </c>
      <c r="AG11" s="242"/>
      <c r="AH11" s="242"/>
      <c r="AI11" s="242"/>
      <c r="AJ11" s="242"/>
      <c r="AK11" s="242"/>
      <c r="AL11" s="242"/>
      <c r="AM11" s="242"/>
      <c r="AN11" s="242"/>
    </row>
    <row r="12" spans="1:40" x14ac:dyDescent="0.25">
      <c r="A12" s="11" t="s">
        <v>181</v>
      </c>
      <c r="B12" s="11" t="s">
        <v>438</v>
      </c>
      <c r="C12" s="11" t="s">
        <v>88</v>
      </c>
      <c r="D12" s="11" t="s">
        <v>439</v>
      </c>
      <c r="E12" s="11" t="s">
        <v>440</v>
      </c>
      <c r="F12" s="11" t="s">
        <v>15</v>
      </c>
      <c r="G12" s="11" t="s">
        <v>16</v>
      </c>
      <c r="H12" s="11" t="s">
        <v>17</v>
      </c>
      <c r="I12" s="11" t="s">
        <v>18</v>
      </c>
      <c r="J12" s="11" t="s">
        <v>19</v>
      </c>
      <c r="K12" s="11" t="s">
        <v>20</v>
      </c>
      <c r="L12" s="11" t="s">
        <v>6</v>
      </c>
      <c r="M12" s="11" t="s">
        <v>70</v>
      </c>
      <c r="N12" s="11" t="s">
        <v>441</v>
      </c>
      <c r="O12" s="11" t="s">
        <v>442</v>
      </c>
      <c r="P12" s="11" t="s">
        <v>443</v>
      </c>
      <c r="Q12" s="11" t="s">
        <v>444</v>
      </c>
      <c r="R12" s="11" t="s">
        <v>445</v>
      </c>
      <c r="S12" s="11" t="s">
        <v>446</v>
      </c>
      <c r="T12" s="11" t="s">
        <v>447</v>
      </c>
      <c r="U12" s="11" t="s">
        <v>448</v>
      </c>
      <c r="W12" s="11" t="s">
        <v>439</v>
      </c>
      <c r="X12" s="11" t="s">
        <v>440</v>
      </c>
      <c r="Y12" s="11" t="s">
        <v>15</v>
      </c>
      <c r="Z12" s="11" t="s">
        <v>16</v>
      </c>
      <c r="AA12" s="11" t="s">
        <v>17</v>
      </c>
      <c r="AB12" s="11" t="s">
        <v>18</v>
      </c>
      <c r="AC12" s="11" t="s">
        <v>19</v>
      </c>
      <c r="AD12" s="11" t="s">
        <v>20</v>
      </c>
      <c r="AE12" s="11" t="s">
        <v>6</v>
      </c>
      <c r="AF12" s="11" t="s">
        <v>70</v>
      </c>
      <c r="AG12" s="11" t="s">
        <v>441</v>
      </c>
      <c r="AH12" s="11" t="s">
        <v>442</v>
      </c>
      <c r="AI12" s="11" t="s">
        <v>443</v>
      </c>
      <c r="AJ12" s="11" t="s">
        <v>444</v>
      </c>
      <c r="AK12" s="11" t="s">
        <v>445</v>
      </c>
      <c r="AL12" s="11" t="s">
        <v>446</v>
      </c>
      <c r="AM12" s="11" t="s">
        <v>447</v>
      </c>
      <c r="AN12" s="11" t="s">
        <v>448</v>
      </c>
    </row>
    <row r="13" spans="1:40" x14ac:dyDescent="0.25">
      <c r="A13" t="s">
        <v>29</v>
      </c>
      <c r="B13" s="16"/>
      <c r="C13" s="20"/>
      <c r="D13" s="20"/>
      <c r="E13" s="20"/>
      <c r="F13" s="121">
        <v>2</v>
      </c>
      <c r="G13" s="21">
        <v>2</v>
      </c>
      <c r="H13" s="121">
        <v>0</v>
      </c>
      <c r="I13" s="21">
        <v>0</v>
      </c>
      <c r="J13" s="121">
        <v>0</v>
      </c>
      <c r="K13" s="21">
        <v>0</v>
      </c>
      <c r="L13" s="121">
        <v>2</v>
      </c>
      <c r="M13" s="51"/>
      <c r="N13" s="242">
        <v>0</v>
      </c>
      <c r="O13" s="242">
        <v>0</v>
      </c>
      <c r="P13" s="242">
        <v>0</v>
      </c>
      <c r="Q13" s="244">
        <v>0</v>
      </c>
      <c r="R13" s="244">
        <v>0</v>
      </c>
      <c r="S13" s="244">
        <v>0</v>
      </c>
      <c r="T13" s="244">
        <v>0</v>
      </c>
      <c r="U13" s="70">
        <f>SUM(N13:T13)</f>
        <v>0</v>
      </c>
      <c r="Y13" s="121">
        <f>F13</f>
        <v>2</v>
      </c>
      <c r="Z13" s="121">
        <f t="shared" ref="Z13:AE28" si="0">G13</f>
        <v>2</v>
      </c>
      <c r="AA13" s="121">
        <f t="shared" si="0"/>
        <v>0</v>
      </c>
      <c r="AB13" s="121">
        <f t="shared" si="0"/>
        <v>0</v>
      </c>
      <c r="AC13" s="121">
        <f t="shared" si="0"/>
        <v>0</v>
      </c>
      <c r="AD13" s="121">
        <f t="shared" si="0"/>
        <v>0</v>
      </c>
      <c r="AE13" s="121">
        <f t="shared" si="0"/>
        <v>2</v>
      </c>
      <c r="AF13" s="51"/>
      <c r="AG13" s="242">
        <v>0</v>
      </c>
      <c r="AH13" s="242">
        <v>0</v>
      </c>
      <c r="AI13" s="242">
        <v>0</v>
      </c>
      <c r="AJ13" s="244">
        <v>0</v>
      </c>
      <c r="AK13" s="244">
        <v>0</v>
      </c>
      <c r="AL13" s="244">
        <v>0</v>
      </c>
      <c r="AM13" s="244">
        <v>0</v>
      </c>
      <c r="AN13" s="70">
        <f>SUM(AG13:AM13)</f>
        <v>0</v>
      </c>
    </row>
    <row r="14" spans="1:40" x14ac:dyDescent="0.25">
      <c r="A14" t="s">
        <v>32</v>
      </c>
      <c r="B14" s="16"/>
      <c r="C14" s="4"/>
      <c r="D14" s="4"/>
      <c r="E14" s="4"/>
      <c r="F14" s="122">
        <v>0</v>
      </c>
      <c r="G14" s="27">
        <v>2</v>
      </c>
      <c r="H14" s="122">
        <v>2</v>
      </c>
      <c r="I14" s="27">
        <v>2</v>
      </c>
      <c r="J14" s="122">
        <v>2</v>
      </c>
      <c r="K14" s="27">
        <v>2</v>
      </c>
      <c r="L14" s="122">
        <v>2</v>
      </c>
      <c r="M14" s="51"/>
      <c r="N14" s="242">
        <v>0</v>
      </c>
      <c r="O14" s="242">
        <v>0</v>
      </c>
      <c r="P14" s="242">
        <v>0</v>
      </c>
      <c r="Q14" s="242">
        <v>0</v>
      </c>
      <c r="R14" s="242">
        <v>0</v>
      </c>
      <c r="S14" s="242">
        <v>0</v>
      </c>
      <c r="T14" s="242">
        <v>0</v>
      </c>
      <c r="U14" s="70">
        <f t="shared" ref="U14" si="1">SUM(N14:T14)</f>
        <v>0</v>
      </c>
      <c r="Y14" s="121">
        <f t="shared" ref="Y14:Y28" si="2">F14</f>
        <v>0</v>
      </c>
      <c r="Z14" s="121">
        <f t="shared" si="0"/>
        <v>2</v>
      </c>
      <c r="AA14" s="121">
        <f t="shared" si="0"/>
        <v>2</v>
      </c>
      <c r="AB14" s="121">
        <f t="shared" si="0"/>
        <v>2</v>
      </c>
      <c r="AC14" s="121">
        <f t="shared" si="0"/>
        <v>2</v>
      </c>
      <c r="AD14" s="121">
        <f t="shared" si="0"/>
        <v>2</v>
      </c>
      <c r="AE14" s="121">
        <f t="shared" si="0"/>
        <v>2</v>
      </c>
      <c r="AF14" s="51"/>
      <c r="AG14" s="242">
        <v>0</v>
      </c>
      <c r="AH14" s="242">
        <v>0</v>
      </c>
      <c r="AI14" s="242">
        <v>0</v>
      </c>
      <c r="AJ14" s="242">
        <v>0</v>
      </c>
      <c r="AK14" s="242">
        <v>0</v>
      </c>
      <c r="AL14" s="242">
        <v>0</v>
      </c>
      <c r="AM14" s="242">
        <v>0</v>
      </c>
      <c r="AN14" s="70">
        <f t="shared" ref="AN14" si="3">SUM(AG14:AM14)</f>
        <v>0</v>
      </c>
    </row>
    <row r="15" spans="1:40" x14ac:dyDescent="0.25">
      <c r="A15" t="s">
        <v>33</v>
      </c>
      <c r="B15" s="16"/>
      <c r="C15" s="4"/>
      <c r="D15" s="4"/>
      <c r="E15" s="4"/>
      <c r="F15" s="122">
        <v>0</v>
      </c>
      <c r="G15" s="27">
        <v>2</v>
      </c>
      <c r="H15" s="122">
        <v>2</v>
      </c>
      <c r="I15" s="27">
        <v>2</v>
      </c>
      <c r="J15" s="122">
        <v>2</v>
      </c>
      <c r="K15" s="27">
        <v>2</v>
      </c>
      <c r="L15" s="122">
        <v>2</v>
      </c>
      <c r="M15" s="51"/>
      <c r="N15" s="242">
        <v>0</v>
      </c>
      <c r="O15" s="242">
        <v>0</v>
      </c>
      <c r="P15" s="242">
        <v>0</v>
      </c>
      <c r="Q15" s="242">
        <v>0</v>
      </c>
      <c r="R15" s="242">
        <v>0</v>
      </c>
      <c r="S15" s="242">
        <v>0</v>
      </c>
      <c r="T15" s="242">
        <v>0</v>
      </c>
      <c r="U15" s="70">
        <f>SUM(N15:T15)</f>
        <v>0</v>
      </c>
      <c r="Y15" s="121">
        <f t="shared" si="2"/>
        <v>0</v>
      </c>
      <c r="Z15" s="121">
        <f t="shared" si="0"/>
        <v>2</v>
      </c>
      <c r="AA15" s="121">
        <f t="shared" si="0"/>
        <v>2</v>
      </c>
      <c r="AB15" s="121">
        <f t="shared" si="0"/>
        <v>2</v>
      </c>
      <c r="AC15" s="121">
        <f t="shared" si="0"/>
        <v>2</v>
      </c>
      <c r="AD15" s="121">
        <f t="shared" si="0"/>
        <v>2</v>
      </c>
      <c r="AE15" s="121">
        <f t="shared" si="0"/>
        <v>2</v>
      </c>
      <c r="AF15" s="51"/>
      <c r="AG15" s="242">
        <v>0</v>
      </c>
      <c r="AH15" s="242">
        <v>0</v>
      </c>
      <c r="AI15" s="242">
        <v>0</v>
      </c>
      <c r="AJ15" s="242">
        <v>0</v>
      </c>
      <c r="AK15" s="242">
        <v>0</v>
      </c>
      <c r="AL15" s="242">
        <v>0</v>
      </c>
      <c r="AM15" s="242">
        <v>0</v>
      </c>
      <c r="AN15" s="70">
        <f>SUM(AG15:AM15)</f>
        <v>0</v>
      </c>
    </row>
    <row r="16" spans="1:40" x14ac:dyDescent="0.25">
      <c r="A16" t="s">
        <v>39</v>
      </c>
      <c r="B16" s="16"/>
      <c r="C16" s="4"/>
      <c r="D16" s="4"/>
      <c r="E16" s="4"/>
      <c r="F16" s="122">
        <v>0</v>
      </c>
      <c r="G16" s="27">
        <v>2</v>
      </c>
      <c r="H16" s="122">
        <v>2</v>
      </c>
      <c r="I16" s="27">
        <v>2</v>
      </c>
      <c r="J16" s="122">
        <v>2</v>
      </c>
      <c r="K16" s="27">
        <v>2</v>
      </c>
      <c r="L16" s="122">
        <v>2</v>
      </c>
      <c r="M16" s="51"/>
      <c r="N16" s="242">
        <v>0</v>
      </c>
      <c r="O16" s="242">
        <v>0</v>
      </c>
      <c r="P16" s="242">
        <v>0</v>
      </c>
      <c r="Q16" s="242">
        <v>0</v>
      </c>
      <c r="R16" s="242">
        <v>0</v>
      </c>
      <c r="S16" s="242">
        <v>0</v>
      </c>
      <c r="T16" s="242">
        <v>0</v>
      </c>
      <c r="U16" s="70">
        <f>SUM(N16:T16)</f>
        <v>0</v>
      </c>
      <c r="Y16" s="121">
        <f t="shared" si="2"/>
        <v>0</v>
      </c>
      <c r="Z16" s="121">
        <f t="shared" si="0"/>
        <v>2</v>
      </c>
      <c r="AA16" s="121">
        <f t="shared" si="0"/>
        <v>2</v>
      </c>
      <c r="AB16" s="121">
        <f t="shared" si="0"/>
        <v>2</v>
      </c>
      <c r="AC16" s="121">
        <f t="shared" si="0"/>
        <v>2</v>
      </c>
      <c r="AD16" s="121">
        <f t="shared" si="0"/>
        <v>2</v>
      </c>
      <c r="AE16" s="121">
        <f t="shared" si="0"/>
        <v>2</v>
      </c>
      <c r="AF16" s="51"/>
      <c r="AG16" s="242">
        <v>0</v>
      </c>
      <c r="AH16" s="242">
        <v>0</v>
      </c>
      <c r="AI16" s="242">
        <v>0</v>
      </c>
      <c r="AJ16" s="242">
        <v>0</v>
      </c>
      <c r="AK16" s="242">
        <v>0</v>
      </c>
      <c r="AL16" s="242">
        <v>0</v>
      </c>
      <c r="AM16" s="242">
        <v>0</v>
      </c>
      <c r="AN16" s="70">
        <f>SUM(AG16:AM16)</f>
        <v>0</v>
      </c>
    </row>
    <row r="17" spans="1:40" x14ac:dyDescent="0.25">
      <c r="A17" t="s">
        <v>41</v>
      </c>
      <c r="B17" s="16"/>
      <c r="C17" s="4"/>
      <c r="D17" s="4"/>
      <c r="E17" s="4"/>
      <c r="F17" s="122">
        <v>0</v>
      </c>
      <c r="G17" s="27">
        <v>2</v>
      </c>
      <c r="H17" s="122">
        <v>2</v>
      </c>
      <c r="I17" s="27">
        <v>2</v>
      </c>
      <c r="J17" s="122">
        <v>2</v>
      </c>
      <c r="K17" s="27">
        <v>2</v>
      </c>
      <c r="L17" s="122">
        <v>2</v>
      </c>
      <c r="M17" s="51"/>
      <c r="N17" s="242">
        <v>0</v>
      </c>
      <c r="O17" s="242">
        <v>0</v>
      </c>
      <c r="P17" s="242">
        <v>0</v>
      </c>
      <c r="Q17" s="242">
        <v>0</v>
      </c>
      <c r="R17" s="242">
        <v>0</v>
      </c>
      <c r="S17" s="242">
        <v>0</v>
      </c>
      <c r="T17" s="242">
        <v>0</v>
      </c>
      <c r="U17" s="70">
        <f t="shared" ref="U17:U24" si="4">SUM(N17:T17)</f>
        <v>0</v>
      </c>
      <c r="Y17" s="121">
        <f t="shared" si="2"/>
        <v>0</v>
      </c>
      <c r="Z17" s="121">
        <f t="shared" si="0"/>
        <v>2</v>
      </c>
      <c r="AA17" s="121">
        <f t="shared" si="0"/>
        <v>2</v>
      </c>
      <c r="AB17" s="121">
        <f t="shared" si="0"/>
        <v>2</v>
      </c>
      <c r="AC17" s="121">
        <f t="shared" si="0"/>
        <v>2</v>
      </c>
      <c r="AD17" s="121">
        <f t="shared" si="0"/>
        <v>2</v>
      </c>
      <c r="AE17" s="121">
        <f t="shared" si="0"/>
        <v>2</v>
      </c>
      <c r="AF17" s="51"/>
      <c r="AG17" s="242">
        <v>0</v>
      </c>
      <c r="AH17" s="242">
        <v>0</v>
      </c>
      <c r="AI17" s="242">
        <v>0</v>
      </c>
      <c r="AJ17" s="242">
        <v>0</v>
      </c>
      <c r="AK17" s="242">
        <v>0</v>
      </c>
      <c r="AL17" s="242">
        <v>0</v>
      </c>
      <c r="AM17" s="242">
        <v>0</v>
      </c>
      <c r="AN17" s="70">
        <f t="shared" ref="AN17:AN24" si="5">SUM(AG17:AM17)</f>
        <v>0</v>
      </c>
    </row>
    <row r="18" spans="1:40" x14ac:dyDescent="0.25">
      <c r="A18" t="s">
        <v>38</v>
      </c>
      <c r="B18" s="16"/>
      <c r="C18" s="4"/>
      <c r="D18" s="4"/>
      <c r="E18" s="4"/>
      <c r="F18" s="122">
        <v>0</v>
      </c>
      <c r="G18" s="27">
        <v>2</v>
      </c>
      <c r="H18" s="122">
        <v>2</v>
      </c>
      <c r="I18" s="27">
        <v>2</v>
      </c>
      <c r="J18" s="122">
        <v>2</v>
      </c>
      <c r="K18" s="27">
        <v>2</v>
      </c>
      <c r="L18" s="122">
        <v>2</v>
      </c>
      <c r="M18" s="51"/>
      <c r="N18" s="242">
        <v>0</v>
      </c>
      <c r="O18" s="242">
        <v>0</v>
      </c>
      <c r="P18" s="242">
        <v>0</v>
      </c>
      <c r="Q18" s="242">
        <v>0</v>
      </c>
      <c r="R18" s="242">
        <v>0</v>
      </c>
      <c r="S18" s="242">
        <v>0</v>
      </c>
      <c r="T18" s="242">
        <v>0</v>
      </c>
      <c r="U18" s="70">
        <f t="shared" si="4"/>
        <v>0</v>
      </c>
      <c r="Y18" s="121">
        <f t="shared" si="2"/>
        <v>0</v>
      </c>
      <c r="Z18" s="121">
        <f t="shared" si="0"/>
        <v>2</v>
      </c>
      <c r="AA18" s="121">
        <f t="shared" si="0"/>
        <v>2</v>
      </c>
      <c r="AB18" s="121">
        <f t="shared" si="0"/>
        <v>2</v>
      </c>
      <c r="AC18" s="121">
        <f t="shared" si="0"/>
        <v>2</v>
      </c>
      <c r="AD18" s="121">
        <f t="shared" si="0"/>
        <v>2</v>
      </c>
      <c r="AE18" s="121">
        <f t="shared" si="0"/>
        <v>2</v>
      </c>
      <c r="AF18" s="51"/>
      <c r="AG18" s="242">
        <v>0</v>
      </c>
      <c r="AH18" s="242">
        <v>0</v>
      </c>
      <c r="AI18" s="242">
        <v>0</v>
      </c>
      <c r="AJ18" s="242">
        <v>0</v>
      </c>
      <c r="AK18" s="242">
        <v>0</v>
      </c>
      <c r="AL18" s="242">
        <v>0</v>
      </c>
      <c r="AM18" s="242">
        <v>0</v>
      </c>
      <c r="AN18" s="70">
        <f t="shared" si="5"/>
        <v>0</v>
      </c>
    </row>
    <row r="19" spans="1:40" x14ac:dyDescent="0.25">
      <c r="A19" t="s">
        <v>35</v>
      </c>
      <c r="B19" s="16"/>
      <c r="C19" s="4"/>
      <c r="D19" s="4"/>
      <c r="E19" s="4"/>
      <c r="F19" s="122">
        <v>0</v>
      </c>
      <c r="G19" s="27">
        <v>2</v>
      </c>
      <c r="H19" s="122">
        <v>2</v>
      </c>
      <c r="I19" s="27">
        <v>2</v>
      </c>
      <c r="J19" s="122">
        <v>2</v>
      </c>
      <c r="K19" s="27">
        <v>2</v>
      </c>
      <c r="L19" s="122">
        <v>2</v>
      </c>
      <c r="M19" s="51"/>
      <c r="N19" s="242">
        <v>0</v>
      </c>
      <c r="O19" s="242">
        <v>0</v>
      </c>
      <c r="P19" s="242">
        <v>0</v>
      </c>
      <c r="Q19" s="242">
        <v>0</v>
      </c>
      <c r="R19" s="242">
        <v>0</v>
      </c>
      <c r="S19" s="242">
        <v>0</v>
      </c>
      <c r="T19" s="242">
        <v>0</v>
      </c>
      <c r="U19" s="70">
        <f t="shared" si="4"/>
        <v>0</v>
      </c>
      <c r="Y19" s="121">
        <f t="shared" si="2"/>
        <v>0</v>
      </c>
      <c r="Z19" s="121">
        <f t="shared" si="0"/>
        <v>2</v>
      </c>
      <c r="AA19" s="121">
        <f t="shared" si="0"/>
        <v>2</v>
      </c>
      <c r="AB19" s="121">
        <f t="shared" si="0"/>
        <v>2</v>
      </c>
      <c r="AC19" s="121">
        <f t="shared" si="0"/>
        <v>2</v>
      </c>
      <c r="AD19" s="121">
        <f t="shared" si="0"/>
        <v>2</v>
      </c>
      <c r="AE19" s="121">
        <f t="shared" si="0"/>
        <v>2</v>
      </c>
      <c r="AF19" s="51"/>
      <c r="AG19" s="242">
        <v>0</v>
      </c>
      <c r="AH19" s="242">
        <v>0</v>
      </c>
      <c r="AI19" s="242">
        <v>0</v>
      </c>
      <c r="AJ19" s="242">
        <v>0</v>
      </c>
      <c r="AK19" s="242">
        <v>0</v>
      </c>
      <c r="AL19" s="242">
        <v>0</v>
      </c>
      <c r="AM19" s="242">
        <v>0</v>
      </c>
      <c r="AN19" s="70">
        <f t="shared" si="5"/>
        <v>0</v>
      </c>
    </row>
    <row r="20" spans="1:40" x14ac:dyDescent="0.25">
      <c r="A20" t="s">
        <v>31</v>
      </c>
      <c r="B20" s="16"/>
      <c r="C20" s="4"/>
      <c r="D20" s="4"/>
      <c r="E20" s="4"/>
      <c r="F20" s="122">
        <v>0</v>
      </c>
      <c r="G20" s="27">
        <v>2</v>
      </c>
      <c r="H20" s="122">
        <v>2</v>
      </c>
      <c r="I20" s="27">
        <v>2</v>
      </c>
      <c r="J20" s="122">
        <v>2</v>
      </c>
      <c r="K20" s="27">
        <v>2</v>
      </c>
      <c r="L20" s="122">
        <v>2</v>
      </c>
      <c r="M20" s="51"/>
      <c r="N20" s="242">
        <v>0</v>
      </c>
      <c r="O20" s="242">
        <v>0</v>
      </c>
      <c r="P20" s="242">
        <v>0</v>
      </c>
      <c r="Q20" s="242">
        <v>0</v>
      </c>
      <c r="R20" s="242">
        <v>0</v>
      </c>
      <c r="S20" s="242">
        <v>0</v>
      </c>
      <c r="T20" s="242">
        <v>0</v>
      </c>
      <c r="U20" s="70">
        <f t="shared" si="4"/>
        <v>0</v>
      </c>
      <c r="Y20" s="121">
        <f t="shared" si="2"/>
        <v>0</v>
      </c>
      <c r="Z20" s="121">
        <f t="shared" si="0"/>
        <v>2</v>
      </c>
      <c r="AA20" s="121">
        <f t="shared" si="0"/>
        <v>2</v>
      </c>
      <c r="AB20" s="121">
        <f t="shared" si="0"/>
        <v>2</v>
      </c>
      <c r="AC20" s="121">
        <f t="shared" si="0"/>
        <v>2</v>
      </c>
      <c r="AD20" s="121">
        <f t="shared" si="0"/>
        <v>2</v>
      </c>
      <c r="AE20" s="121">
        <f t="shared" si="0"/>
        <v>2</v>
      </c>
      <c r="AF20" s="51"/>
      <c r="AG20" s="242">
        <v>0</v>
      </c>
      <c r="AH20" s="242">
        <v>0</v>
      </c>
      <c r="AI20" s="242">
        <v>0</v>
      </c>
      <c r="AJ20" s="242">
        <v>0</v>
      </c>
      <c r="AK20" s="242">
        <v>0</v>
      </c>
      <c r="AL20" s="242">
        <v>0</v>
      </c>
      <c r="AM20" s="242">
        <v>0</v>
      </c>
      <c r="AN20" s="70">
        <f t="shared" si="5"/>
        <v>0</v>
      </c>
    </row>
    <row r="21" spans="1:40" x14ac:dyDescent="0.25">
      <c r="A21" t="s">
        <v>43</v>
      </c>
      <c r="B21" s="16"/>
      <c r="C21" s="4"/>
      <c r="D21" s="4"/>
      <c r="E21" s="4"/>
      <c r="F21" s="122">
        <v>0</v>
      </c>
      <c r="G21" s="27">
        <v>2</v>
      </c>
      <c r="H21" s="122">
        <v>2</v>
      </c>
      <c r="I21" s="27">
        <v>2</v>
      </c>
      <c r="J21" s="122">
        <v>2</v>
      </c>
      <c r="K21" s="27">
        <v>2</v>
      </c>
      <c r="L21" s="122">
        <v>2</v>
      </c>
      <c r="M21" s="51"/>
      <c r="N21" s="242">
        <v>0</v>
      </c>
      <c r="O21" s="242">
        <v>0</v>
      </c>
      <c r="P21" s="242">
        <v>0</v>
      </c>
      <c r="Q21" s="242">
        <v>0</v>
      </c>
      <c r="R21" s="242">
        <v>0</v>
      </c>
      <c r="S21" s="242">
        <v>0</v>
      </c>
      <c r="T21" s="242">
        <v>0</v>
      </c>
      <c r="U21" s="70">
        <f t="shared" si="4"/>
        <v>0</v>
      </c>
      <c r="Y21" s="121">
        <f t="shared" si="2"/>
        <v>0</v>
      </c>
      <c r="Z21" s="121">
        <f t="shared" si="0"/>
        <v>2</v>
      </c>
      <c r="AA21" s="121">
        <f t="shared" si="0"/>
        <v>2</v>
      </c>
      <c r="AB21" s="121">
        <f t="shared" si="0"/>
        <v>2</v>
      </c>
      <c r="AC21" s="121">
        <f t="shared" si="0"/>
        <v>2</v>
      </c>
      <c r="AD21" s="121">
        <f t="shared" si="0"/>
        <v>2</v>
      </c>
      <c r="AE21" s="121">
        <f t="shared" si="0"/>
        <v>2</v>
      </c>
      <c r="AF21" s="51"/>
      <c r="AG21" s="242">
        <v>0</v>
      </c>
      <c r="AH21" s="242">
        <v>0</v>
      </c>
      <c r="AI21" s="242">
        <v>0</v>
      </c>
      <c r="AJ21" s="242">
        <v>0</v>
      </c>
      <c r="AK21" s="242">
        <v>0</v>
      </c>
      <c r="AL21" s="242">
        <v>0</v>
      </c>
      <c r="AM21" s="242">
        <v>0</v>
      </c>
      <c r="AN21" s="70">
        <f t="shared" si="5"/>
        <v>0</v>
      </c>
    </row>
    <row r="22" spans="1:40" x14ac:dyDescent="0.25">
      <c r="A22" t="s">
        <v>37</v>
      </c>
      <c r="B22" s="16"/>
      <c r="C22" s="4"/>
      <c r="D22" s="4"/>
      <c r="E22" s="4"/>
      <c r="F22" s="122">
        <v>0</v>
      </c>
      <c r="G22" s="27">
        <v>2</v>
      </c>
      <c r="H22" s="122">
        <v>2</v>
      </c>
      <c r="I22" s="27">
        <v>2</v>
      </c>
      <c r="J22" s="122">
        <v>2</v>
      </c>
      <c r="K22" s="27">
        <v>2</v>
      </c>
      <c r="L22" s="122">
        <v>2</v>
      </c>
      <c r="M22" s="51"/>
      <c r="N22" s="242">
        <v>0</v>
      </c>
      <c r="O22" s="242">
        <v>0</v>
      </c>
      <c r="P22" s="242">
        <v>0</v>
      </c>
      <c r="Q22" s="242">
        <v>0</v>
      </c>
      <c r="R22" s="242">
        <v>0</v>
      </c>
      <c r="S22" s="242">
        <v>0</v>
      </c>
      <c r="T22" s="242">
        <v>0</v>
      </c>
      <c r="U22" s="70">
        <f t="shared" si="4"/>
        <v>0</v>
      </c>
      <c r="Y22" s="121">
        <f t="shared" si="2"/>
        <v>0</v>
      </c>
      <c r="Z22" s="121">
        <f t="shared" si="0"/>
        <v>2</v>
      </c>
      <c r="AA22" s="121">
        <f t="shared" si="0"/>
        <v>2</v>
      </c>
      <c r="AB22" s="121">
        <f t="shared" si="0"/>
        <v>2</v>
      </c>
      <c r="AC22" s="121">
        <f t="shared" si="0"/>
        <v>2</v>
      </c>
      <c r="AD22" s="121">
        <f t="shared" si="0"/>
        <v>2</v>
      </c>
      <c r="AE22" s="121">
        <f t="shared" si="0"/>
        <v>2</v>
      </c>
      <c r="AF22" s="51"/>
      <c r="AG22" s="242">
        <v>0</v>
      </c>
      <c r="AH22" s="242">
        <v>0</v>
      </c>
      <c r="AI22" s="242">
        <v>0</v>
      </c>
      <c r="AJ22" s="242">
        <v>0</v>
      </c>
      <c r="AK22" s="242">
        <v>0</v>
      </c>
      <c r="AL22" s="242">
        <v>0</v>
      </c>
      <c r="AM22" s="242">
        <v>0</v>
      </c>
      <c r="AN22" s="70">
        <f t="shared" si="5"/>
        <v>0</v>
      </c>
    </row>
    <row r="23" spans="1:40" x14ac:dyDescent="0.25">
      <c r="A23" t="s">
        <v>36</v>
      </c>
      <c r="B23" s="16"/>
      <c r="C23" s="4"/>
      <c r="D23" s="4"/>
      <c r="E23" s="4"/>
      <c r="F23" s="122">
        <v>0</v>
      </c>
      <c r="G23" s="27">
        <v>2</v>
      </c>
      <c r="H23" s="122">
        <v>2</v>
      </c>
      <c r="I23" s="27">
        <v>2</v>
      </c>
      <c r="J23" s="122">
        <v>2</v>
      </c>
      <c r="K23" s="27">
        <v>2</v>
      </c>
      <c r="L23" s="122">
        <v>2</v>
      </c>
      <c r="M23" s="51"/>
      <c r="N23" s="242">
        <v>0</v>
      </c>
      <c r="O23" s="242">
        <v>0</v>
      </c>
      <c r="P23" s="242">
        <v>0</v>
      </c>
      <c r="Q23" s="242">
        <v>0</v>
      </c>
      <c r="R23" s="242">
        <v>0</v>
      </c>
      <c r="S23" s="242">
        <v>0</v>
      </c>
      <c r="T23" s="242">
        <v>0</v>
      </c>
      <c r="U23" s="70">
        <f t="shared" si="4"/>
        <v>0</v>
      </c>
      <c r="Y23" s="121">
        <f t="shared" si="2"/>
        <v>0</v>
      </c>
      <c r="Z23" s="121">
        <f t="shared" si="0"/>
        <v>2</v>
      </c>
      <c r="AA23" s="121">
        <f t="shared" si="0"/>
        <v>2</v>
      </c>
      <c r="AB23" s="121">
        <f t="shared" si="0"/>
        <v>2</v>
      </c>
      <c r="AC23" s="121">
        <f t="shared" si="0"/>
        <v>2</v>
      </c>
      <c r="AD23" s="121">
        <f t="shared" si="0"/>
        <v>2</v>
      </c>
      <c r="AE23" s="121">
        <f t="shared" si="0"/>
        <v>2</v>
      </c>
      <c r="AF23" s="51"/>
      <c r="AG23" s="242">
        <v>0</v>
      </c>
      <c r="AH23" s="242">
        <v>0</v>
      </c>
      <c r="AI23" s="242">
        <v>0</v>
      </c>
      <c r="AJ23" s="242">
        <v>0</v>
      </c>
      <c r="AK23" s="242">
        <v>0</v>
      </c>
      <c r="AL23" s="242">
        <v>0</v>
      </c>
      <c r="AM23" s="242">
        <v>0</v>
      </c>
      <c r="AN23" s="70">
        <f t="shared" si="5"/>
        <v>0</v>
      </c>
    </row>
    <row r="24" spans="1:40" x14ac:dyDescent="0.25">
      <c r="A24" t="s">
        <v>40</v>
      </c>
      <c r="B24" s="16" t="s">
        <v>449</v>
      </c>
      <c r="C24" s="4" t="s">
        <v>45</v>
      </c>
      <c r="D24" s="4">
        <v>17</v>
      </c>
      <c r="E24" s="4">
        <v>15</v>
      </c>
      <c r="F24" s="122">
        <v>0</v>
      </c>
      <c r="G24" s="27">
        <v>2</v>
      </c>
      <c r="H24" s="122">
        <v>5.7</v>
      </c>
      <c r="I24" s="27">
        <v>5.5</v>
      </c>
      <c r="J24" s="122">
        <v>5</v>
      </c>
      <c r="K24" s="27">
        <v>3</v>
      </c>
      <c r="L24" s="122">
        <v>2</v>
      </c>
      <c r="M24" s="51">
        <v>350</v>
      </c>
      <c r="N24" s="242">
        <v>0</v>
      </c>
      <c r="O24" s="242">
        <v>0</v>
      </c>
      <c r="P24" s="242">
        <v>11</v>
      </c>
      <c r="Q24" s="242">
        <f>5.5+1.5</f>
        <v>7</v>
      </c>
      <c r="R24" s="242">
        <v>7</v>
      </c>
      <c r="S24" s="242">
        <v>2</v>
      </c>
      <c r="T24" s="242">
        <v>0</v>
      </c>
      <c r="U24" s="70">
        <f t="shared" si="4"/>
        <v>27</v>
      </c>
      <c r="W24">
        <f>D24+1</f>
        <v>18</v>
      </c>
      <c r="X24">
        <f>E24+$X$7</f>
        <v>95.5</v>
      </c>
      <c r="Y24" s="121">
        <f t="shared" si="2"/>
        <v>0</v>
      </c>
      <c r="Z24" s="121">
        <f t="shared" si="0"/>
        <v>2</v>
      </c>
      <c r="AA24" s="121">
        <f t="shared" si="0"/>
        <v>5.7</v>
      </c>
      <c r="AB24" s="121">
        <v>9.5</v>
      </c>
      <c r="AC24" s="121">
        <f>8+3/5</f>
        <v>8.6</v>
      </c>
      <c r="AD24" s="121">
        <f t="shared" si="0"/>
        <v>3</v>
      </c>
      <c r="AE24" s="121">
        <f t="shared" si="0"/>
        <v>2</v>
      </c>
      <c r="AF24" s="51">
        <f>(2140+140+150)*1.008</f>
        <v>2449.44</v>
      </c>
      <c r="AG24" s="242">
        <f>N24</f>
        <v>0</v>
      </c>
      <c r="AH24" s="242">
        <f t="shared" ref="AH24:AM26" si="6">O24</f>
        <v>0</v>
      </c>
      <c r="AI24" s="242">
        <f t="shared" si="6"/>
        <v>11</v>
      </c>
      <c r="AJ24" s="42">
        <f>Q24+X9</f>
        <v>20.5</v>
      </c>
      <c r="AK24" s="242">
        <f>R24+X10</f>
        <v>21</v>
      </c>
      <c r="AL24" s="242">
        <f t="shared" si="6"/>
        <v>2</v>
      </c>
      <c r="AM24" s="242">
        <f t="shared" si="6"/>
        <v>0</v>
      </c>
      <c r="AN24" s="70">
        <f t="shared" si="5"/>
        <v>54.5</v>
      </c>
    </row>
    <row r="25" spans="1:40" x14ac:dyDescent="0.25">
      <c r="A25" t="s">
        <v>34</v>
      </c>
      <c r="B25" s="16" t="s">
        <v>450</v>
      </c>
      <c r="C25" s="4" t="s">
        <v>402</v>
      </c>
      <c r="D25" s="4">
        <v>17</v>
      </c>
      <c r="E25" s="4">
        <v>19</v>
      </c>
      <c r="F25" s="122">
        <v>0</v>
      </c>
      <c r="G25" s="27">
        <v>6</v>
      </c>
      <c r="H25" s="122">
        <v>3</v>
      </c>
      <c r="I25" s="27">
        <v>3</v>
      </c>
      <c r="J25" s="122">
        <v>5</v>
      </c>
      <c r="K25" s="27">
        <v>2</v>
      </c>
      <c r="L25" s="122">
        <v>0</v>
      </c>
      <c r="M25" s="51">
        <v>330</v>
      </c>
      <c r="N25" s="242">
        <v>0</v>
      </c>
      <c r="O25" s="242">
        <v>14</v>
      </c>
      <c r="P25" s="242">
        <v>3</v>
      </c>
      <c r="Q25" s="242">
        <v>1.5</v>
      </c>
      <c r="R25" s="242">
        <v>7</v>
      </c>
      <c r="S25" s="242">
        <v>0</v>
      </c>
      <c r="T25" s="242">
        <v>-2</v>
      </c>
      <c r="U25" s="70">
        <f>SUM(N25:T25)</f>
        <v>23.5</v>
      </c>
      <c r="W25">
        <f t="shared" ref="W25:W26" si="7">D25+1</f>
        <v>18</v>
      </c>
      <c r="X25">
        <f t="shared" ref="X25:X26" si="8">E25+$X$7</f>
        <v>99.5</v>
      </c>
      <c r="Y25" s="121">
        <f t="shared" si="2"/>
        <v>0</v>
      </c>
      <c r="Z25" s="121">
        <f t="shared" si="0"/>
        <v>6</v>
      </c>
      <c r="AA25" s="121">
        <f t="shared" si="0"/>
        <v>3</v>
      </c>
      <c r="AB25" s="121">
        <v>8</v>
      </c>
      <c r="AC25" s="121">
        <f>8+3/5</f>
        <v>8.6</v>
      </c>
      <c r="AD25" s="121">
        <f t="shared" si="0"/>
        <v>2</v>
      </c>
      <c r="AE25" s="121">
        <f t="shared" si="0"/>
        <v>0</v>
      </c>
      <c r="AF25" s="51">
        <f>(830+455+165)*1</f>
        <v>1450</v>
      </c>
      <c r="AG25" s="242">
        <f t="shared" ref="AG25:AG26" si="9">N25</f>
        <v>0</v>
      </c>
      <c r="AH25" s="242">
        <f t="shared" si="6"/>
        <v>14</v>
      </c>
      <c r="AI25" s="242">
        <f t="shared" si="6"/>
        <v>3</v>
      </c>
      <c r="AJ25" s="42">
        <f>Q25+X9</f>
        <v>15</v>
      </c>
      <c r="AK25" s="242">
        <f>R25+X10</f>
        <v>21</v>
      </c>
      <c r="AL25" s="242">
        <f t="shared" si="6"/>
        <v>0</v>
      </c>
      <c r="AM25" s="242">
        <f t="shared" si="6"/>
        <v>-2</v>
      </c>
      <c r="AN25" s="70">
        <f>SUM(AG25:AM25)</f>
        <v>51</v>
      </c>
    </row>
    <row r="26" spans="1:40" x14ac:dyDescent="0.25">
      <c r="A26" t="s">
        <v>42</v>
      </c>
      <c r="B26" s="16" t="s">
        <v>451</v>
      </c>
      <c r="C26" s="4" t="s">
        <v>402</v>
      </c>
      <c r="D26" s="4">
        <v>17</v>
      </c>
      <c r="E26" s="4">
        <v>15</v>
      </c>
      <c r="F26" s="122">
        <v>0</v>
      </c>
      <c r="G26" s="27">
        <v>3</v>
      </c>
      <c r="H26" s="122">
        <v>5</v>
      </c>
      <c r="I26" s="27">
        <v>4</v>
      </c>
      <c r="J26" s="122">
        <v>4</v>
      </c>
      <c r="K26" s="27">
        <v>3</v>
      </c>
      <c r="L26" s="122">
        <v>0</v>
      </c>
      <c r="M26" s="51">
        <v>290</v>
      </c>
      <c r="N26" s="242">
        <v>0</v>
      </c>
      <c r="O26" s="242">
        <v>3</v>
      </c>
      <c r="P26" s="242">
        <v>9</v>
      </c>
      <c r="Q26" s="242">
        <v>3.5</v>
      </c>
      <c r="R26" s="242">
        <v>4</v>
      </c>
      <c r="S26" s="242">
        <v>2</v>
      </c>
      <c r="T26" s="242">
        <v>-2</v>
      </c>
      <c r="U26" s="70">
        <f>SUM(N26:T26)</f>
        <v>19.5</v>
      </c>
      <c r="W26">
        <f t="shared" si="7"/>
        <v>18</v>
      </c>
      <c r="X26">
        <f t="shared" si="8"/>
        <v>95.5</v>
      </c>
      <c r="Y26" s="121">
        <f t="shared" si="2"/>
        <v>0</v>
      </c>
      <c r="Z26" s="121">
        <f t="shared" si="0"/>
        <v>3</v>
      </c>
      <c r="AA26" s="121">
        <f t="shared" si="0"/>
        <v>5</v>
      </c>
      <c r="AB26" s="121">
        <f>8+2.5/3</f>
        <v>8.8333333333333339</v>
      </c>
      <c r="AC26" s="121">
        <v>8</v>
      </c>
      <c r="AD26" s="121">
        <f t="shared" si="0"/>
        <v>3</v>
      </c>
      <c r="AE26" s="121">
        <f t="shared" si="0"/>
        <v>0</v>
      </c>
      <c r="AF26" s="51">
        <f>(1475+135+135)*1</f>
        <v>1745</v>
      </c>
      <c r="AG26" s="242">
        <f t="shared" si="9"/>
        <v>0</v>
      </c>
      <c r="AH26" s="242">
        <f t="shared" si="6"/>
        <v>3</v>
      </c>
      <c r="AI26" s="242">
        <f t="shared" si="6"/>
        <v>9</v>
      </c>
      <c r="AJ26" s="242">
        <f>Q26+X10</f>
        <v>17.5</v>
      </c>
      <c r="AK26" s="242">
        <f>R26+X10</f>
        <v>18</v>
      </c>
      <c r="AL26" s="242">
        <f t="shared" si="6"/>
        <v>2</v>
      </c>
      <c r="AM26" s="242">
        <f t="shared" si="6"/>
        <v>-2</v>
      </c>
      <c r="AN26" s="70">
        <f>SUM(AG26:AM26)</f>
        <v>47.5</v>
      </c>
    </row>
    <row r="27" spans="1:40" x14ac:dyDescent="0.25">
      <c r="A27" t="s">
        <v>46</v>
      </c>
      <c r="B27" s="16"/>
      <c r="C27" s="4"/>
      <c r="D27" s="4"/>
      <c r="E27" s="4"/>
      <c r="F27" s="122">
        <v>0</v>
      </c>
      <c r="G27" s="27">
        <v>2</v>
      </c>
      <c r="H27" s="122">
        <v>2</v>
      </c>
      <c r="I27" s="27">
        <v>2</v>
      </c>
      <c r="J27" s="122">
        <v>2</v>
      </c>
      <c r="K27" s="27">
        <v>2</v>
      </c>
      <c r="L27" s="122">
        <v>2</v>
      </c>
      <c r="M27" s="51"/>
      <c r="N27" s="242">
        <v>0</v>
      </c>
      <c r="O27" s="242">
        <v>0</v>
      </c>
      <c r="P27" s="242">
        <v>0</v>
      </c>
      <c r="Q27" s="242">
        <v>0</v>
      </c>
      <c r="R27" s="242">
        <v>0</v>
      </c>
      <c r="S27" s="242">
        <v>0</v>
      </c>
      <c r="T27" s="242">
        <v>0</v>
      </c>
      <c r="U27" s="70">
        <f t="shared" ref="U27:U28" si="10">SUM(N27:T27)</f>
        <v>0</v>
      </c>
      <c r="Y27" s="121">
        <f t="shared" si="2"/>
        <v>0</v>
      </c>
      <c r="Z27" s="121">
        <f t="shared" si="0"/>
        <v>2</v>
      </c>
      <c r="AA27" s="121">
        <f t="shared" si="0"/>
        <v>2</v>
      </c>
      <c r="AB27" s="121">
        <f t="shared" si="0"/>
        <v>2</v>
      </c>
      <c r="AC27" s="121">
        <f t="shared" si="0"/>
        <v>2</v>
      </c>
      <c r="AD27" s="121">
        <f t="shared" si="0"/>
        <v>2</v>
      </c>
      <c r="AE27" s="121">
        <f t="shared" si="0"/>
        <v>2</v>
      </c>
      <c r="AF27" s="51"/>
      <c r="AG27" s="242">
        <v>0</v>
      </c>
      <c r="AH27" s="242">
        <v>0</v>
      </c>
      <c r="AI27" s="242">
        <v>0</v>
      </c>
      <c r="AJ27" s="242">
        <v>0</v>
      </c>
      <c r="AK27" s="242">
        <v>0</v>
      </c>
      <c r="AL27" s="242">
        <v>0</v>
      </c>
      <c r="AM27" s="242">
        <v>0</v>
      </c>
      <c r="AN27" s="70">
        <f t="shared" ref="AN27:AN28" si="11">SUM(AG27:AM27)</f>
        <v>0</v>
      </c>
    </row>
    <row r="28" spans="1:40" x14ac:dyDescent="0.25">
      <c r="A28" t="s">
        <v>452</v>
      </c>
      <c r="B28" s="16"/>
      <c r="C28" s="4"/>
      <c r="D28" s="4"/>
      <c r="E28" s="4"/>
      <c r="F28" s="122">
        <v>0</v>
      </c>
      <c r="G28" s="27">
        <v>2</v>
      </c>
      <c r="H28" s="122">
        <v>2</v>
      </c>
      <c r="I28" s="27">
        <v>2</v>
      </c>
      <c r="J28" s="122">
        <v>2</v>
      </c>
      <c r="K28" s="27">
        <v>2</v>
      </c>
      <c r="L28" s="122">
        <v>2</v>
      </c>
      <c r="M28" s="51"/>
      <c r="N28" s="242">
        <v>0</v>
      </c>
      <c r="O28" s="242">
        <v>0</v>
      </c>
      <c r="P28" s="242">
        <v>0</v>
      </c>
      <c r="Q28" s="242">
        <v>0</v>
      </c>
      <c r="R28" s="242">
        <v>0</v>
      </c>
      <c r="S28" s="242">
        <v>0</v>
      </c>
      <c r="T28" s="242">
        <v>0</v>
      </c>
      <c r="U28" s="70">
        <f t="shared" si="10"/>
        <v>0</v>
      </c>
      <c r="Y28" s="121">
        <f t="shared" si="2"/>
        <v>0</v>
      </c>
      <c r="Z28" s="121">
        <f t="shared" si="0"/>
        <v>2</v>
      </c>
      <c r="AA28" s="121">
        <f t="shared" si="0"/>
        <v>2</v>
      </c>
      <c r="AB28" s="121">
        <f t="shared" si="0"/>
        <v>2</v>
      </c>
      <c r="AC28" s="121">
        <f t="shared" si="0"/>
        <v>2</v>
      </c>
      <c r="AD28" s="121">
        <f t="shared" si="0"/>
        <v>2</v>
      </c>
      <c r="AE28" s="121">
        <f t="shared" si="0"/>
        <v>2</v>
      </c>
      <c r="AF28" s="51"/>
      <c r="AG28" s="242">
        <v>0</v>
      </c>
      <c r="AH28" s="242">
        <v>0</v>
      </c>
      <c r="AI28" s="242">
        <v>0</v>
      </c>
      <c r="AJ28" s="242">
        <v>0</v>
      </c>
      <c r="AK28" s="242">
        <v>0</v>
      </c>
      <c r="AL28" s="242">
        <v>0</v>
      </c>
      <c r="AM28" s="242">
        <v>0</v>
      </c>
      <c r="AN28" s="70">
        <f t="shared" si="11"/>
        <v>0</v>
      </c>
    </row>
    <row r="29" spans="1:40" x14ac:dyDescent="0.25">
      <c r="A29"/>
      <c r="B29"/>
      <c r="F29" s="242"/>
      <c r="G29" s="242"/>
      <c r="H29" s="242"/>
      <c r="I29" s="242"/>
      <c r="J29" s="242"/>
      <c r="K29" s="242"/>
      <c r="L29" s="242"/>
      <c r="M29" s="243">
        <f>SUM(M31:M45)</f>
        <v>15124.68</v>
      </c>
      <c r="N29" s="242"/>
      <c r="O29" s="242"/>
      <c r="P29" s="242"/>
      <c r="Q29" s="242"/>
      <c r="R29" s="242"/>
      <c r="S29" s="242"/>
      <c r="T29" s="242"/>
      <c r="U29" s="242"/>
      <c r="Y29" s="242"/>
      <c r="Z29" s="242"/>
      <c r="AA29" s="242"/>
      <c r="AB29" s="242"/>
      <c r="AC29" s="242"/>
      <c r="AD29" s="242"/>
      <c r="AE29" s="242"/>
      <c r="AF29" s="243">
        <f>SUM(AF31:AF45)</f>
        <v>42675.44</v>
      </c>
      <c r="AG29" s="242"/>
      <c r="AH29" s="242"/>
      <c r="AI29" s="242"/>
      <c r="AJ29" s="242"/>
      <c r="AK29" s="242"/>
      <c r="AL29" s="242"/>
      <c r="AM29" s="242"/>
      <c r="AN29" s="242"/>
    </row>
    <row r="30" spans="1:40" x14ac:dyDescent="0.25">
      <c r="A30" s="11" t="s">
        <v>181</v>
      </c>
      <c r="B30" s="11" t="s">
        <v>2</v>
      </c>
      <c r="C30" s="11" t="s">
        <v>88</v>
      </c>
      <c r="D30" s="11" t="s">
        <v>439</v>
      </c>
      <c r="E30" s="11" t="s">
        <v>440</v>
      </c>
      <c r="F30" s="11" t="s">
        <v>15</v>
      </c>
      <c r="G30" s="11" t="s">
        <v>16</v>
      </c>
      <c r="H30" s="11" t="s">
        <v>17</v>
      </c>
      <c r="I30" s="11" t="s">
        <v>18</v>
      </c>
      <c r="J30" s="11" t="s">
        <v>19</v>
      </c>
      <c r="K30" s="11" t="s">
        <v>20</v>
      </c>
      <c r="L30" s="11" t="s">
        <v>6</v>
      </c>
      <c r="M30" s="11" t="s">
        <v>70</v>
      </c>
      <c r="N30" s="11" t="s">
        <v>441</v>
      </c>
      <c r="O30" s="11" t="s">
        <v>442</v>
      </c>
      <c r="P30" s="11" t="s">
        <v>443</v>
      </c>
      <c r="Q30" s="11" t="s">
        <v>444</v>
      </c>
      <c r="R30" s="11" t="s">
        <v>445</v>
      </c>
      <c r="S30" s="11" t="s">
        <v>446</v>
      </c>
      <c r="T30" s="11" t="s">
        <v>447</v>
      </c>
      <c r="U30" s="11" t="s">
        <v>448</v>
      </c>
      <c r="W30" s="11" t="s">
        <v>439</v>
      </c>
      <c r="X30" s="11" t="s">
        <v>440</v>
      </c>
      <c r="Y30" s="11" t="s">
        <v>15</v>
      </c>
      <c r="Z30" s="11" t="s">
        <v>16</v>
      </c>
      <c r="AA30" s="11" t="s">
        <v>17</v>
      </c>
      <c r="AB30" s="11" t="s">
        <v>18</v>
      </c>
      <c r="AC30" s="11" t="s">
        <v>19</v>
      </c>
      <c r="AD30" s="11" t="s">
        <v>20</v>
      </c>
      <c r="AE30" s="11" t="s">
        <v>6</v>
      </c>
      <c r="AF30" s="11" t="s">
        <v>70</v>
      </c>
      <c r="AG30" s="11" t="s">
        <v>441</v>
      </c>
      <c r="AH30" s="11" t="s">
        <v>442</v>
      </c>
      <c r="AI30" s="11" t="s">
        <v>443</v>
      </c>
      <c r="AJ30" s="11" t="s">
        <v>444</v>
      </c>
      <c r="AK30" s="11" t="s">
        <v>445</v>
      </c>
      <c r="AL30" s="11" t="s">
        <v>446</v>
      </c>
      <c r="AM30" s="11" t="s">
        <v>447</v>
      </c>
      <c r="AN30" s="11" t="s">
        <v>448</v>
      </c>
    </row>
    <row r="31" spans="1:40" x14ac:dyDescent="0.25">
      <c r="A31" t="s">
        <v>29</v>
      </c>
      <c r="B31" s="16"/>
      <c r="C31" s="20"/>
      <c r="D31" s="20"/>
      <c r="E31" s="20"/>
      <c r="F31" s="121">
        <f>Y13</f>
        <v>2</v>
      </c>
      <c r="G31" s="121">
        <f t="shared" ref="G31:M46" si="12">Z13</f>
        <v>2</v>
      </c>
      <c r="H31" s="121">
        <f t="shared" si="12"/>
        <v>0</v>
      </c>
      <c r="I31" s="121">
        <f t="shared" si="12"/>
        <v>0</v>
      </c>
      <c r="J31" s="121">
        <f t="shared" si="12"/>
        <v>0</v>
      </c>
      <c r="K31" s="121">
        <f t="shared" si="12"/>
        <v>0</v>
      </c>
      <c r="L31" s="121">
        <f t="shared" si="12"/>
        <v>2</v>
      </c>
      <c r="M31" s="51"/>
      <c r="N31" s="242">
        <f>AG13</f>
        <v>0</v>
      </c>
      <c r="O31" s="242">
        <f t="shared" ref="O31:T46" si="13">AH13</f>
        <v>0</v>
      </c>
      <c r="P31" s="242">
        <f t="shared" si="13"/>
        <v>0</v>
      </c>
      <c r="Q31" s="242">
        <f t="shared" si="13"/>
        <v>0</v>
      </c>
      <c r="R31" s="242">
        <f t="shared" si="13"/>
        <v>0</v>
      </c>
      <c r="S31" s="242">
        <f t="shared" si="13"/>
        <v>0</v>
      </c>
      <c r="T31" s="242">
        <f t="shared" si="13"/>
        <v>0</v>
      </c>
      <c r="U31" s="70">
        <f>SUM(N31:T31)</f>
        <v>0</v>
      </c>
      <c r="Y31" s="121">
        <f>F31</f>
        <v>2</v>
      </c>
      <c r="Z31" s="121">
        <f t="shared" ref="Z31:AE46" si="14">G31</f>
        <v>2</v>
      </c>
      <c r="AA31" s="121">
        <f t="shared" si="14"/>
        <v>0</v>
      </c>
      <c r="AB31" s="121">
        <f t="shared" si="14"/>
        <v>0</v>
      </c>
      <c r="AC31" s="121">
        <f t="shared" si="14"/>
        <v>0</v>
      </c>
      <c r="AD31" s="121">
        <f t="shared" si="14"/>
        <v>0</v>
      </c>
      <c r="AE31" s="121">
        <f t="shared" si="14"/>
        <v>2</v>
      </c>
      <c r="AF31" s="51"/>
      <c r="AG31" s="242">
        <f>N31</f>
        <v>0</v>
      </c>
      <c r="AH31" s="242">
        <f t="shared" ref="AH31:AM46" si="15">O31</f>
        <v>0</v>
      </c>
      <c r="AI31" s="242">
        <f t="shared" si="15"/>
        <v>0</v>
      </c>
      <c r="AJ31" s="242">
        <f t="shared" si="15"/>
        <v>0</v>
      </c>
      <c r="AK31" s="242">
        <f t="shared" si="15"/>
        <v>0</v>
      </c>
      <c r="AL31" s="242">
        <f t="shared" si="15"/>
        <v>0</v>
      </c>
      <c r="AM31" s="242">
        <f t="shared" si="15"/>
        <v>0</v>
      </c>
      <c r="AN31" s="70">
        <f>SUM(AG31:AM31)</f>
        <v>0</v>
      </c>
    </row>
    <row r="32" spans="1:40" x14ac:dyDescent="0.25">
      <c r="A32" t="s">
        <v>32</v>
      </c>
      <c r="B32" s="16"/>
      <c r="C32" s="4"/>
      <c r="D32" s="4"/>
      <c r="E32" s="4"/>
      <c r="F32" s="121">
        <f t="shared" ref="F32:F46" si="16">Y14</f>
        <v>0</v>
      </c>
      <c r="G32" s="121">
        <f t="shared" si="12"/>
        <v>2</v>
      </c>
      <c r="H32" s="121">
        <f t="shared" si="12"/>
        <v>2</v>
      </c>
      <c r="I32" s="121">
        <f t="shared" si="12"/>
        <v>2</v>
      </c>
      <c r="J32" s="121">
        <f t="shared" si="12"/>
        <v>2</v>
      </c>
      <c r="K32" s="121">
        <f t="shared" si="12"/>
        <v>2</v>
      </c>
      <c r="L32" s="121">
        <f t="shared" si="12"/>
        <v>2</v>
      </c>
      <c r="M32" s="51"/>
      <c r="N32" s="242">
        <f t="shared" ref="N32:N46" si="17">AG14</f>
        <v>0</v>
      </c>
      <c r="O32" s="242">
        <f t="shared" si="13"/>
        <v>0</v>
      </c>
      <c r="P32" s="242">
        <f t="shared" si="13"/>
        <v>0</v>
      </c>
      <c r="Q32" s="242">
        <f t="shared" si="13"/>
        <v>0</v>
      </c>
      <c r="R32" s="242">
        <f t="shared" si="13"/>
        <v>0</v>
      </c>
      <c r="S32" s="242">
        <f t="shared" si="13"/>
        <v>0</v>
      </c>
      <c r="T32" s="242">
        <f t="shared" si="13"/>
        <v>0</v>
      </c>
      <c r="U32" s="70">
        <f t="shared" ref="U32" si="18">SUM(N32:T32)</f>
        <v>0</v>
      </c>
      <c r="Y32" s="121">
        <f t="shared" ref="Y32:Y46" si="19">F32</f>
        <v>0</v>
      </c>
      <c r="Z32" s="121">
        <f t="shared" si="14"/>
        <v>2</v>
      </c>
      <c r="AA32" s="121">
        <f t="shared" si="14"/>
        <v>2</v>
      </c>
      <c r="AB32" s="121">
        <f t="shared" si="14"/>
        <v>2</v>
      </c>
      <c r="AC32" s="121">
        <f t="shared" si="14"/>
        <v>2</v>
      </c>
      <c r="AD32" s="121">
        <f t="shared" si="14"/>
        <v>2</v>
      </c>
      <c r="AE32" s="121">
        <f t="shared" si="14"/>
        <v>2</v>
      </c>
      <c r="AF32" s="51"/>
      <c r="AG32" s="242">
        <f t="shared" ref="AG32:AG46" si="20">N32</f>
        <v>0</v>
      </c>
      <c r="AH32" s="242">
        <f t="shared" si="15"/>
        <v>0</v>
      </c>
      <c r="AI32" s="242">
        <f t="shared" si="15"/>
        <v>0</v>
      </c>
      <c r="AJ32" s="242">
        <f t="shared" si="15"/>
        <v>0</v>
      </c>
      <c r="AK32" s="242">
        <f t="shared" si="15"/>
        <v>0</v>
      </c>
      <c r="AL32" s="242">
        <f t="shared" si="15"/>
        <v>0</v>
      </c>
      <c r="AM32" s="242">
        <f t="shared" si="15"/>
        <v>0</v>
      </c>
      <c r="AN32" s="70">
        <f t="shared" ref="AN32" si="21">SUM(AG32:AM32)</f>
        <v>0</v>
      </c>
    </row>
    <row r="33" spans="1:46" x14ac:dyDescent="0.25">
      <c r="A33" t="s">
        <v>33</v>
      </c>
      <c r="B33" s="16"/>
      <c r="C33" s="4"/>
      <c r="D33" s="4"/>
      <c r="E33" s="4"/>
      <c r="F33" s="121">
        <f t="shared" si="16"/>
        <v>0</v>
      </c>
      <c r="G33" s="121">
        <f t="shared" si="12"/>
        <v>2</v>
      </c>
      <c r="H33" s="121">
        <f t="shared" si="12"/>
        <v>2</v>
      </c>
      <c r="I33" s="121">
        <f t="shared" si="12"/>
        <v>2</v>
      </c>
      <c r="J33" s="121">
        <f t="shared" si="12"/>
        <v>2</v>
      </c>
      <c r="K33" s="121">
        <f t="shared" si="12"/>
        <v>2</v>
      </c>
      <c r="L33" s="121">
        <f t="shared" si="12"/>
        <v>2</v>
      </c>
      <c r="M33" s="51"/>
      <c r="N33" s="242">
        <f t="shared" si="17"/>
        <v>0</v>
      </c>
      <c r="O33" s="242">
        <f t="shared" si="13"/>
        <v>0</v>
      </c>
      <c r="P33" s="242">
        <f t="shared" si="13"/>
        <v>0</v>
      </c>
      <c r="Q33" s="242">
        <f t="shared" si="13"/>
        <v>0</v>
      </c>
      <c r="R33" s="242">
        <f t="shared" si="13"/>
        <v>0</v>
      </c>
      <c r="S33" s="242">
        <f t="shared" si="13"/>
        <v>0</v>
      </c>
      <c r="T33" s="242">
        <f t="shared" si="13"/>
        <v>0</v>
      </c>
      <c r="U33" s="70">
        <f>SUM(N33:T33)</f>
        <v>0</v>
      </c>
      <c r="Y33" s="121">
        <f t="shared" si="19"/>
        <v>0</v>
      </c>
      <c r="Z33" s="121">
        <f t="shared" si="14"/>
        <v>2</v>
      </c>
      <c r="AA33" s="121">
        <f t="shared" si="14"/>
        <v>2</v>
      </c>
      <c r="AB33" s="121">
        <f t="shared" si="14"/>
        <v>2</v>
      </c>
      <c r="AC33" s="121">
        <f t="shared" si="14"/>
        <v>2</v>
      </c>
      <c r="AD33" s="121">
        <f t="shared" si="14"/>
        <v>2</v>
      </c>
      <c r="AE33" s="121">
        <f t="shared" si="14"/>
        <v>2</v>
      </c>
      <c r="AF33" s="51"/>
      <c r="AG33" s="242">
        <f t="shared" si="20"/>
        <v>0</v>
      </c>
      <c r="AH33" s="242">
        <f t="shared" si="15"/>
        <v>0</v>
      </c>
      <c r="AI33" s="242">
        <f t="shared" si="15"/>
        <v>0</v>
      </c>
      <c r="AJ33" s="242">
        <f t="shared" si="15"/>
        <v>0</v>
      </c>
      <c r="AK33" s="242">
        <f t="shared" si="15"/>
        <v>0</v>
      </c>
      <c r="AL33" s="242">
        <f t="shared" si="15"/>
        <v>0</v>
      </c>
      <c r="AM33" s="242">
        <f t="shared" si="15"/>
        <v>0</v>
      </c>
      <c r="AN33" s="70">
        <f>SUM(AG33:AM33)</f>
        <v>0</v>
      </c>
    </row>
    <row r="34" spans="1:46" x14ac:dyDescent="0.25">
      <c r="A34" t="s">
        <v>39</v>
      </c>
      <c r="B34" s="16"/>
      <c r="C34" s="4"/>
      <c r="D34" s="4"/>
      <c r="E34" s="4"/>
      <c r="F34" s="121">
        <f t="shared" si="16"/>
        <v>0</v>
      </c>
      <c r="G34" s="121">
        <f t="shared" si="12"/>
        <v>2</v>
      </c>
      <c r="H34" s="121">
        <f t="shared" si="12"/>
        <v>2</v>
      </c>
      <c r="I34" s="121">
        <f t="shared" si="12"/>
        <v>2</v>
      </c>
      <c r="J34" s="121">
        <f t="shared" si="12"/>
        <v>2</v>
      </c>
      <c r="K34" s="121">
        <f t="shared" si="12"/>
        <v>2</v>
      </c>
      <c r="L34" s="121">
        <f t="shared" si="12"/>
        <v>2</v>
      </c>
      <c r="M34" s="51"/>
      <c r="N34" s="242">
        <f t="shared" si="17"/>
        <v>0</v>
      </c>
      <c r="O34" s="242">
        <f t="shared" si="13"/>
        <v>0</v>
      </c>
      <c r="P34" s="242">
        <f t="shared" si="13"/>
        <v>0</v>
      </c>
      <c r="Q34" s="242">
        <f t="shared" si="13"/>
        <v>0</v>
      </c>
      <c r="R34" s="242">
        <f t="shared" si="13"/>
        <v>0</v>
      </c>
      <c r="S34" s="242">
        <f t="shared" si="13"/>
        <v>0</v>
      </c>
      <c r="T34" s="242">
        <f t="shared" si="13"/>
        <v>0</v>
      </c>
      <c r="U34" s="70">
        <f>SUM(N34:T34)</f>
        <v>0</v>
      </c>
      <c r="Y34" s="121">
        <f t="shared" si="19"/>
        <v>0</v>
      </c>
      <c r="Z34" s="121">
        <f t="shared" si="14"/>
        <v>2</v>
      </c>
      <c r="AA34" s="121">
        <f t="shared" si="14"/>
        <v>2</v>
      </c>
      <c r="AB34" s="121">
        <f t="shared" si="14"/>
        <v>2</v>
      </c>
      <c r="AC34" s="121">
        <f t="shared" si="14"/>
        <v>2</v>
      </c>
      <c r="AD34" s="121">
        <f t="shared" si="14"/>
        <v>2</v>
      </c>
      <c r="AE34" s="121">
        <f t="shared" si="14"/>
        <v>2</v>
      </c>
      <c r="AF34" s="51"/>
      <c r="AG34" s="242">
        <f t="shared" si="20"/>
        <v>0</v>
      </c>
      <c r="AH34" s="242">
        <f t="shared" si="15"/>
        <v>0</v>
      </c>
      <c r="AI34" s="242">
        <f t="shared" si="15"/>
        <v>0</v>
      </c>
      <c r="AJ34" s="242">
        <f t="shared" si="15"/>
        <v>0</v>
      </c>
      <c r="AK34" s="242">
        <f t="shared" si="15"/>
        <v>0</v>
      </c>
      <c r="AL34" s="242">
        <f t="shared" si="15"/>
        <v>0</v>
      </c>
      <c r="AM34" s="242">
        <f t="shared" si="15"/>
        <v>0</v>
      </c>
      <c r="AN34" s="70">
        <f>SUM(AG34:AM34)</f>
        <v>0</v>
      </c>
    </row>
    <row r="35" spans="1:46" x14ac:dyDescent="0.25">
      <c r="A35" t="s">
        <v>41</v>
      </c>
      <c r="B35" s="16"/>
      <c r="C35" s="4"/>
      <c r="D35" s="4"/>
      <c r="E35" s="4"/>
      <c r="F35" s="121">
        <f t="shared" si="16"/>
        <v>0</v>
      </c>
      <c r="G35" s="121">
        <f t="shared" si="12"/>
        <v>2</v>
      </c>
      <c r="H35" s="121">
        <f t="shared" si="12"/>
        <v>2</v>
      </c>
      <c r="I35" s="121">
        <f t="shared" si="12"/>
        <v>2</v>
      </c>
      <c r="J35" s="121">
        <f t="shared" si="12"/>
        <v>2</v>
      </c>
      <c r="K35" s="121">
        <f t="shared" si="12"/>
        <v>2</v>
      </c>
      <c r="L35" s="121">
        <f t="shared" si="12"/>
        <v>2</v>
      </c>
      <c r="M35" s="51"/>
      <c r="N35" s="242">
        <f t="shared" si="17"/>
        <v>0</v>
      </c>
      <c r="O35" s="242">
        <f t="shared" si="13"/>
        <v>0</v>
      </c>
      <c r="P35" s="242">
        <f t="shared" si="13"/>
        <v>0</v>
      </c>
      <c r="Q35" s="242">
        <f t="shared" si="13"/>
        <v>0</v>
      </c>
      <c r="R35" s="242">
        <f t="shared" si="13"/>
        <v>0</v>
      </c>
      <c r="S35" s="242">
        <f t="shared" si="13"/>
        <v>0</v>
      </c>
      <c r="T35" s="242">
        <f t="shared" si="13"/>
        <v>0</v>
      </c>
      <c r="U35" s="70">
        <f t="shared" ref="U35:U42" si="22">SUM(N35:T35)</f>
        <v>0</v>
      </c>
      <c r="Y35" s="121">
        <f t="shared" si="19"/>
        <v>0</v>
      </c>
      <c r="Z35" s="121">
        <f t="shared" si="14"/>
        <v>2</v>
      </c>
      <c r="AA35" s="121">
        <f t="shared" si="14"/>
        <v>2</v>
      </c>
      <c r="AB35" s="121">
        <f t="shared" si="14"/>
        <v>2</v>
      </c>
      <c r="AC35" s="121">
        <f t="shared" si="14"/>
        <v>2</v>
      </c>
      <c r="AD35" s="121">
        <f t="shared" si="14"/>
        <v>2</v>
      </c>
      <c r="AE35" s="121">
        <f t="shared" si="14"/>
        <v>2</v>
      </c>
      <c r="AF35" s="51"/>
      <c r="AG35" s="242">
        <f t="shared" si="20"/>
        <v>0</v>
      </c>
      <c r="AH35" s="242">
        <f t="shared" si="15"/>
        <v>0</v>
      </c>
      <c r="AI35" s="242">
        <f t="shared" si="15"/>
        <v>0</v>
      </c>
      <c r="AJ35" s="242">
        <f t="shared" si="15"/>
        <v>0</v>
      </c>
      <c r="AK35" s="242">
        <f t="shared" si="15"/>
        <v>0</v>
      </c>
      <c r="AL35" s="242">
        <f t="shared" si="15"/>
        <v>0</v>
      </c>
      <c r="AM35" s="242">
        <f t="shared" si="15"/>
        <v>0</v>
      </c>
      <c r="AN35" s="70">
        <f t="shared" ref="AN35:AN42" si="23">SUM(AG35:AM35)</f>
        <v>0</v>
      </c>
    </row>
    <row r="36" spans="1:46" x14ac:dyDescent="0.25">
      <c r="A36" t="s">
        <v>38</v>
      </c>
      <c r="B36" s="16"/>
      <c r="C36" s="4"/>
      <c r="D36" s="4"/>
      <c r="E36" s="4"/>
      <c r="F36" s="121">
        <f t="shared" si="16"/>
        <v>0</v>
      </c>
      <c r="G36" s="121">
        <f t="shared" si="12"/>
        <v>2</v>
      </c>
      <c r="H36" s="121">
        <f t="shared" si="12"/>
        <v>2</v>
      </c>
      <c r="I36" s="121">
        <f t="shared" si="12"/>
        <v>2</v>
      </c>
      <c r="J36" s="121">
        <f t="shared" si="12"/>
        <v>2</v>
      </c>
      <c r="K36" s="121">
        <f t="shared" si="12"/>
        <v>2</v>
      </c>
      <c r="L36" s="121">
        <f t="shared" si="12"/>
        <v>2</v>
      </c>
      <c r="M36" s="51"/>
      <c r="N36" s="242">
        <f t="shared" si="17"/>
        <v>0</v>
      </c>
      <c r="O36" s="242">
        <f t="shared" si="13"/>
        <v>0</v>
      </c>
      <c r="P36" s="242">
        <f t="shared" si="13"/>
        <v>0</v>
      </c>
      <c r="Q36" s="242">
        <f t="shared" si="13"/>
        <v>0</v>
      </c>
      <c r="R36" s="242">
        <f t="shared" si="13"/>
        <v>0</v>
      </c>
      <c r="S36" s="242">
        <f t="shared" si="13"/>
        <v>0</v>
      </c>
      <c r="T36" s="242">
        <f t="shared" si="13"/>
        <v>0</v>
      </c>
      <c r="U36" s="70">
        <f t="shared" si="22"/>
        <v>0</v>
      </c>
      <c r="Y36" s="121">
        <f t="shared" si="19"/>
        <v>0</v>
      </c>
      <c r="Z36" s="121">
        <f t="shared" si="14"/>
        <v>2</v>
      </c>
      <c r="AA36" s="121">
        <f t="shared" si="14"/>
        <v>2</v>
      </c>
      <c r="AB36" s="121">
        <f t="shared" si="14"/>
        <v>2</v>
      </c>
      <c r="AC36" s="121">
        <f t="shared" si="14"/>
        <v>2</v>
      </c>
      <c r="AD36" s="121">
        <f t="shared" si="14"/>
        <v>2</v>
      </c>
      <c r="AE36" s="121">
        <f t="shared" si="14"/>
        <v>2</v>
      </c>
      <c r="AF36" s="51"/>
      <c r="AG36" s="242">
        <f t="shared" si="20"/>
        <v>0</v>
      </c>
      <c r="AH36" s="242">
        <f t="shared" si="15"/>
        <v>0</v>
      </c>
      <c r="AI36" s="242">
        <f t="shared" si="15"/>
        <v>0</v>
      </c>
      <c r="AJ36" s="242">
        <f t="shared" si="15"/>
        <v>0</v>
      </c>
      <c r="AK36" s="242">
        <f t="shared" si="15"/>
        <v>0</v>
      </c>
      <c r="AL36" s="242">
        <f t="shared" si="15"/>
        <v>0</v>
      </c>
      <c r="AM36" s="242">
        <f t="shared" si="15"/>
        <v>0</v>
      </c>
      <c r="AN36" s="70">
        <f t="shared" si="23"/>
        <v>0</v>
      </c>
    </row>
    <row r="37" spans="1:46" x14ac:dyDescent="0.25">
      <c r="A37" t="s">
        <v>35</v>
      </c>
      <c r="B37" s="16"/>
      <c r="C37" s="4"/>
      <c r="D37" s="4"/>
      <c r="E37" s="4"/>
      <c r="F37" s="121">
        <f t="shared" si="16"/>
        <v>0</v>
      </c>
      <c r="G37" s="121">
        <f t="shared" si="12"/>
        <v>2</v>
      </c>
      <c r="H37" s="121">
        <f t="shared" si="12"/>
        <v>2</v>
      </c>
      <c r="I37" s="121">
        <f t="shared" si="12"/>
        <v>2</v>
      </c>
      <c r="J37" s="121">
        <f t="shared" si="12"/>
        <v>2</v>
      </c>
      <c r="K37" s="121">
        <f t="shared" si="12"/>
        <v>2</v>
      </c>
      <c r="L37" s="121">
        <f t="shared" si="12"/>
        <v>2</v>
      </c>
      <c r="M37" s="51"/>
      <c r="N37" s="242">
        <f t="shared" si="17"/>
        <v>0</v>
      </c>
      <c r="O37" s="242">
        <f t="shared" si="13"/>
        <v>0</v>
      </c>
      <c r="P37" s="242">
        <f t="shared" si="13"/>
        <v>0</v>
      </c>
      <c r="Q37" s="242">
        <f t="shared" si="13"/>
        <v>0</v>
      </c>
      <c r="R37" s="242">
        <f t="shared" si="13"/>
        <v>0</v>
      </c>
      <c r="S37" s="242">
        <f t="shared" si="13"/>
        <v>0</v>
      </c>
      <c r="T37" s="242">
        <f t="shared" si="13"/>
        <v>0</v>
      </c>
      <c r="U37" s="70">
        <f t="shared" si="22"/>
        <v>0</v>
      </c>
      <c r="Y37" s="121">
        <f t="shared" si="19"/>
        <v>0</v>
      </c>
      <c r="Z37" s="121">
        <f t="shared" si="14"/>
        <v>2</v>
      </c>
      <c r="AA37" s="121">
        <f t="shared" si="14"/>
        <v>2</v>
      </c>
      <c r="AB37" s="121">
        <f t="shared" si="14"/>
        <v>2</v>
      </c>
      <c r="AC37" s="121">
        <f t="shared" si="14"/>
        <v>2</v>
      </c>
      <c r="AD37" s="121">
        <f t="shared" si="14"/>
        <v>2</v>
      </c>
      <c r="AE37" s="121">
        <f t="shared" si="14"/>
        <v>2</v>
      </c>
      <c r="AF37" s="51"/>
      <c r="AG37" s="242">
        <f t="shared" si="20"/>
        <v>0</v>
      </c>
      <c r="AH37" s="242">
        <f t="shared" si="15"/>
        <v>0</v>
      </c>
      <c r="AI37" s="242">
        <f t="shared" si="15"/>
        <v>0</v>
      </c>
      <c r="AJ37" s="242">
        <f t="shared" si="15"/>
        <v>0</v>
      </c>
      <c r="AK37" s="242">
        <f t="shared" si="15"/>
        <v>0</v>
      </c>
      <c r="AL37" s="242">
        <f t="shared" si="15"/>
        <v>0</v>
      </c>
      <c r="AM37" s="242">
        <f t="shared" si="15"/>
        <v>0</v>
      </c>
      <c r="AN37" s="70">
        <f t="shared" si="23"/>
        <v>0</v>
      </c>
      <c r="AP37" s="246" t="s">
        <v>94</v>
      </c>
      <c r="AQ37" s="246">
        <v>33</v>
      </c>
      <c r="AR37" s="246" t="s">
        <v>92</v>
      </c>
      <c r="AS37" s="246">
        <v>15</v>
      </c>
    </row>
    <row r="38" spans="1:46" x14ac:dyDescent="0.25">
      <c r="A38" t="s">
        <v>31</v>
      </c>
      <c r="B38" s="16"/>
      <c r="C38" s="4"/>
      <c r="D38" s="4"/>
      <c r="E38" s="4"/>
      <c r="F38" s="121">
        <f t="shared" si="16"/>
        <v>0</v>
      </c>
      <c r="G38" s="121">
        <f t="shared" si="12"/>
        <v>2</v>
      </c>
      <c r="H38" s="121">
        <f t="shared" si="12"/>
        <v>2</v>
      </c>
      <c r="I38" s="121">
        <f t="shared" si="12"/>
        <v>2</v>
      </c>
      <c r="J38" s="121">
        <f t="shared" si="12"/>
        <v>2</v>
      </c>
      <c r="K38" s="121">
        <f t="shared" si="12"/>
        <v>2</v>
      </c>
      <c r="L38" s="121">
        <f t="shared" si="12"/>
        <v>2</v>
      </c>
      <c r="M38" s="51"/>
      <c r="N38" s="242">
        <f t="shared" si="17"/>
        <v>0</v>
      </c>
      <c r="O38" s="242">
        <f t="shared" si="13"/>
        <v>0</v>
      </c>
      <c r="P38" s="242">
        <f t="shared" si="13"/>
        <v>0</v>
      </c>
      <c r="Q38" s="242">
        <f t="shared" si="13"/>
        <v>0</v>
      </c>
      <c r="R38" s="242">
        <f t="shared" si="13"/>
        <v>0</v>
      </c>
      <c r="S38" s="242">
        <f t="shared" si="13"/>
        <v>0</v>
      </c>
      <c r="T38" s="242">
        <f t="shared" si="13"/>
        <v>0</v>
      </c>
      <c r="U38" s="70">
        <f t="shared" si="22"/>
        <v>0</v>
      </c>
      <c r="Y38" s="121">
        <f t="shared" si="19"/>
        <v>0</v>
      </c>
      <c r="Z38" s="121">
        <f t="shared" si="14"/>
        <v>2</v>
      </c>
      <c r="AA38" s="121">
        <f t="shared" si="14"/>
        <v>2</v>
      </c>
      <c r="AB38" s="121">
        <f t="shared" si="14"/>
        <v>2</v>
      </c>
      <c r="AC38" s="121">
        <f t="shared" si="14"/>
        <v>2</v>
      </c>
      <c r="AD38" s="121">
        <f t="shared" si="14"/>
        <v>2</v>
      </c>
      <c r="AE38" s="121">
        <f t="shared" si="14"/>
        <v>2</v>
      </c>
      <c r="AF38" s="51"/>
      <c r="AG38" s="242">
        <f t="shared" si="20"/>
        <v>0</v>
      </c>
      <c r="AH38" s="242">
        <f t="shared" si="15"/>
        <v>0</v>
      </c>
      <c r="AI38" s="242">
        <f t="shared" si="15"/>
        <v>0</v>
      </c>
      <c r="AJ38" s="242">
        <f t="shared" si="15"/>
        <v>0</v>
      </c>
      <c r="AK38" s="242">
        <f t="shared" si="15"/>
        <v>0</v>
      </c>
      <c r="AL38" s="242">
        <f t="shared" si="15"/>
        <v>0</v>
      </c>
      <c r="AM38" s="242">
        <f t="shared" si="15"/>
        <v>0</v>
      </c>
      <c r="AN38" s="70">
        <f t="shared" si="23"/>
        <v>0</v>
      </c>
      <c r="AQ38">
        <f>AQ37*7</f>
        <v>231</v>
      </c>
      <c r="AS38">
        <f>AS37*7</f>
        <v>105</v>
      </c>
      <c r="AT38">
        <f>AQ38+AS38</f>
        <v>336</v>
      </c>
    </row>
    <row r="39" spans="1:46" x14ac:dyDescent="0.25">
      <c r="A39" t="s">
        <v>43</v>
      </c>
      <c r="B39" s="16" t="s">
        <v>453</v>
      </c>
      <c r="C39" s="4" t="s">
        <v>0</v>
      </c>
      <c r="D39" s="4">
        <v>18</v>
      </c>
      <c r="E39" s="4">
        <v>80</v>
      </c>
      <c r="F39" s="121">
        <f t="shared" si="16"/>
        <v>0</v>
      </c>
      <c r="G39" s="121">
        <v>7</v>
      </c>
      <c r="H39" s="121">
        <v>10</v>
      </c>
      <c r="I39" s="121">
        <f t="shared" si="12"/>
        <v>2</v>
      </c>
      <c r="J39" s="121">
        <f t="shared" si="12"/>
        <v>2</v>
      </c>
      <c r="K39" s="121">
        <f t="shared" si="12"/>
        <v>2</v>
      </c>
      <c r="L39" s="121">
        <f t="shared" si="12"/>
        <v>2</v>
      </c>
      <c r="M39" s="51">
        <f>(2910+225)*1.008</f>
        <v>3160.08</v>
      </c>
      <c r="N39" s="242">
        <f t="shared" si="17"/>
        <v>0</v>
      </c>
      <c r="O39" s="242">
        <v>18</v>
      </c>
      <c r="P39" s="242">
        <v>33</v>
      </c>
      <c r="Q39" s="242">
        <f t="shared" si="13"/>
        <v>0</v>
      </c>
      <c r="R39" s="242">
        <f t="shared" si="13"/>
        <v>0</v>
      </c>
      <c r="S39" s="242">
        <f t="shared" si="13"/>
        <v>0</v>
      </c>
      <c r="T39" s="242">
        <f t="shared" si="13"/>
        <v>0</v>
      </c>
      <c r="U39" s="70">
        <f t="shared" si="22"/>
        <v>51</v>
      </c>
      <c r="W39">
        <f>D39+3</f>
        <v>21</v>
      </c>
      <c r="X39">
        <f>E39+$AT$41</f>
        <v>80</v>
      </c>
      <c r="Y39" s="121">
        <f t="shared" si="19"/>
        <v>0</v>
      </c>
      <c r="Z39" s="121">
        <f t="shared" si="14"/>
        <v>7</v>
      </c>
      <c r="AA39" s="121">
        <v>12</v>
      </c>
      <c r="AB39" s="121">
        <f t="shared" si="14"/>
        <v>2</v>
      </c>
      <c r="AC39" s="121">
        <f t="shared" si="14"/>
        <v>2</v>
      </c>
      <c r="AD39" s="121">
        <v>10</v>
      </c>
      <c r="AE39" s="121">
        <f t="shared" si="14"/>
        <v>2</v>
      </c>
      <c r="AF39" s="51">
        <f>(8670+1315+225)*1.008</f>
        <v>10291.68</v>
      </c>
      <c r="AG39" s="242">
        <f t="shared" si="20"/>
        <v>0</v>
      </c>
      <c r="AH39" s="242">
        <f t="shared" si="15"/>
        <v>18</v>
      </c>
      <c r="AI39" s="242">
        <v>48</v>
      </c>
      <c r="AJ39" s="242">
        <f t="shared" si="15"/>
        <v>0</v>
      </c>
      <c r="AK39" s="242">
        <f t="shared" si="15"/>
        <v>0</v>
      </c>
      <c r="AL39" s="242">
        <v>33</v>
      </c>
      <c r="AM39" s="242">
        <f t="shared" si="15"/>
        <v>0</v>
      </c>
      <c r="AN39" s="70">
        <f t="shared" si="23"/>
        <v>99</v>
      </c>
      <c r="AQ39">
        <f>AQ38-112</f>
        <v>119</v>
      </c>
      <c r="AT39">
        <f>AT38-112</f>
        <v>224</v>
      </c>
    </row>
    <row r="40" spans="1:46" x14ac:dyDescent="0.25">
      <c r="A40" t="s">
        <v>37</v>
      </c>
      <c r="B40" s="16" t="s">
        <v>453</v>
      </c>
      <c r="C40" s="4" t="s">
        <v>0</v>
      </c>
      <c r="D40" s="4">
        <v>18</v>
      </c>
      <c r="E40" s="4">
        <v>80</v>
      </c>
      <c r="F40" s="121">
        <f t="shared" si="16"/>
        <v>0</v>
      </c>
      <c r="G40" s="121">
        <v>7</v>
      </c>
      <c r="H40" s="121">
        <v>10</v>
      </c>
      <c r="I40" s="121">
        <f t="shared" si="12"/>
        <v>2</v>
      </c>
      <c r="J40" s="121">
        <f t="shared" si="12"/>
        <v>2</v>
      </c>
      <c r="K40" s="121">
        <f t="shared" si="12"/>
        <v>2</v>
      </c>
      <c r="L40" s="121">
        <f t="shared" si="12"/>
        <v>2</v>
      </c>
      <c r="M40" s="51">
        <f>(2910+225)*1.008</f>
        <v>3160.08</v>
      </c>
      <c r="N40" s="242">
        <f t="shared" si="17"/>
        <v>0</v>
      </c>
      <c r="O40" s="242">
        <v>18</v>
      </c>
      <c r="P40" s="242">
        <v>33</v>
      </c>
      <c r="Q40" s="242">
        <f t="shared" si="13"/>
        <v>0</v>
      </c>
      <c r="R40" s="242">
        <f t="shared" si="13"/>
        <v>0</v>
      </c>
      <c r="S40" s="242">
        <f t="shared" si="13"/>
        <v>0</v>
      </c>
      <c r="T40" s="242">
        <f t="shared" si="13"/>
        <v>0</v>
      </c>
      <c r="U40" s="70">
        <f t="shared" si="22"/>
        <v>51</v>
      </c>
      <c r="W40">
        <f t="shared" ref="W40:W44" si="24">D40+3</f>
        <v>21</v>
      </c>
      <c r="X40">
        <f t="shared" ref="X40:X44" si="25">E40+$AT$41</f>
        <v>80</v>
      </c>
      <c r="Y40" s="121">
        <f t="shared" si="19"/>
        <v>0</v>
      </c>
      <c r="Z40" s="121">
        <f t="shared" si="14"/>
        <v>7</v>
      </c>
      <c r="AA40" s="121">
        <v>12</v>
      </c>
      <c r="AB40" s="121">
        <f t="shared" si="14"/>
        <v>2</v>
      </c>
      <c r="AC40" s="121">
        <f t="shared" si="14"/>
        <v>2</v>
      </c>
      <c r="AD40" s="121">
        <v>10</v>
      </c>
      <c r="AE40" s="121">
        <f t="shared" si="14"/>
        <v>2</v>
      </c>
      <c r="AF40" s="51">
        <f>AF39</f>
        <v>10291.68</v>
      </c>
      <c r="AG40" s="242">
        <f t="shared" si="20"/>
        <v>0</v>
      </c>
      <c r="AH40" s="242">
        <f t="shared" si="15"/>
        <v>18</v>
      </c>
      <c r="AI40" s="242">
        <v>48</v>
      </c>
      <c r="AJ40" s="242">
        <f t="shared" si="15"/>
        <v>0</v>
      </c>
      <c r="AK40" s="242">
        <f t="shared" si="15"/>
        <v>0</v>
      </c>
      <c r="AL40" s="242">
        <v>33</v>
      </c>
      <c r="AM40" s="242">
        <f t="shared" si="15"/>
        <v>0</v>
      </c>
      <c r="AN40" s="70">
        <f t="shared" si="23"/>
        <v>99</v>
      </c>
      <c r="AQ40">
        <f>AQ39-112</f>
        <v>7</v>
      </c>
      <c r="AT40">
        <f>AT39-112</f>
        <v>112</v>
      </c>
    </row>
    <row r="41" spans="1:46" x14ac:dyDescent="0.25">
      <c r="A41" t="s">
        <v>36</v>
      </c>
      <c r="B41" s="16" t="s">
        <v>453</v>
      </c>
      <c r="C41" s="4" t="s">
        <v>0</v>
      </c>
      <c r="D41" s="4">
        <v>18</v>
      </c>
      <c r="E41" s="4">
        <v>80</v>
      </c>
      <c r="F41" s="121">
        <f t="shared" si="16"/>
        <v>0</v>
      </c>
      <c r="G41" s="121">
        <v>7</v>
      </c>
      <c r="H41" s="121">
        <v>10</v>
      </c>
      <c r="I41" s="121">
        <f t="shared" si="12"/>
        <v>2</v>
      </c>
      <c r="J41" s="121">
        <f t="shared" si="12"/>
        <v>2</v>
      </c>
      <c r="K41" s="121">
        <f t="shared" si="12"/>
        <v>2</v>
      </c>
      <c r="L41" s="121">
        <f t="shared" si="12"/>
        <v>2</v>
      </c>
      <c r="M41" s="51">
        <f>(2910+225)*1.008</f>
        <v>3160.08</v>
      </c>
      <c r="N41" s="242">
        <f t="shared" si="17"/>
        <v>0</v>
      </c>
      <c r="O41" s="242">
        <v>18</v>
      </c>
      <c r="P41" s="242">
        <v>33</v>
      </c>
      <c r="Q41" s="242">
        <f t="shared" si="13"/>
        <v>0</v>
      </c>
      <c r="R41" s="242">
        <f t="shared" si="13"/>
        <v>0</v>
      </c>
      <c r="S41" s="242">
        <f t="shared" si="13"/>
        <v>0</v>
      </c>
      <c r="T41" s="242">
        <f t="shared" si="13"/>
        <v>0</v>
      </c>
      <c r="U41" s="70">
        <f t="shared" si="22"/>
        <v>51</v>
      </c>
      <c r="W41">
        <f t="shared" si="24"/>
        <v>21</v>
      </c>
      <c r="X41">
        <f t="shared" si="25"/>
        <v>80</v>
      </c>
      <c r="Y41" s="121">
        <f t="shared" si="19"/>
        <v>0</v>
      </c>
      <c r="Z41" s="121">
        <f t="shared" si="14"/>
        <v>7</v>
      </c>
      <c r="AA41" s="121">
        <v>12</v>
      </c>
      <c r="AB41" s="121">
        <f t="shared" si="14"/>
        <v>2</v>
      </c>
      <c r="AC41" s="121">
        <f t="shared" si="14"/>
        <v>2</v>
      </c>
      <c r="AD41" s="121">
        <v>10</v>
      </c>
      <c r="AE41" s="121">
        <f t="shared" si="14"/>
        <v>2</v>
      </c>
      <c r="AF41" s="51">
        <f>AF40</f>
        <v>10291.68</v>
      </c>
      <c r="AG41" s="242">
        <f t="shared" si="20"/>
        <v>0</v>
      </c>
      <c r="AH41" s="242">
        <f t="shared" si="15"/>
        <v>18</v>
      </c>
      <c r="AI41" s="242">
        <v>48</v>
      </c>
      <c r="AJ41" s="242">
        <f t="shared" si="15"/>
        <v>0</v>
      </c>
      <c r="AK41" s="242">
        <f t="shared" si="15"/>
        <v>0</v>
      </c>
      <c r="AL41" s="242">
        <v>33</v>
      </c>
      <c r="AM41" s="242">
        <f t="shared" si="15"/>
        <v>0</v>
      </c>
      <c r="AN41" s="70">
        <f t="shared" si="23"/>
        <v>99</v>
      </c>
      <c r="AT41">
        <f>AT40-112</f>
        <v>0</v>
      </c>
    </row>
    <row r="42" spans="1:46" x14ac:dyDescent="0.25">
      <c r="A42" t="s">
        <v>40</v>
      </c>
      <c r="B42" s="16" t="str">
        <f>B24</f>
        <v>E. Cubas</v>
      </c>
      <c r="C42" s="4" t="str">
        <f>C24</f>
        <v>RAP</v>
      </c>
      <c r="D42" s="4">
        <f>W24</f>
        <v>18</v>
      </c>
      <c r="E42" s="4">
        <f>X24</f>
        <v>95.5</v>
      </c>
      <c r="F42" s="121">
        <f t="shared" si="16"/>
        <v>0</v>
      </c>
      <c r="G42" s="121">
        <f t="shared" si="12"/>
        <v>2</v>
      </c>
      <c r="H42" s="121">
        <f t="shared" si="12"/>
        <v>5.7</v>
      </c>
      <c r="I42" s="121">
        <f t="shared" si="12"/>
        <v>9.5</v>
      </c>
      <c r="J42" s="121">
        <f t="shared" si="12"/>
        <v>8.6</v>
      </c>
      <c r="K42" s="121">
        <f t="shared" si="12"/>
        <v>3</v>
      </c>
      <c r="L42" s="121">
        <f t="shared" si="12"/>
        <v>2</v>
      </c>
      <c r="M42" s="51">
        <f>AF24</f>
        <v>2449.44</v>
      </c>
      <c r="N42" s="242">
        <f t="shared" si="17"/>
        <v>0</v>
      </c>
      <c r="O42" s="242">
        <f t="shared" si="13"/>
        <v>0</v>
      </c>
      <c r="P42" s="242">
        <f t="shared" si="13"/>
        <v>11</v>
      </c>
      <c r="Q42" s="242">
        <f t="shared" si="13"/>
        <v>20.5</v>
      </c>
      <c r="R42" s="242">
        <f t="shared" si="13"/>
        <v>21</v>
      </c>
      <c r="S42" s="242">
        <f t="shared" si="13"/>
        <v>2</v>
      </c>
      <c r="T42" s="242">
        <f t="shared" si="13"/>
        <v>0</v>
      </c>
      <c r="U42" s="70">
        <f t="shared" si="22"/>
        <v>54.5</v>
      </c>
      <c r="W42">
        <f t="shared" si="24"/>
        <v>21</v>
      </c>
      <c r="X42">
        <f t="shared" si="25"/>
        <v>95.5</v>
      </c>
      <c r="Y42" s="121">
        <f t="shared" si="19"/>
        <v>0</v>
      </c>
      <c r="Z42" s="121">
        <f t="shared" si="14"/>
        <v>2</v>
      </c>
      <c r="AA42" s="121">
        <v>9</v>
      </c>
      <c r="AB42" s="121">
        <f t="shared" si="14"/>
        <v>9.5</v>
      </c>
      <c r="AC42" s="121">
        <f t="shared" si="14"/>
        <v>8.6</v>
      </c>
      <c r="AD42" s="121">
        <f>10+2/7</f>
        <v>10.285714285714286</v>
      </c>
      <c r="AE42" s="121">
        <f t="shared" si="14"/>
        <v>2</v>
      </c>
      <c r="AF42" s="51">
        <f>(2850+620+170+785)*1.008</f>
        <v>4460.3999999999996</v>
      </c>
      <c r="AG42" s="242">
        <f t="shared" si="20"/>
        <v>0</v>
      </c>
      <c r="AH42" s="242">
        <f t="shared" si="15"/>
        <v>0</v>
      </c>
      <c r="AI42" s="242">
        <f>P42+15</f>
        <v>26</v>
      </c>
      <c r="AJ42" s="242">
        <f t="shared" si="15"/>
        <v>20.5</v>
      </c>
      <c r="AK42" s="242">
        <f t="shared" si="15"/>
        <v>21</v>
      </c>
      <c r="AL42" s="242">
        <f>2+33</f>
        <v>35</v>
      </c>
      <c r="AM42" s="242">
        <f t="shared" si="15"/>
        <v>0</v>
      </c>
      <c r="AN42" s="70">
        <f t="shared" si="23"/>
        <v>102.5</v>
      </c>
    </row>
    <row r="43" spans="1:46" x14ac:dyDescent="0.25">
      <c r="A43" t="s">
        <v>34</v>
      </c>
      <c r="B43" s="16" t="str">
        <f t="shared" ref="B43:C44" si="26">B25</f>
        <v>V. Gomis</v>
      </c>
      <c r="C43" s="4" t="str">
        <f t="shared" si="26"/>
        <v>IMP</v>
      </c>
      <c r="D43" s="4">
        <f t="shared" ref="D43:E44" si="27">W25</f>
        <v>18</v>
      </c>
      <c r="E43" s="4">
        <f t="shared" si="27"/>
        <v>99.5</v>
      </c>
      <c r="F43" s="121">
        <f t="shared" si="16"/>
        <v>0</v>
      </c>
      <c r="G43" s="121">
        <f t="shared" si="12"/>
        <v>6</v>
      </c>
      <c r="H43" s="121">
        <f t="shared" si="12"/>
        <v>3</v>
      </c>
      <c r="I43" s="121">
        <f t="shared" si="12"/>
        <v>8</v>
      </c>
      <c r="J43" s="121">
        <f t="shared" si="12"/>
        <v>8.6</v>
      </c>
      <c r="K43" s="121">
        <f t="shared" si="12"/>
        <v>2</v>
      </c>
      <c r="L43" s="121">
        <f t="shared" si="12"/>
        <v>0</v>
      </c>
      <c r="M43" s="51">
        <f t="shared" si="12"/>
        <v>1450</v>
      </c>
      <c r="N43" s="242">
        <f t="shared" si="17"/>
        <v>0</v>
      </c>
      <c r="O43" s="242">
        <f t="shared" si="13"/>
        <v>14</v>
      </c>
      <c r="P43" s="242">
        <f t="shared" si="13"/>
        <v>3</v>
      </c>
      <c r="Q43" s="242">
        <f t="shared" si="13"/>
        <v>15</v>
      </c>
      <c r="R43" s="242">
        <f t="shared" si="13"/>
        <v>21</v>
      </c>
      <c r="S43" s="242">
        <f t="shared" si="13"/>
        <v>0</v>
      </c>
      <c r="T43" s="242">
        <f t="shared" si="13"/>
        <v>-2</v>
      </c>
      <c r="U43" s="70">
        <f>SUM(N43:T43)</f>
        <v>51</v>
      </c>
      <c r="W43">
        <f t="shared" si="24"/>
        <v>21</v>
      </c>
      <c r="X43">
        <f t="shared" si="25"/>
        <v>99.5</v>
      </c>
      <c r="Y43" s="121">
        <f t="shared" si="19"/>
        <v>0</v>
      </c>
      <c r="Z43" s="121">
        <f t="shared" si="14"/>
        <v>6</v>
      </c>
      <c r="AA43" s="121">
        <v>7.5</v>
      </c>
      <c r="AB43" s="121">
        <f t="shared" si="14"/>
        <v>8</v>
      </c>
      <c r="AC43" s="121">
        <f t="shared" si="14"/>
        <v>8.6</v>
      </c>
      <c r="AD43" s="121">
        <v>10</v>
      </c>
      <c r="AE43" s="121">
        <f t="shared" si="14"/>
        <v>0</v>
      </c>
      <c r="AF43" s="51">
        <f>(2630+140+275+165+330)*1</f>
        <v>3540</v>
      </c>
      <c r="AG43" s="242">
        <f t="shared" si="20"/>
        <v>0</v>
      </c>
      <c r="AH43" s="242">
        <f t="shared" si="15"/>
        <v>14</v>
      </c>
      <c r="AI43" s="242">
        <f>P43+15</f>
        <v>18</v>
      </c>
      <c r="AJ43" s="242">
        <f t="shared" si="15"/>
        <v>15</v>
      </c>
      <c r="AK43" s="242">
        <f t="shared" si="15"/>
        <v>21</v>
      </c>
      <c r="AL43" s="242">
        <v>33</v>
      </c>
      <c r="AM43" s="242">
        <f t="shared" si="15"/>
        <v>-2</v>
      </c>
      <c r="AN43" s="70">
        <f>SUM(AG43:AM43)</f>
        <v>99</v>
      </c>
    </row>
    <row r="44" spans="1:46" x14ac:dyDescent="0.25">
      <c r="A44" t="s">
        <v>42</v>
      </c>
      <c r="B44" s="16" t="str">
        <f t="shared" si="26"/>
        <v>J.G. Peñuela</v>
      </c>
      <c r="C44" s="4" t="str">
        <f t="shared" si="26"/>
        <v>IMP</v>
      </c>
      <c r="D44" s="4">
        <f t="shared" si="27"/>
        <v>18</v>
      </c>
      <c r="E44" s="4">
        <f t="shared" si="27"/>
        <v>95.5</v>
      </c>
      <c r="F44" s="121">
        <f t="shared" si="16"/>
        <v>0</v>
      </c>
      <c r="G44" s="121">
        <f t="shared" si="12"/>
        <v>3</v>
      </c>
      <c r="H44" s="121">
        <f t="shared" si="12"/>
        <v>5</v>
      </c>
      <c r="I44" s="121">
        <f t="shared" si="12"/>
        <v>8.8333333333333339</v>
      </c>
      <c r="J44" s="121">
        <f t="shared" si="12"/>
        <v>8</v>
      </c>
      <c r="K44" s="121">
        <f t="shared" si="12"/>
        <v>3</v>
      </c>
      <c r="L44" s="121">
        <f t="shared" si="12"/>
        <v>0</v>
      </c>
      <c r="M44" s="51">
        <f t="shared" si="12"/>
        <v>1745</v>
      </c>
      <c r="N44" s="242">
        <f t="shared" si="17"/>
        <v>0</v>
      </c>
      <c r="O44" s="242">
        <f t="shared" si="13"/>
        <v>3</v>
      </c>
      <c r="P44" s="242">
        <f t="shared" si="13"/>
        <v>9</v>
      </c>
      <c r="Q44" s="242">
        <f t="shared" si="13"/>
        <v>17.5</v>
      </c>
      <c r="R44" s="242">
        <f t="shared" si="13"/>
        <v>18</v>
      </c>
      <c r="S44" s="242">
        <f t="shared" si="13"/>
        <v>2</v>
      </c>
      <c r="T44" s="242">
        <f t="shared" si="13"/>
        <v>-2</v>
      </c>
      <c r="U44" s="70">
        <f>SUM(N44:T44)</f>
        <v>47.5</v>
      </c>
      <c r="W44">
        <f t="shared" si="24"/>
        <v>21</v>
      </c>
      <c r="X44">
        <f t="shared" si="25"/>
        <v>95.5</v>
      </c>
      <c r="Y44" s="121">
        <f t="shared" si="19"/>
        <v>0</v>
      </c>
      <c r="Z44" s="121">
        <f t="shared" si="14"/>
        <v>3</v>
      </c>
      <c r="AA44" s="121">
        <f>8+3/5</f>
        <v>8.6</v>
      </c>
      <c r="AB44" s="121">
        <f t="shared" si="14"/>
        <v>8.8333333333333339</v>
      </c>
      <c r="AC44" s="121">
        <f t="shared" si="14"/>
        <v>8</v>
      </c>
      <c r="AD44" s="121">
        <f>AD42</f>
        <v>10.285714285714286</v>
      </c>
      <c r="AE44" s="121">
        <f t="shared" si="14"/>
        <v>0</v>
      </c>
      <c r="AF44" s="51">
        <f>(2630+135+420+615)*1</f>
        <v>3800</v>
      </c>
      <c r="AG44" s="242">
        <f t="shared" si="20"/>
        <v>0</v>
      </c>
      <c r="AH44" s="242">
        <f t="shared" si="15"/>
        <v>3</v>
      </c>
      <c r="AI44" s="242">
        <f>P44+15</f>
        <v>24</v>
      </c>
      <c r="AJ44" s="242">
        <f t="shared" si="15"/>
        <v>17.5</v>
      </c>
      <c r="AK44" s="242">
        <f t="shared" si="15"/>
        <v>18</v>
      </c>
      <c r="AL44" s="242">
        <f>2+33</f>
        <v>35</v>
      </c>
      <c r="AM44" s="242">
        <f t="shared" si="15"/>
        <v>-2</v>
      </c>
      <c r="AN44" s="70">
        <f>SUM(AG44:AM44)</f>
        <v>95.5</v>
      </c>
    </row>
    <row r="45" spans="1:46" x14ac:dyDescent="0.25">
      <c r="A45" t="s">
        <v>46</v>
      </c>
      <c r="B45" s="16"/>
      <c r="C45" s="4"/>
      <c r="D45" s="4"/>
      <c r="E45" s="4"/>
      <c r="F45" s="121">
        <f t="shared" si="16"/>
        <v>0</v>
      </c>
      <c r="G45" s="121">
        <f t="shared" si="12"/>
        <v>2</v>
      </c>
      <c r="H45" s="121">
        <f t="shared" si="12"/>
        <v>2</v>
      </c>
      <c r="I45" s="121">
        <f t="shared" si="12"/>
        <v>2</v>
      </c>
      <c r="J45" s="121">
        <f t="shared" si="12"/>
        <v>2</v>
      </c>
      <c r="K45" s="121">
        <f t="shared" si="12"/>
        <v>2</v>
      </c>
      <c r="L45" s="121">
        <f t="shared" si="12"/>
        <v>2</v>
      </c>
      <c r="M45" s="51"/>
      <c r="N45" s="242">
        <f t="shared" si="17"/>
        <v>0</v>
      </c>
      <c r="O45" s="242">
        <f t="shared" si="13"/>
        <v>0</v>
      </c>
      <c r="P45" s="242">
        <f t="shared" si="13"/>
        <v>0</v>
      </c>
      <c r="Q45" s="242">
        <f t="shared" si="13"/>
        <v>0</v>
      </c>
      <c r="R45" s="242">
        <f t="shared" si="13"/>
        <v>0</v>
      </c>
      <c r="S45" s="242">
        <f t="shared" si="13"/>
        <v>0</v>
      </c>
      <c r="T45" s="242">
        <f t="shared" si="13"/>
        <v>0</v>
      </c>
      <c r="U45" s="70">
        <f t="shared" ref="U45:U46" si="28">SUM(N45:T45)</f>
        <v>0</v>
      </c>
      <c r="Y45" s="121">
        <f t="shared" si="19"/>
        <v>0</v>
      </c>
      <c r="Z45" s="121">
        <f t="shared" si="14"/>
        <v>2</v>
      </c>
      <c r="AA45" s="121">
        <f t="shared" si="14"/>
        <v>2</v>
      </c>
      <c r="AB45" s="121">
        <f t="shared" si="14"/>
        <v>2</v>
      </c>
      <c r="AC45" s="121">
        <f t="shared" si="14"/>
        <v>2</v>
      </c>
      <c r="AD45" s="121">
        <f t="shared" si="14"/>
        <v>2</v>
      </c>
      <c r="AE45" s="121">
        <f t="shared" si="14"/>
        <v>2</v>
      </c>
      <c r="AF45" s="51"/>
      <c r="AG45" s="242">
        <f t="shared" si="20"/>
        <v>0</v>
      </c>
      <c r="AH45" s="242">
        <f t="shared" si="15"/>
        <v>0</v>
      </c>
      <c r="AI45" s="242">
        <f t="shared" si="15"/>
        <v>0</v>
      </c>
      <c r="AJ45" s="242">
        <f t="shared" si="15"/>
        <v>0</v>
      </c>
      <c r="AK45" s="242">
        <f t="shared" si="15"/>
        <v>0</v>
      </c>
      <c r="AL45" s="242">
        <f t="shared" si="15"/>
        <v>0</v>
      </c>
      <c r="AM45" s="242">
        <f t="shared" si="15"/>
        <v>0</v>
      </c>
      <c r="AN45" s="70">
        <f t="shared" ref="AN45:AN46" si="29">SUM(AG45:AM45)</f>
        <v>0</v>
      </c>
    </row>
    <row r="46" spans="1:46" x14ac:dyDescent="0.25">
      <c r="A46" t="s">
        <v>452</v>
      </c>
      <c r="B46" s="16"/>
      <c r="C46" s="4"/>
      <c r="D46" s="4"/>
      <c r="E46" s="4"/>
      <c r="F46" s="121">
        <f t="shared" si="16"/>
        <v>0</v>
      </c>
      <c r="G46" s="121">
        <f t="shared" si="12"/>
        <v>2</v>
      </c>
      <c r="H46" s="121">
        <f t="shared" si="12"/>
        <v>2</v>
      </c>
      <c r="I46" s="121">
        <f t="shared" si="12"/>
        <v>2</v>
      </c>
      <c r="J46" s="121">
        <f t="shared" si="12"/>
        <v>2</v>
      </c>
      <c r="K46" s="121">
        <f t="shared" si="12"/>
        <v>2</v>
      </c>
      <c r="L46" s="121">
        <f t="shared" si="12"/>
        <v>2</v>
      </c>
      <c r="M46" s="51"/>
      <c r="N46" s="242">
        <f t="shared" si="17"/>
        <v>0</v>
      </c>
      <c r="O46" s="242">
        <f t="shared" si="13"/>
        <v>0</v>
      </c>
      <c r="P46" s="242">
        <f t="shared" si="13"/>
        <v>0</v>
      </c>
      <c r="Q46" s="242">
        <f t="shared" si="13"/>
        <v>0</v>
      </c>
      <c r="R46" s="242">
        <f t="shared" si="13"/>
        <v>0</v>
      </c>
      <c r="S46" s="242">
        <f t="shared" si="13"/>
        <v>0</v>
      </c>
      <c r="T46" s="242">
        <f t="shared" si="13"/>
        <v>0</v>
      </c>
      <c r="U46" s="70">
        <f t="shared" si="28"/>
        <v>0</v>
      </c>
      <c r="Y46" s="121">
        <f t="shared" si="19"/>
        <v>0</v>
      </c>
      <c r="Z46" s="121">
        <f t="shared" si="14"/>
        <v>2</v>
      </c>
      <c r="AA46" s="121">
        <f t="shared" si="14"/>
        <v>2</v>
      </c>
      <c r="AB46" s="121">
        <f t="shared" si="14"/>
        <v>2</v>
      </c>
      <c r="AC46" s="121">
        <f t="shared" si="14"/>
        <v>2</v>
      </c>
      <c r="AD46" s="121">
        <f t="shared" si="14"/>
        <v>2</v>
      </c>
      <c r="AE46" s="121">
        <f t="shared" si="14"/>
        <v>2</v>
      </c>
      <c r="AF46" s="51"/>
      <c r="AG46" s="242">
        <f t="shared" si="20"/>
        <v>0</v>
      </c>
      <c r="AH46" s="242">
        <f t="shared" si="15"/>
        <v>0</v>
      </c>
      <c r="AI46" s="242">
        <f t="shared" si="15"/>
        <v>0</v>
      </c>
      <c r="AJ46" s="242">
        <f t="shared" si="15"/>
        <v>0</v>
      </c>
      <c r="AK46" s="242">
        <f t="shared" si="15"/>
        <v>0</v>
      </c>
      <c r="AL46" s="242">
        <f t="shared" si="15"/>
        <v>0</v>
      </c>
      <c r="AM46" s="242">
        <f t="shared" si="15"/>
        <v>0</v>
      </c>
      <c r="AN46" s="70">
        <f t="shared" si="29"/>
        <v>0</v>
      </c>
    </row>
    <row r="47" spans="1:46" x14ac:dyDescent="0.25">
      <c r="A47"/>
      <c r="B47"/>
      <c r="F47" s="242"/>
      <c r="G47" s="242"/>
      <c r="H47" s="242"/>
      <c r="I47" s="242"/>
      <c r="J47" s="242"/>
      <c r="K47" s="242"/>
      <c r="L47" s="242"/>
      <c r="M47" s="243">
        <f>SUM(M49:M63)</f>
        <v>64407.92</v>
      </c>
      <c r="N47" s="242"/>
      <c r="O47" s="242"/>
      <c r="P47" s="242"/>
      <c r="Q47" s="242"/>
      <c r="R47" s="242"/>
      <c r="S47" s="242"/>
      <c r="T47" s="242"/>
      <c r="U47" s="242"/>
      <c r="Y47" s="242"/>
      <c r="Z47" s="242"/>
      <c r="AA47" s="242"/>
      <c r="AB47" s="242"/>
      <c r="AC47" s="242"/>
      <c r="AD47" s="242"/>
      <c r="AE47" s="242"/>
      <c r="AF47" s="243">
        <f>SUM(AF49:AF63)</f>
        <v>89732.88</v>
      </c>
      <c r="AG47" s="242"/>
      <c r="AH47" s="242"/>
      <c r="AI47" s="242"/>
      <c r="AJ47" s="242"/>
      <c r="AK47" s="242"/>
      <c r="AL47" s="242"/>
      <c r="AM47" s="242"/>
      <c r="AN47" s="242"/>
    </row>
    <row r="48" spans="1:46" x14ac:dyDescent="0.25">
      <c r="A48" s="11" t="s">
        <v>181</v>
      </c>
      <c r="B48" s="11" t="s">
        <v>2</v>
      </c>
      <c r="C48" s="11" t="s">
        <v>88</v>
      </c>
      <c r="D48" s="11" t="s">
        <v>439</v>
      </c>
      <c r="E48" s="11" t="s">
        <v>440</v>
      </c>
      <c r="F48" s="11" t="s">
        <v>15</v>
      </c>
      <c r="G48" s="11" t="s">
        <v>16</v>
      </c>
      <c r="H48" s="11" t="s">
        <v>17</v>
      </c>
      <c r="I48" s="11" t="s">
        <v>18</v>
      </c>
      <c r="J48" s="11" t="s">
        <v>19</v>
      </c>
      <c r="K48" s="11" t="s">
        <v>20</v>
      </c>
      <c r="L48" s="11" t="s">
        <v>6</v>
      </c>
      <c r="M48" s="11" t="s">
        <v>70</v>
      </c>
      <c r="N48" s="11" t="s">
        <v>441</v>
      </c>
      <c r="O48" s="11" t="s">
        <v>442</v>
      </c>
      <c r="P48" s="11" t="s">
        <v>443</v>
      </c>
      <c r="Q48" s="11" t="s">
        <v>444</v>
      </c>
      <c r="R48" s="11" t="s">
        <v>445</v>
      </c>
      <c r="S48" s="11" t="s">
        <v>446</v>
      </c>
      <c r="T48" s="11" t="s">
        <v>447</v>
      </c>
      <c r="U48" s="11" t="s">
        <v>448</v>
      </c>
      <c r="W48" s="11" t="s">
        <v>439</v>
      </c>
      <c r="X48" s="11" t="s">
        <v>440</v>
      </c>
      <c r="Y48" s="11" t="s">
        <v>15</v>
      </c>
      <c r="Z48" s="11" t="s">
        <v>16</v>
      </c>
      <c r="AA48" s="11" t="s">
        <v>17</v>
      </c>
      <c r="AB48" s="11" t="s">
        <v>18</v>
      </c>
      <c r="AC48" s="11" t="s">
        <v>19</v>
      </c>
      <c r="AD48" s="11" t="s">
        <v>20</v>
      </c>
      <c r="AE48" s="11" t="s">
        <v>6</v>
      </c>
      <c r="AF48" s="11" t="s">
        <v>70</v>
      </c>
      <c r="AG48" s="11" t="s">
        <v>441</v>
      </c>
      <c r="AH48" s="11" t="s">
        <v>442</v>
      </c>
      <c r="AI48" s="11" t="s">
        <v>443</v>
      </c>
      <c r="AJ48" s="11" t="s">
        <v>444</v>
      </c>
      <c r="AK48" s="11" t="s">
        <v>445</v>
      </c>
      <c r="AL48" s="11" t="s">
        <v>446</v>
      </c>
      <c r="AM48" s="11" t="s">
        <v>447</v>
      </c>
      <c r="AN48" s="11" t="s">
        <v>448</v>
      </c>
    </row>
    <row r="49" spans="1:43" x14ac:dyDescent="0.25">
      <c r="A49" t="s">
        <v>29</v>
      </c>
      <c r="B49" s="16"/>
      <c r="C49" s="20"/>
      <c r="D49" s="20"/>
      <c r="E49" s="20"/>
      <c r="F49" s="121">
        <f>Y31</f>
        <v>2</v>
      </c>
      <c r="G49" s="121">
        <f t="shared" ref="G49:N64" si="30">Z31</f>
        <v>2</v>
      </c>
      <c r="H49" s="121">
        <f t="shared" si="30"/>
        <v>0</v>
      </c>
      <c r="I49" s="121">
        <f t="shared" si="30"/>
        <v>0</v>
      </c>
      <c r="J49" s="121">
        <f t="shared" si="30"/>
        <v>0</v>
      </c>
      <c r="K49" s="121">
        <f t="shared" si="30"/>
        <v>0</v>
      </c>
      <c r="L49" s="121">
        <f t="shared" si="30"/>
        <v>2</v>
      </c>
      <c r="M49" s="51"/>
      <c r="N49" s="242">
        <f>AG31</f>
        <v>0</v>
      </c>
      <c r="O49" s="242">
        <f t="shared" ref="O49:T64" si="31">AH31</f>
        <v>0</v>
      </c>
      <c r="P49" s="242">
        <f t="shared" si="31"/>
        <v>0</v>
      </c>
      <c r="Q49" s="242">
        <f t="shared" si="31"/>
        <v>0</v>
      </c>
      <c r="R49" s="242">
        <f t="shared" si="31"/>
        <v>0</v>
      </c>
      <c r="S49" s="242">
        <f t="shared" si="31"/>
        <v>0</v>
      </c>
      <c r="T49" s="242">
        <f t="shared" si="31"/>
        <v>0</v>
      </c>
      <c r="U49" s="70">
        <f>SUM(N49:T49)</f>
        <v>0</v>
      </c>
      <c r="Y49" s="121">
        <f>F49</f>
        <v>2</v>
      </c>
      <c r="Z49" s="121">
        <f t="shared" ref="Z49:AE64" si="32">G49</f>
        <v>2</v>
      </c>
      <c r="AA49" s="121">
        <f t="shared" si="32"/>
        <v>0</v>
      </c>
      <c r="AB49" s="121">
        <f t="shared" si="32"/>
        <v>0</v>
      </c>
      <c r="AC49" s="121">
        <f t="shared" si="32"/>
        <v>0</v>
      </c>
      <c r="AD49" s="121">
        <f t="shared" si="32"/>
        <v>0</v>
      </c>
      <c r="AE49" s="121">
        <f t="shared" si="32"/>
        <v>2</v>
      </c>
      <c r="AF49" s="51"/>
      <c r="AG49" s="242">
        <f>N49</f>
        <v>0</v>
      </c>
      <c r="AH49" s="242">
        <f t="shared" ref="AH49:AM64" si="33">O49</f>
        <v>0</v>
      </c>
      <c r="AI49" s="242">
        <f t="shared" si="33"/>
        <v>0</v>
      </c>
      <c r="AJ49" s="242">
        <f t="shared" si="33"/>
        <v>0</v>
      </c>
      <c r="AK49" s="242">
        <f t="shared" si="33"/>
        <v>0</v>
      </c>
      <c r="AL49" s="242">
        <f t="shared" si="33"/>
        <v>0</v>
      </c>
      <c r="AM49" s="242">
        <f t="shared" si="33"/>
        <v>0</v>
      </c>
      <c r="AN49" s="70">
        <f>SUM(AG49:AM49)</f>
        <v>0</v>
      </c>
    </row>
    <row r="50" spans="1:43" x14ac:dyDescent="0.25">
      <c r="A50" t="s">
        <v>32</v>
      </c>
      <c r="B50" s="16"/>
      <c r="C50" s="4"/>
      <c r="D50" s="4"/>
      <c r="E50" s="4"/>
      <c r="F50" s="121">
        <f t="shared" ref="F50:F64" si="34">Y32</f>
        <v>0</v>
      </c>
      <c r="G50" s="121">
        <f t="shared" si="30"/>
        <v>2</v>
      </c>
      <c r="H50" s="121">
        <f t="shared" si="30"/>
        <v>2</v>
      </c>
      <c r="I50" s="121">
        <f t="shared" si="30"/>
        <v>2</v>
      </c>
      <c r="J50" s="121">
        <f t="shared" si="30"/>
        <v>2</v>
      </c>
      <c r="K50" s="121">
        <f t="shared" si="30"/>
        <v>2</v>
      </c>
      <c r="L50" s="121">
        <f t="shared" si="30"/>
        <v>2</v>
      </c>
      <c r="M50" s="51"/>
      <c r="N50" s="242">
        <f t="shared" si="30"/>
        <v>0</v>
      </c>
      <c r="O50" s="242">
        <f t="shared" si="31"/>
        <v>0</v>
      </c>
      <c r="P50" s="242">
        <f t="shared" si="31"/>
        <v>0</v>
      </c>
      <c r="Q50" s="242">
        <f t="shared" si="31"/>
        <v>0</v>
      </c>
      <c r="R50" s="242">
        <f t="shared" si="31"/>
        <v>0</v>
      </c>
      <c r="S50" s="242">
        <f t="shared" si="31"/>
        <v>0</v>
      </c>
      <c r="T50" s="242">
        <f t="shared" si="31"/>
        <v>0</v>
      </c>
      <c r="U50" s="70">
        <f t="shared" ref="U50" si="35">SUM(N50:T50)</f>
        <v>0</v>
      </c>
      <c r="Y50" s="121">
        <f t="shared" ref="Y50:Y64" si="36">F50</f>
        <v>0</v>
      </c>
      <c r="Z50" s="121">
        <f t="shared" si="32"/>
        <v>2</v>
      </c>
      <c r="AA50" s="121">
        <f t="shared" si="32"/>
        <v>2</v>
      </c>
      <c r="AB50" s="121">
        <f t="shared" si="32"/>
        <v>2</v>
      </c>
      <c r="AC50" s="121">
        <f t="shared" si="32"/>
        <v>2</v>
      </c>
      <c r="AD50" s="121">
        <f t="shared" si="32"/>
        <v>2</v>
      </c>
      <c r="AE50" s="121">
        <f t="shared" si="32"/>
        <v>2</v>
      </c>
      <c r="AF50" s="51"/>
      <c r="AG50" s="242">
        <f t="shared" ref="AG50:AG64" si="37">N50</f>
        <v>0</v>
      </c>
      <c r="AH50" s="242">
        <f t="shared" si="33"/>
        <v>0</v>
      </c>
      <c r="AI50" s="242">
        <f t="shared" si="33"/>
        <v>0</v>
      </c>
      <c r="AJ50" s="242">
        <f t="shared" si="33"/>
        <v>0</v>
      </c>
      <c r="AK50" s="242">
        <f t="shared" si="33"/>
        <v>0</v>
      </c>
      <c r="AL50" s="242">
        <f t="shared" si="33"/>
        <v>0</v>
      </c>
      <c r="AM50" s="242">
        <f t="shared" si="33"/>
        <v>0</v>
      </c>
      <c r="AN50" s="70">
        <f t="shared" ref="AN50" si="38">SUM(AG50:AM50)</f>
        <v>0</v>
      </c>
    </row>
    <row r="51" spans="1:43" x14ac:dyDescent="0.25">
      <c r="A51" t="s">
        <v>33</v>
      </c>
      <c r="B51" s="16"/>
      <c r="C51" s="4"/>
      <c r="D51" s="4"/>
      <c r="E51" s="4"/>
      <c r="F51" s="121">
        <f t="shared" si="34"/>
        <v>0</v>
      </c>
      <c r="G51" s="121">
        <f t="shared" si="30"/>
        <v>2</v>
      </c>
      <c r="H51" s="121">
        <f t="shared" si="30"/>
        <v>2</v>
      </c>
      <c r="I51" s="121">
        <f t="shared" si="30"/>
        <v>2</v>
      </c>
      <c r="J51" s="121">
        <f t="shared" si="30"/>
        <v>2</v>
      </c>
      <c r="K51" s="121">
        <f t="shared" si="30"/>
        <v>2</v>
      </c>
      <c r="L51" s="121">
        <f t="shared" si="30"/>
        <v>2</v>
      </c>
      <c r="M51" s="51"/>
      <c r="N51" s="242">
        <f t="shared" si="30"/>
        <v>0</v>
      </c>
      <c r="O51" s="242">
        <f t="shared" si="31"/>
        <v>0</v>
      </c>
      <c r="P51" s="242">
        <f t="shared" si="31"/>
        <v>0</v>
      </c>
      <c r="Q51" s="242">
        <f t="shared" si="31"/>
        <v>0</v>
      </c>
      <c r="R51" s="242">
        <f t="shared" si="31"/>
        <v>0</v>
      </c>
      <c r="S51" s="242">
        <f t="shared" si="31"/>
        <v>0</v>
      </c>
      <c r="T51" s="242">
        <f t="shared" si="31"/>
        <v>0</v>
      </c>
      <c r="U51" s="70">
        <f>SUM(N51:T51)</f>
        <v>0</v>
      </c>
      <c r="Y51" s="121">
        <f t="shared" si="36"/>
        <v>0</v>
      </c>
      <c r="Z51" s="121">
        <f t="shared" si="32"/>
        <v>2</v>
      </c>
      <c r="AA51" s="121">
        <f t="shared" si="32"/>
        <v>2</v>
      </c>
      <c r="AB51" s="121">
        <f t="shared" si="32"/>
        <v>2</v>
      </c>
      <c r="AC51" s="121">
        <f t="shared" si="32"/>
        <v>2</v>
      </c>
      <c r="AD51" s="121">
        <f t="shared" si="32"/>
        <v>2</v>
      </c>
      <c r="AE51" s="121">
        <f t="shared" si="32"/>
        <v>2</v>
      </c>
      <c r="AF51" s="51"/>
      <c r="AG51" s="242">
        <f t="shared" si="37"/>
        <v>0</v>
      </c>
      <c r="AH51" s="242">
        <f t="shared" si="33"/>
        <v>0</v>
      </c>
      <c r="AI51" s="242">
        <f t="shared" si="33"/>
        <v>0</v>
      </c>
      <c r="AJ51" s="242">
        <f t="shared" si="33"/>
        <v>0</v>
      </c>
      <c r="AK51" s="242">
        <f t="shared" si="33"/>
        <v>0</v>
      </c>
      <c r="AL51" s="242">
        <f t="shared" si="33"/>
        <v>0</v>
      </c>
      <c r="AM51" s="242">
        <f t="shared" si="33"/>
        <v>0</v>
      </c>
      <c r="AN51" s="70">
        <f>SUM(AG51:AM51)</f>
        <v>0</v>
      </c>
    </row>
    <row r="52" spans="1:43" x14ac:dyDescent="0.25">
      <c r="A52" t="s">
        <v>39</v>
      </c>
      <c r="B52" s="16"/>
      <c r="C52" s="4"/>
      <c r="D52" s="4"/>
      <c r="E52" s="4"/>
      <c r="F52" s="121">
        <f t="shared" si="34"/>
        <v>0</v>
      </c>
      <c r="G52" s="121">
        <f t="shared" si="30"/>
        <v>2</v>
      </c>
      <c r="H52" s="121">
        <f t="shared" si="30"/>
        <v>2</v>
      </c>
      <c r="I52" s="121">
        <f t="shared" si="30"/>
        <v>2</v>
      </c>
      <c r="J52" s="121">
        <f t="shared" si="30"/>
        <v>2</v>
      </c>
      <c r="K52" s="121">
        <f t="shared" si="30"/>
        <v>2</v>
      </c>
      <c r="L52" s="121">
        <f t="shared" si="30"/>
        <v>2</v>
      </c>
      <c r="M52" s="51"/>
      <c r="N52" s="242">
        <f t="shared" si="30"/>
        <v>0</v>
      </c>
      <c r="O52" s="242">
        <f t="shared" si="31"/>
        <v>0</v>
      </c>
      <c r="P52" s="242">
        <f t="shared" si="31"/>
        <v>0</v>
      </c>
      <c r="Q52" s="242">
        <f t="shared" si="31"/>
        <v>0</v>
      </c>
      <c r="R52" s="242">
        <f t="shared" si="31"/>
        <v>0</v>
      </c>
      <c r="S52" s="242">
        <f t="shared" si="31"/>
        <v>0</v>
      </c>
      <c r="T52" s="242">
        <f t="shared" si="31"/>
        <v>0</v>
      </c>
      <c r="U52" s="70">
        <f>SUM(N52:T52)</f>
        <v>0</v>
      </c>
      <c r="Y52" s="121">
        <f t="shared" si="36"/>
        <v>0</v>
      </c>
      <c r="Z52" s="121">
        <f t="shared" si="32"/>
        <v>2</v>
      </c>
      <c r="AA52" s="121">
        <f t="shared" si="32"/>
        <v>2</v>
      </c>
      <c r="AB52" s="121">
        <f t="shared" si="32"/>
        <v>2</v>
      </c>
      <c r="AC52" s="121">
        <f t="shared" si="32"/>
        <v>2</v>
      </c>
      <c r="AD52" s="121">
        <f t="shared" si="32"/>
        <v>2</v>
      </c>
      <c r="AE52" s="121">
        <f t="shared" si="32"/>
        <v>2</v>
      </c>
      <c r="AF52" s="51"/>
      <c r="AG52" s="242">
        <f t="shared" si="37"/>
        <v>0</v>
      </c>
      <c r="AH52" s="242">
        <f t="shared" si="33"/>
        <v>0</v>
      </c>
      <c r="AI52" s="242">
        <f t="shared" si="33"/>
        <v>0</v>
      </c>
      <c r="AJ52" s="242">
        <f t="shared" si="33"/>
        <v>0</v>
      </c>
      <c r="AK52" s="242">
        <f t="shared" si="33"/>
        <v>0</v>
      </c>
      <c r="AL52" s="242">
        <f t="shared" si="33"/>
        <v>0</v>
      </c>
      <c r="AM52" s="242">
        <f t="shared" si="33"/>
        <v>0</v>
      </c>
      <c r="AN52" s="70">
        <f>SUM(AG52:AM52)</f>
        <v>0</v>
      </c>
    </row>
    <row r="53" spans="1:43" x14ac:dyDescent="0.25">
      <c r="A53" t="s">
        <v>41</v>
      </c>
      <c r="B53" s="16" t="s">
        <v>454</v>
      </c>
      <c r="C53" s="4" t="s">
        <v>190</v>
      </c>
      <c r="D53" s="4">
        <v>21</v>
      </c>
      <c r="E53" s="4">
        <v>70</v>
      </c>
      <c r="F53" s="121">
        <f t="shared" si="34"/>
        <v>0</v>
      </c>
      <c r="G53" s="121">
        <v>9</v>
      </c>
      <c r="H53" s="121">
        <v>10</v>
      </c>
      <c r="I53" s="121">
        <f t="shared" si="30"/>
        <v>2</v>
      </c>
      <c r="J53" s="121">
        <f t="shared" si="30"/>
        <v>2</v>
      </c>
      <c r="K53" s="121">
        <v>10</v>
      </c>
      <c r="L53" s="121">
        <f t="shared" si="30"/>
        <v>2</v>
      </c>
      <c r="M53" s="51">
        <f>(2910+1315+1165)*1.008</f>
        <v>5433.12</v>
      </c>
      <c r="N53" s="242">
        <f t="shared" si="30"/>
        <v>0</v>
      </c>
      <c r="O53" s="242">
        <v>30</v>
      </c>
      <c r="P53" s="242">
        <v>33</v>
      </c>
      <c r="Q53" s="242">
        <f t="shared" si="31"/>
        <v>0</v>
      </c>
      <c r="R53" s="242">
        <f t="shared" si="31"/>
        <v>0</v>
      </c>
      <c r="S53" s="242">
        <v>33</v>
      </c>
      <c r="T53" s="242">
        <f t="shared" si="31"/>
        <v>0</v>
      </c>
      <c r="U53" s="70">
        <f t="shared" ref="U53:U60" si="39">SUM(N53:T53)</f>
        <v>96</v>
      </c>
      <c r="W53">
        <f>D53+2</f>
        <v>23</v>
      </c>
      <c r="X53">
        <f>E53+$AQ$56-112</f>
        <v>28</v>
      </c>
      <c r="Y53" s="121">
        <f t="shared" si="36"/>
        <v>0</v>
      </c>
      <c r="Z53" s="121">
        <v>12</v>
      </c>
      <c r="AA53" s="121">
        <f t="shared" si="32"/>
        <v>10</v>
      </c>
      <c r="AB53" s="121">
        <f t="shared" si="32"/>
        <v>2</v>
      </c>
      <c r="AC53" s="121">
        <f t="shared" si="32"/>
        <v>2</v>
      </c>
      <c r="AD53" s="121">
        <f t="shared" si="32"/>
        <v>10</v>
      </c>
      <c r="AE53" s="121">
        <f t="shared" si="32"/>
        <v>2</v>
      </c>
      <c r="AF53" s="51">
        <f>(7010+1455+1315)*1.008</f>
        <v>9858.24</v>
      </c>
      <c r="AG53" s="242">
        <f t="shared" si="37"/>
        <v>0</v>
      </c>
      <c r="AH53" s="242">
        <f>O53+$AQ$54</f>
        <v>56</v>
      </c>
      <c r="AI53" s="242">
        <f t="shared" si="33"/>
        <v>33</v>
      </c>
      <c r="AJ53" s="242">
        <f t="shared" si="33"/>
        <v>0</v>
      </c>
      <c r="AK53" s="242">
        <f t="shared" si="33"/>
        <v>0</v>
      </c>
      <c r="AL53" s="242">
        <f t="shared" si="33"/>
        <v>33</v>
      </c>
      <c r="AM53" s="242">
        <f t="shared" si="33"/>
        <v>0</v>
      </c>
      <c r="AN53" s="70">
        <f t="shared" ref="AN53:AN60" si="40">SUM(AG53:AM53)</f>
        <v>122</v>
      </c>
    </row>
    <row r="54" spans="1:43" x14ac:dyDescent="0.25">
      <c r="A54" t="s">
        <v>38</v>
      </c>
      <c r="B54" s="16" t="s">
        <v>454</v>
      </c>
      <c r="C54" s="4" t="s">
        <v>190</v>
      </c>
      <c r="D54" s="4">
        <v>21</v>
      </c>
      <c r="E54" s="4">
        <v>70</v>
      </c>
      <c r="F54" s="121">
        <f t="shared" si="34"/>
        <v>0</v>
      </c>
      <c r="G54" s="121">
        <v>9</v>
      </c>
      <c r="H54" s="121">
        <v>10</v>
      </c>
      <c r="I54" s="121">
        <f t="shared" si="30"/>
        <v>2</v>
      </c>
      <c r="J54" s="121">
        <f t="shared" si="30"/>
        <v>2</v>
      </c>
      <c r="K54" s="121">
        <v>10</v>
      </c>
      <c r="L54" s="121">
        <f t="shared" si="30"/>
        <v>2</v>
      </c>
      <c r="M54" s="51">
        <f t="shared" ref="M54:M56" si="41">(2910+1315+1165)*1.008</f>
        <v>5433.12</v>
      </c>
      <c r="N54" s="242">
        <f t="shared" si="30"/>
        <v>0</v>
      </c>
      <c r="O54" s="242">
        <v>30</v>
      </c>
      <c r="P54" s="242">
        <v>33</v>
      </c>
      <c r="Q54" s="242">
        <f t="shared" si="31"/>
        <v>0</v>
      </c>
      <c r="R54" s="242">
        <f t="shared" si="31"/>
        <v>0</v>
      </c>
      <c r="S54" s="242">
        <v>33</v>
      </c>
      <c r="T54" s="242">
        <f t="shared" si="31"/>
        <v>0</v>
      </c>
      <c r="U54" s="70">
        <f t="shared" si="39"/>
        <v>96</v>
      </c>
      <c r="W54">
        <f t="shared" ref="W54:W59" si="42">D54+2</f>
        <v>23</v>
      </c>
      <c r="X54">
        <f t="shared" ref="X54:X59" si="43">E54+$AQ$56-112</f>
        <v>28</v>
      </c>
      <c r="Y54" s="121">
        <f t="shared" si="36"/>
        <v>0</v>
      </c>
      <c r="Z54" s="121">
        <v>12</v>
      </c>
      <c r="AA54" s="121">
        <f t="shared" si="32"/>
        <v>10</v>
      </c>
      <c r="AB54" s="121">
        <f t="shared" si="32"/>
        <v>2</v>
      </c>
      <c r="AC54" s="121">
        <f t="shared" si="32"/>
        <v>2</v>
      </c>
      <c r="AD54" s="121">
        <f t="shared" si="32"/>
        <v>10</v>
      </c>
      <c r="AE54" s="121">
        <f t="shared" si="32"/>
        <v>2</v>
      </c>
      <c r="AF54" s="51">
        <f t="shared" ref="AF54:AF56" si="44">(7010+1455+1315)*1.008</f>
        <v>9858.24</v>
      </c>
      <c r="AG54" s="242">
        <f t="shared" si="37"/>
        <v>0</v>
      </c>
      <c r="AH54" s="242">
        <f t="shared" ref="AH54:AH62" si="45">O54+$AQ$54</f>
        <v>56</v>
      </c>
      <c r="AI54" s="242">
        <f t="shared" si="33"/>
        <v>33</v>
      </c>
      <c r="AJ54" s="242">
        <f t="shared" si="33"/>
        <v>0</v>
      </c>
      <c r="AK54" s="242">
        <f t="shared" si="33"/>
        <v>0</v>
      </c>
      <c r="AL54" s="242">
        <f t="shared" si="33"/>
        <v>33</v>
      </c>
      <c r="AM54" s="242">
        <f t="shared" si="33"/>
        <v>0</v>
      </c>
      <c r="AN54" s="70">
        <f t="shared" si="40"/>
        <v>122</v>
      </c>
      <c r="AP54" s="246" t="s">
        <v>30</v>
      </c>
      <c r="AQ54" s="246">
        <v>26</v>
      </c>
    </row>
    <row r="55" spans="1:43" x14ac:dyDescent="0.25">
      <c r="A55" t="s">
        <v>35</v>
      </c>
      <c r="B55" s="16" t="s">
        <v>454</v>
      </c>
      <c r="C55" s="4" t="s">
        <v>402</v>
      </c>
      <c r="D55" s="4">
        <v>21</v>
      </c>
      <c r="E55" s="4">
        <v>70</v>
      </c>
      <c r="F55" s="121">
        <f t="shared" si="34"/>
        <v>0</v>
      </c>
      <c r="G55" s="121">
        <v>9</v>
      </c>
      <c r="H55" s="121">
        <v>10</v>
      </c>
      <c r="I55" s="121">
        <f t="shared" si="30"/>
        <v>2</v>
      </c>
      <c r="J55" s="121">
        <f t="shared" si="30"/>
        <v>2</v>
      </c>
      <c r="K55" s="121">
        <v>10</v>
      </c>
      <c r="L55" s="121">
        <f t="shared" si="30"/>
        <v>2</v>
      </c>
      <c r="M55" s="51">
        <f t="shared" si="41"/>
        <v>5433.12</v>
      </c>
      <c r="N55" s="242">
        <f t="shared" si="30"/>
        <v>0</v>
      </c>
      <c r="O55" s="242">
        <v>30</v>
      </c>
      <c r="P55" s="242">
        <v>33</v>
      </c>
      <c r="Q55" s="242">
        <f t="shared" si="31"/>
        <v>0</v>
      </c>
      <c r="R55" s="242">
        <f t="shared" si="31"/>
        <v>0</v>
      </c>
      <c r="S55" s="242">
        <v>33</v>
      </c>
      <c r="T55" s="242">
        <f t="shared" si="31"/>
        <v>0</v>
      </c>
      <c r="U55" s="70">
        <f t="shared" si="39"/>
        <v>96</v>
      </c>
      <c r="W55">
        <f t="shared" si="42"/>
        <v>23</v>
      </c>
      <c r="X55">
        <f t="shared" si="43"/>
        <v>28</v>
      </c>
      <c r="Y55" s="121">
        <f t="shared" si="36"/>
        <v>0</v>
      </c>
      <c r="Z55" s="121">
        <v>12</v>
      </c>
      <c r="AA55" s="121">
        <f t="shared" si="32"/>
        <v>10</v>
      </c>
      <c r="AB55" s="121">
        <f t="shared" si="32"/>
        <v>2</v>
      </c>
      <c r="AC55" s="121">
        <f t="shared" si="32"/>
        <v>2</v>
      </c>
      <c r="AD55" s="121">
        <f t="shared" si="32"/>
        <v>10</v>
      </c>
      <c r="AE55" s="121">
        <f t="shared" si="32"/>
        <v>2</v>
      </c>
      <c r="AF55" s="51">
        <f t="shared" si="44"/>
        <v>9858.24</v>
      </c>
      <c r="AG55" s="242">
        <f t="shared" si="37"/>
        <v>0</v>
      </c>
      <c r="AH55" s="242">
        <f t="shared" si="45"/>
        <v>56</v>
      </c>
      <c r="AI55" s="242">
        <f t="shared" si="33"/>
        <v>33</v>
      </c>
      <c r="AJ55" s="242">
        <f t="shared" si="33"/>
        <v>0</v>
      </c>
      <c r="AK55" s="242">
        <f t="shared" si="33"/>
        <v>0</v>
      </c>
      <c r="AL55" s="242">
        <f t="shared" si="33"/>
        <v>33</v>
      </c>
      <c r="AM55" s="242">
        <f t="shared" si="33"/>
        <v>0</v>
      </c>
      <c r="AN55" s="70">
        <f t="shared" si="40"/>
        <v>122</v>
      </c>
      <c r="AQ55">
        <f>AQ54*7</f>
        <v>182</v>
      </c>
    </row>
    <row r="56" spans="1:43" x14ac:dyDescent="0.25">
      <c r="A56" t="s">
        <v>31</v>
      </c>
      <c r="B56" s="16" t="s">
        <v>454</v>
      </c>
      <c r="C56" s="4" t="s">
        <v>402</v>
      </c>
      <c r="D56" s="4">
        <v>21</v>
      </c>
      <c r="E56" s="4">
        <v>70</v>
      </c>
      <c r="F56" s="121">
        <f t="shared" si="34"/>
        <v>0</v>
      </c>
      <c r="G56" s="121">
        <v>9</v>
      </c>
      <c r="H56" s="121">
        <v>10</v>
      </c>
      <c r="I56" s="121">
        <f t="shared" si="30"/>
        <v>2</v>
      </c>
      <c r="J56" s="121">
        <f t="shared" si="30"/>
        <v>2</v>
      </c>
      <c r="K56" s="121">
        <v>10</v>
      </c>
      <c r="L56" s="121">
        <f t="shared" si="30"/>
        <v>2</v>
      </c>
      <c r="M56" s="51">
        <f t="shared" si="41"/>
        <v>5433.12</v>
      </c>
      <c r="N56" s="242">
        <f t="shared" si="30"/>
        <v>0</v>
      </c>
      <c r="O56" s="242">
        <v>30</v>
      </c>
      <c r="P56" s="242">
        <v>33</v>
      </c>
      <c r="Q56" s="242">
        <f t="shared" si="31"/>
        <v>0</v>
      </c>
      <c r="R56" s="242">
        <f t="shared" si="31"/>
        <v>0</v>
      </c>
      <c r="S56" s="242">
        <v>33</v>
      </c>
      <c r="T56" s="242">
        <f t="shared" si="31"/>
        <v>0</v>
      </c>
      <c r="U56" s="70">
        <f t="shared" si="39"/>
        <v>96</v>
      </c>
      <c r="W56">
        <f t="shared" si="42"/>
        <v>23</v>
      </c>
      <c r="X56">
        <f t="shared" si="43"/>
        <v>28</v>
      </c>
      <c r="Y56" s="121">
        <f t="shared" si="36"/>
        <v>0</v>
      </c>
      <c r="Z56" s="121">
        <v>12</v>
      </c>
      <c r="AA56" s="121">
        <f t="shared" si="32"/>
        <v>10</v>
      </c>
      <c r="AB56" s="121">
        <f t="shared" si="32"/>
        <v>2</v>
      </c>
      <c r="AC56" s="121">
        <f t="shared" si="32"/>
        <v>2</v>
      </c>
      <c r="AD56" s="121">
        <f t="shared" si="32"/>
        <v>10</v>
      </c>
      <c r="AE56" s="121">
        <f t="shared" si="32"/>
        <v>2</v>
      </c>
      <c r="AF56" s="51">
        <f t="shared" si="44"/>
        <v>9858.24</v>
      </c>
      <c r="AG56" s="242">
        <f t="shared" si="37"/>
        <v>0</v>
      </c>
      <c r="AH56" s="242">
        <f t="shared" si="45"/>
        <v>56</v>
      </c>
      <c r="AI56" s="242">
        <f t="shared" si="33"/>
        <v>33</v>
      </c>
      <c r="AJ56" s="242">
        <f t="shared" si="33"/>
        <v>0</v>
      </c>
      <c r="AK56" s="242">
        <f t="shared" si="33"/>
        <v>0</v>
      </c>
      <c r="AL56" s="242">
        <f t="shared" si="33"/>
        <v>33</v>
      </c>
      <c r="AM56" s="242">
        <f t="shared" si="33"/>
        <v>0</v>
      </c>
      <c r="AN56" s="70">
        <f t="shared" si="40"/>
        <v>122</v>
      </c>
      <c r="AQ56">
        <f>AQ55-112</f>
        <v>70</v>
      </c>
    </row>
    <row r="57" spans="1:43" x14ac:dyDescent="0.25">
      <c r="A57" t="s">
        <v>43</v>
      </c>
      <c r="B57" s="16" t="str">
        <f>B39</f>
        <v>Inner</v>
      </c>
      <c r="C57" s="4" t="str">
        <f>C39</f>
        <v>CAB</v>
      </c>
      <c r="D57" s="4">
        <f>W39</f>
        <v>21</v>
      </c>
      <c r="E57" s="4">
        <f>X39</f>
        <v>80</v>
      </c>
      <c r="F57" s="121">
        <f t="shared" si="34"/>
        <v>0</v>
      </c>
      <c r="G57" s="121">
        <f t="shared" si="30"/>
        <v>7</v>
      </c>
      <c r="H57" s="121">
        <f t="shared" si="30"/>
        <v>12</v>
      </c>
      <c r="I57" s="121">
        <f t="shared" si="30"/>
        <v>2</v>
      </c>
      <c r="J57" s="121">
        <f t="shared" si="30"/>
        <v>2</v>
      </c>
      <c r="K57" s="121">
        <f t="shared" si="30"/>
        <v>10</v>
      </c>
      <c r="L57" s="121">
        <f t="shared" si="30"/>
        <v>2</v>
      </c>
      <c r="M57" s="51">
        <f t="shared" si="30"/>
        <v>10291.68</v>
      </c>
      <c r="N57" s="242">
        <f t="shared" si="30"/>
        <v>0</v>
      </c>
      <c r="O57" s="242">
        <f t="shared" si="31"/>
        <v>18</v>
      </c>
      <c r="P57" s="242">
        <f t="shared" si="31"/>
        <v>48</v>
      </c>
      <c r="Q57" s="242">
        <f t="shared" si="31"/>
        <v>0</v>
      </c>
      <c r="R57" s="242">
        <f t="shared" si="31"/>
        <v>0</v>
      </c>
      <c r="S57" s="242">
        <f t="shared" si="31"/>
        <v>33</v>
      </c>
      <c r="T57" s="242">
        <f t="shared" si="31"/>
        <v>0</v>
      </c>
      <c r="U57" s="70">
        <f t="shared" si="39"/>
        <v>99</v>
      </c>
      <c r="W57">
        <f t="shared" si="42"/>
        <v>23</v>
      </c>
      <c r="X57">
        <f t="shared" si="43"/>
        <v>38</v>
      </c>
      <c r="Y57" s="121">
        <f t="shared" si="36"/>
        <v>0</v>
      </c>
      <c r="Z57" s="121">
        <f>10+7/9</f>
        <v>10.777777777777779</v>
      </c>
      <c r="AA57" s="121">
        <f t="shared" si="32"/>
        <v>12</v>
      </c>
      <c r="AB57" s="121">
        <f t="shared" si="32"/>
        <v>2</v>
      </c>
      <c r="AC57" s="121">
        <f t="shared" si="32"/>
        <v>2</v>
      </c>
      <c r="AD57" s="121">
        <f t="shared" si="32"/>
        <v>10</v>
      </c>
      <c r="AE57" s="121">
        <f t="shared" si="32"/>
        <v>2</v>
      </c>
      <c r="AF57" s="51">
        <f>(8670+1900+1315)*1.008</f>
        <v>11980.08</v>
      </c>
      <c r="AG57" s="242">
        <f t="shared" si="37"/>
        <v>0</v>
      </c>
      <c r="AH57" s="242">
        <f t="shared" si="45"/>
        <v>44</v>
      </c>
      <c r="AI57" s="242">
        <f t="shared" si="33"/>
        <v>48</v>
      </c>
      <c r="AJ57" s="242">
        <f t="shared" si="33"/>
        <v>0</v>
      </c>
      <c r="AK57" s="242">
        <f t="shared" si="33"/>
        <v>0</v>
      </c>
      <c r="AL57" s="242">
        <f t="shared" si="33"/>
        <v>33</v>
      </c>
      <c r="AM57" s="242">
        <f t="shared" si="33"/>
        <v>0</v>
      </c>
      <c r="AN57" s="70">
        <f t="shared" si="40"/>
        <v>125</v>
      </c>
    </row>
    <row r="58" spans="1:43" x14ac:dyDescent="0.25">
      <c r="A58" t="s">
        <v>37</v>
      </c>
      <c r="B58" s="16" t="str">
        <f t="shared" ref="B58:C62" si="46">B40</f>
        <v>Inner</v>
      </c>
      <c r="C58" s="4" t="str">
        <f t="shared" si="46"/>
        <v>CAB</v>
      </c>
      <c r="D58" s="4">
        <f t="shared" ref="D58:E62" si="47">W40</f>
        <v>21</v>
      </c>
      <c r="E58" s="4">
        <f t="shared" si="47"/>
        <v>80</v>
      </c>
      <c r="F58" s="121">
        <f t="shared" si="34"/>
        <v>0</v>
      </c>
      <c r="G58" s="121">
        <f t="shared" si="30"/>
        <v>7</v>
      </c>
      <c r="H58" s="121">
        <f t="shared" si="30"/>
        <v>12</v>
      </c>
      <c r="I58" s="121">
        <f t="shared" si="30"/>
        <v>2</v>
      </c>
      <c r="J58" s="121">
        <f t="shared" si="30"/>
        <v>2</v>
      </c>
      <c r="K58" s="121">
        <f t="shared" si="30"/>
        <v>10</v>
      </c>
      <c r="L58" s="121">
        <f t="shared" si="30"/>
        <v>2</v>
      </c>
      <c r="M58" s="51">
        <f t="shared" si="30"/>
        <v>10291.68</v>
      </c>
      <c r="N58" s="242">
        <f t="shared" si="30"/>
        <v>0</v>
      </c>
      <c r="O58" s="242">
        <f t="shared" si="31"/>
        <v>18</v>
      </c>
      <c r="P58" s="242">
        <f t="shared" si="31"/>
        <v>48</v>
      </c>
      <c r="Q58" s="242">
        <f t="shared" si="31"/>
        <v>0</v>
      </c>
      <c r="R58" s="242">
        <f t="shared" si="31"/>
        <v>0</v>
      </c>
      <c r="S58" s="242">
        <f t="shared" si="31"/>
        <v>33</v>
      </c>
      <c r="T58" s="242">
        <f t="shared" si="31"/>
        <v>0</v>
      </c>
      <c r="U58" s="70">
        <f t="shared" si="39"/>
        <v>99</v>
      </c>
      <c r="W58">
        <f t="shared" si="42"/>
        <v>23</v>
      </c>
      <c r="X58">
        <f t="shared" si="43"/>
        <v>38</v>
      </c>
      <c r="Y58" s="121">
        <f t="shared" si="36"/>
        <v>0</v>
      </c>
      <c r="Z58" s="121">
        <f t="shared" ref="Z58:Z59" si="48">10+7/9</f>
        <v>10.777777777777779</v>
      </c>
      <c r="AA58" s="121">
        <f t="shared" si="32"/>
        <v>12</v>
      </c>
      <c r="AB58" s="121">
        <f t="shared" si="32"/>
        <v>2</v>
      </c>
      <c r="AC58" s="121">
        <f t="shared" si="32"/>
        <v>2</v>
      </c>
      <c r="AD58" s="121">
        <f t="shared" si="32"/>
        <v>10</v>
      </c>
      <c r="AE58" s="121">
        <f t="shared" si="32"/>
        <v>2</v>
      </c>
      <c r="AF58" s="51">
        <f t="shared" ref="AF58:AF59" si="49">(8670+1900+1315)*1.008</f>
        <v>11980.08</v>
      </c>
      <c r="AG58" s="242">
        <f t="shared" si="37"/>
        <v>0</v>
      </c>
      <c r="AH58" s="242">
        <f t="shared" si="45"/>
        <v>44</v>
      </c>
      <c r="AI58" s="242">
        <f t="shared" si="33"/>
        <v>48</v>
      </c>
      <c r="AJ58" s="242">
        <f t="shared" si="33"/>
        <v>0</v>
      </c>
      <c r="AK58" s="242">
        <f t="shared" si="33"/>
        <v>0</v>
      </c>
      <c r="AL58" s="242">
        <f t="shared" si="33"/>
        <v>33</v>
      </c>
      <c r="AM58" s="242">
        <f t="shared" si="33"/>
        <v>0</v>
      </c>
      <c r="AN58" s="70">
        <f t="shared" si="40"/>
        <v>125</v>
      </c>
    </row>
    <row r="59" spans="1:43" x14ac:dyDescent="0.25">
      <c r="A59" t="s">
        <v>36</v>
      </c>
      <c r="B59" s="16" t="str">
        <f t="shared" si="46"/>
        <v>Inner</v>
      </c>
      <c r="C59" s="4" t="str">
        <f t="shared" si="46"/>
        <v>CAB</v>
      </c>
      <c r="D59" s="4">
        <f t="shared" si="47"/>
        <v>21</v>
      </c>
      <c r="E59" s="4">
        <f t="shared" si="47"/>
        <v>80</v>
      </c>
      <c r="F59" s="121">
        <f t="shared" si="34"/>
        <v>0</v>
      </c>
      <c r="G59" s="121">
        <f t="shared" si="30"/>
        <v>7</v>
      </c>
      <c r="H59" s="121">
        <f t="shared" si="30"/>
        <v>12</v>
      </c>
      <c r="I59" s="121">
        <f t="shared" si="30"/>
        <v>2</v>
      </c>
      <c r="J59" s="121">
        <f t="shared" si="30"/>
        <v>2</v>
      </c>
      <c r="K59" s="121">
        <f t="shared" si="30"/>
        <v>10</v>
      </c>
      <c r="L59" s="121">
        <f t="shared" si="30"/>
        <v>2</v>
      </c>
      <c r="M59" s="51">
        <f t="shared" si="30"/>
        <v>10291.68</v>
      </c>
      <c r="N59" s="242">
        <f t="shared" si="30"/>
        <v>0</v>
      </c>
      <c r="O59" s="242">
        <f t="shared" si="31"/>
        <v>18</v>
      </c>
      <c r="P59" s="242">
        <f t="shared" si="31"/>
        <v>48</v>
      </c>
      <c r="Q59" s="242">
        <f t="shared" si="31"/>
        <v>0</v>
      </c>
      <c r="R59" s="242">
        <f t="shared" si="31"/>
        <v>0</v>
      </c>
      <c r="S59" s="242">
        <f t="shared" si="31"/>
        <v>33</v>
      </c>
      <c r="T59" s="242">
        <f t="shared" si="31"/>
        <v>0</v>
      </c>
      <c r="U59" s="70">
        <f t="shared" si="39"/>
        <v>99</v>
      </c>
      <c r="W59">
        <f t="shared" si="42"/>
        <v>23</v>
      </c>
      <c r="X59">
        <f t="shared" si="43"/>
        <v>38</v>
      </c>
      <c r="Y59" s="121">
        <f t="shared" si="36"/>
        <v>0</v>
      </c>
      <c r="Z59" s="121">
        <f t="shared" si="48"/>
        <v>10.777777777777779</v>
      </c>
      <c r="AA59" s="121">
        <f t="shared" si="32"/>
        <v>12</v>
      </c>
      <c r="AB59" s="121">
        <f t="shared" si="32"/>
        <v>2</v>
      </c>
      <c r="AC59" s="121">
        <f t="shared" si="32"/>
        <v>2</v>
      </c>
      <c r="AD59" s="121">
        <f t="shared" si="32"/>
        <v>10</v>
      </c>
      <c r="AE59" s="121">
        <f t="shared" si="32"/>
        <v>2</v>
      </c>
      <c r="AF59" s="51">
        <f t="shared" si="49"/>
        <v>11980.08</v>
      </c>
      <c r="AG59" s="242">
        <f t="shared" si="37"/>
        <v>0</v>
      </c>
      <c r="AH59" s="242">
        <f t="shared" si="45"/>
        <v>44</v>
      </c>
      <c r="AI59" s="242">
        <f t="shared" si="33"/>
        <v>48</v>
      </c>
      <c r="AJ59" s="242">
        <f t="shared" si="33"/>
        <v>0</v>
      </c>
      <c r="AK59" s="242">
        <f t="shared" si="33"/>
        <v>0</v>
      </c>
      <c r="AL59" s="242">
        <f t="shared" si="33"/>
        <v>33</v>
      </c>
      <c r="AM59" s="242">
        <f t="shared" si="33"/>
        <v>0</v>
      </c>
      <c r="AN59" s="70">
        <f t="shared" si="40"/>
        <v>125</v>
      </c>
    </row>
    <row r="60" spans="1:43" x14ac:dyDescent="0.25">
      <c r="A60" t="s">
        <v>40</v>
      </c>
      <c r="B60" s="16" t="str">
        <f t="shared" si="46"/>
        <v>E. Cubas</v>
      </c>
      <c r="C60" s="4" t="str">
        <f t="shared" si="46"/>
        <v>RAP</v>
      </c>
      <c r="D60" s="4">
        <f t="shared" si="47"/>
        <v>21</v>
      </c>
      <c r="E60" s="4">
        <f t="shared" si="47"/>
        <v>95.5</v>
      </c>
      <c r="F60" s="121">
        <f t="shared" si="34"/>
        <v>0</v>
      </c>
      <c r="G60" s="121">
        <f t="shared" si="30"/>
        <v>2</v>
      </c>
      <c r="H60" s="121">
        <f t="shared" si="30"/>
        <v>9</v>
      </c>
      <c r="I60" s="121">
        <f t="shared" si="30"/>
        <v>9.5</v>
      </c>
      <c r="J60" s="121">
        <f t="shared" si="30"/>
        <v>8.6</v>
      </c>
      <c r="K60" s="121">
        <f t="shared" si="30"/>
        <v>10.285714285714286</v>
      </c>
      <c r="L60" s="121">
        <f t="shared" si="30"/>
        <v>2</v>
      </c>
      <c r="M60" s="51">
        <f t="shared" si="30"/>
        <v>4460.3999999999996</v>
      </c>
      <c r="N60" s="242">
        <f t="shared" si="30"/>
        <v>0</v>
      </c>
      <c r="O60" s="242">
        <f t="shared" si="31"/>
        <v>0</v>
      </c>
      <c r="P60" s="242">
        <f t="shared" si="31"/>
        <v>26</v>
      </c>
      <c r="Q60" s="242">
        <f t="shared" si="31"/>
        <v>20.5</v>
      </c>
      <c r="R60" s="242">
        <f t="shared" si="31"/>
        <v>21</v>
      </c>
      <c r="S60" s="242">
        <f t="shared" si="31"/>
        <v>35</v>
      </c>
      <c r="T60" s="242">
        <f t="shared" si="31"/>
        <v>0</v>
      </c>
      <c r="U60" s="70">
        <f t="shared" si="39"/>
        <v>102.5</v>
      </c>
      <c r="W60">
        <f>D60+1+1</f>
        <v>23</v>
      </c>
      <c r="X60">
        <f>E60+$AQ$56-112</f>
        <v>53.5</v>
      </c>
      <c r="Y60" s="121">
        <f t="shared" si="36"/>
        <v>0</v>
      </c>
      <c r="Z60" s="121">
        <f>8+2/6</f>
        <v>8.3333333333333339</v>
      </c>
      <c r="AA60" s="121">
        <f t="shared" si="32"/>
        <v>9</v>
      </c>
      <c r="AB60" s="121">
        <f t="shared" si="32"/>
        <v>9.5</v>
      </c>
      <c r="AC60" s="121">
        <f t="shared" si="32"/>
        <v>8.6</v>
      </c>
      <c r="AD60" s="121">
        <f t="shared" si="32"/>
        <v>10.285714285714286</v>
      </c>
      <c r="AE60" s="121">
        <f t="shared" si="32"/>
        <v>2</v>
      </c>
      <c r="AF60" s="51">
        <f>(2900+140+620+785+515)*1.008</f>
        <v>4999.68</v>
      </c>
      <c r="AG60" s="242">
        <f t="shared" si="37"/>
        <v>0</v>
      </c>
      <c r="AH60" s="242">
        <f t="shared" si="45"/>
        <v>26</v>
      </c>
      <c r="AI60" s="242">
        <f t="shared" si="33"/>
        <v>26</v>
      </c>
      <c r="AJ60" s="242">
        <f t="shared" si="33"/>
        <v>20.5</v>
      </c>
      <c r="AK60" s="242">
        <f t="shared" si="33"/>
        <v>21</v>
      </c>
      <c r="AL60" s="242">
        <f t="shared" si="33"/>
        <v>35</v>
      </c>
      <c r="AM60" s="242">
        <f t="shared" si="33"/>
        <v>0</v>
      </c>
      <c r="AN60" s="70">
        <f t="shared" si="40"/>
        <v>128.5</v>
      </c>
    </row>
    <row r="61" spans="1:43" x14ac:dyDescent="0.25">
      <c r="A61" t="s">
        <v>34</v>
      </c>
      <c r="B61" s="16" t="str">
        <f t="shared" si="46"/>
        <v>V. Gomis</v>
      </c>
      <c r="C61" s="4" t="str">
        <f t="shared" si="46"/>
        <v>IMP</v>
      </c>
      <c r="D61" s="4">
        <f t="shared" si="47"/>
        <v>21</v>
      </c>
      <c r="E61" s="4">
        <f t="shared" si="47"/>
        <v>99.5</v>
      </c>
      <c r="F61" s="121">
        <f t="shared" si="34"/>
        <v>0</v>
      </c>
      <c r="G61" s="121">
        <f t="shared" si="30"/>
        <v>6</v>
      </c>
      <c r="H61" s="121">
        <f t="shared" si="30"/>
        <v>7.5</v>
      </c>
      <c r="I61" s="121">
        <f t="shared" si="30"/>
        <v>8</v>
      </c>
      <c r="J61" s="121">
        <f t="shared" si="30"/>
        <v>8.6</v>
      </c>
      <c r="K61" s="121">
        <f t="shared" si="30"/>
        <v>10</v>
      </c>
      <c r="L61" s="121">
        <f t="shared" si="30"/>
        <v>0</v>
      </c>
      <c r="M61" s="51">
        <f t="shared" si="30"/>
        <v>3540</v>
      </c>
      <c r="N61" s="242">
        <f t="shared" si="30"/>
        <v>0</v>
      </c>
      <c r="O61" s="242">
        <f t="shared" si="31"/>
        <v>14</v>
      </c>
      <c r="P61" s="242">
        <f t="shared" si="31"/>
        <v>18</v>
      </c>
      <c r="Q61" s="242">
        <f t="shared" si="31"/>
        <v>15</v>
      </c>
      <c r="R61" s="242">
        <f t="shared" si="31"/>
        <v>21</v>
      </c>
      <c r="S61" s="242">
        <f t="shared" si="31"/>
        <v>33</v>
      </c>
      <c r="T61" s="242">
        <f t="shared" si="31"/>
        <v>-2</v>
      </c>
      <c r="U61" s="70">
        <f>SUM(N61:T61)</f>
        <v>99</v>
      </c>
      <c r="W61">
        <f t="shared" ref="W61:W62" si="50">D61+1+1</f>
        <v>23</v>
      </c>
      <c r="X61">
        <f t="shared" ref="X61:X62" si="51">E61+$AQ$56-112</f>
        <v>57.5</v>
      </c>
      <c r="Y61" s="121">
        <f t="shared" si="36"/>
        <v>0</v>
      </c>
      <c r="Z61" s="121">
        <f>10+3/9</f>
        <v>10.333333333333334</v>
      </c>
      <c r="AA61" s="121">
        <f t="shared" si="32"/>
        <v>7.5</v>
      </c>
      <c r="AB61" s="121">
        <f t="shared" si="32"/>
        <v>8</v>
      </c>
      <c r="AC61" s="121">
        <f t="shared" si="32"/>
        <v>8.6</v>
      </c>
      <c r="AD61" s="121">
        <f t="shared" si="32"/>
        <v>10</v>
      </c>
      <c r="AE61" s="121">
        <f t="shared" si="32"/>
        <v>0</v>
      </c>
      <c r="AF61" s="51">
        <f>(2600+1315+140+275+330)*1</f>
        <v>4660</v>
      </c>
      <c r="AG61" s="242">
        <f t="shared" si="37"/>
        <v>0</v>
      </c>
      <c r="AH61" s="242">
        <f t="shared" si="45"/>
        <v>40</v>
      </c>
      <c r="AI61" s="242">
        <f t="shared" si="33"/>
        <v>18</v>
      </c>
      <c r="AJ61" s="242">
        <f t="shared" si="33"/>
        <v>15</v>
      </c>
      <c r="AK61" s="242">
        <f t="shared" si="33"/>
        <v>21</v>
      </c>
      <c r="AL61" s="242">
        <f t="shared" si="33"/>
        <v>33</v>
      </c>
      <c r="AM61" s="242">
        <f t="shared" si="33"/>
        <v>-2</v>
      </c>
      <c r="AN61" s="70">
        <f>SUM(AG61:AM61)</f>
        <v>125</v>
      </c>
    </row>
    <row r="62" spans="1:43" x14ac:dyDescent="0.25">
      <c r="A62" t="s">
        <v>42</v>
      </c>
      <c r="B62" s="16" t="str">
        <f t="shared" si="46"/>
        <v>J.G. Peñuela</v>
      </c>
      <c r="C62" s="4" t="str">
        <f t="shared" si="46"/>
        <v>IMP</v>
      </c>
      <c r="D62" s="4">
        <f t="shared" si="47"/>
        <v>21</v>
      </c>
      <c r="E62" s="4">
        <f t="shared" si="47"/>
        <v>95.5</v>
      </c>
      <c r="F62" s="121">
        <f t="shared" si="34"/>
        <v>0</v>
      </c>
      <c r="G62" s="121">
        <f t="shared" si="30"/>
        <v>3</v>
      </c>
      <c r="H62" s="121">
        <f t="shared" si="30"/>
        <v>8.6</v>
      </c>
      <c r="I62" s="121">
        <f t="shared" si="30"/>
        <v>8.8333333333333339</v>
      </c>
      <c r="J62" s="121">
        <f t="shared" si="30"/>
        <v>8</v>
      </c>
      <c r="K62" s="121">
        <f t="shared" si="30"/>
        <v>10.285714285714286</v>
      </c>
      <c r="L62" s="121">
        <f t="shared" si="30"/>
        <v>0</v>
      </c>
      <c r="M62" s="51">
        <f t="shared" si="30"/>
        <v>3800</v>
      </c>
      <c r="N62" s="242">
        <f t="shared" si="30"/>
        <v>0</v>
      </c>
      <c r="O62" s="242">
        <f t="shared" si="31"/>
        <v>3</v>
      </c>
      <c r="P62" s="242">
        <f t="shared" si="31"/>
        <v>24</v>
      </c>
      <c r="Q62" s="242">
        <f t="shared" si="31"/>
        <v>17.5</v>
      </c>
      <c r="R62" s="242">
        <f t="shared" si="31"/>
        <v>18</v>
      </c>
      <c r="S62" s="242">
        <f t="shared" si="31"/>
        <v>35</v>
      </c>
      <c r="T62" s="242">
        <f t="shared" si="31"/>
        <v>-2</v>
      </c>
      <c r="U62" s="70">
        <f>SUM(N62:T62)</f>
        <v>95.5</v>
      </c>
      <c r="W62">
        <f t="shared" si="50"/>
        <v>23</v>
      </c>
      <c r="X62">
        <f t="shared" si="51"/>
        <v>53.5</v>
      </c>
      <c r="Y62" s="121">
        <f t="shared" si="36"/>
        <v>0</v>
      </c>
      <c r="Z62" s="121">
        <f>8+5/6</f>
        <v>8.8333333333333339</v>
      </c>
      <c r="AA62" s="121">
        <f t="shared" si="32"/>
        <v>8.6</v>
      </c>
      <c r="AB62" s="121">
        <f t="shared" si="32"/>
        <v>8.8333333333333339</v>
      </c>
      <c r="AC62" s="121">
        <f t="shared" si="32"/>
        <v>8</v>
      </c>
      <c r="AD62" s="121">
        <f t="shared" si="32"/>
        <v>10.285714285714286</v>
      </c>
      <c r="AE62" s="121">
        <f t="shared" si="32"/>
        <v>0</v>
      </c>
      <c r="AF62" s="51">
        <f>(2900+135+430+615+620)*1</f>
        <v>4700</v>
      </c>
      <c r="AG62" s="242">
        <f t="shared" si="37"/>
        <v>0</v>
      </c>
      <c r="AH62" s="242">
        <f t="shared" si="45"/>
        <v>29</v>
      </c>
      <c r="AI62" s="242">
        <f t="shared" si="33"/>
        <v>24</v>
      </c>
      <c r="AJ62" s="242">
        <f t="shared" si="33"/>
        <v>17.5</v>
      </c>
      <c r="AK62" s="242">
        <f t="shared" si="33"/>
        <v>18</v>
      </c>
      <c r="AL62" s="242">
        <f t="shared" si="33"/>
        <v>35</v>
      </c>
      <c r="AM62" s="242">
        <f t="shared" si="33"/>
        <v>-2</v>
      </c>
      <c r="AN62" s="70">
        <f>SUM(AG62:AM62)</f>
        <v>121.5</v>
      </c>
    </row>
    <row r="63" spans="1:43" x14ac:dyDescent="0.25">
      <c r="A63" t="s">
        <v>46</v>
      </c>
      <c r="B63" s="16"/>
      <c r="C63" s="4"/>
      <c r="D63" s="4"/>
      <c r="E63" s="4"/>
      <c r="F63" s="121">
        <f t="shared" si="34"/>
        <v>0</v>
      </c>
      <c r="G63" s="121">
        <f t="shared" si="30"/>
        <v>2</v>
      </c>
      <c r="H63" s="121">
        <f t="shared" si="30"/>
        <v>2</v>
      </c>
      <c r="I63" s="121">
        <f t="shared" si="30"/>
        <v>2</v>
      </c>
      <c r="J63" s="121">
        <f t="shared" si="30"/>
        <v>2</v>
      </c>
      <c r="K63" s="121">
        <f t="shared" si="30"/>
        <v>2</v>
      </c>
      <c r="L63" s="121">
        <f t="shared" si="30"/>
        <v>2</v>
      </c>
      <c r="M63" s="51"/>
      <c r="N63" s="242">
        <f t="shared" si="30"/>
        <v>0</v>
      </c>
      <c r="O63" s="242">
        <f t="shared" si="31"/>
        <v>0</v>
      </c>
      <c r="P63" s="242">
        <f t="shared" si="31"/>
        <v>0</v>
      </c>
      <c r="Q63" s="242">
        <f t="shared" si="31"/>
        <v>0</v>
      </c>
      <c r="R63" s="242">
        <f t="shared" si="31"/>
        <v>0</v>
      </c>
      <c r="S63" s="242">
        <f t="shared" si="31"/>
        <v>0</v>
      </c>
      <c r="T63" s="242">
        <f t="shared" si="31"/>
        <v>0</v>
      </c>
      <c r="U63" s="70">
        <f t="shared" ref="U63:U64" si="52">SUM(N63:T63)</f>
        <v>0</v>
      </c>
      <c r="Y63" s="121">
        <f t="shared" si="36"/>
        <v>0</v>
      </c>
      <c r="Z63" s="121">
        <f t="shared" si="32"/>
        <v>2</v>
      </c>
      <c r="AA63" s="121">
        <f t="shared" si="32"/>
        <v>2</v>
      </c>
      <c r="AB63" s="121">
        <f t="shared" si="32"/>
        <v>2</v>
      </c>
      <c r="AC63" s="121">
        <f t="shared" si="32"/>
        <v>2</v>
      </c>
      <c r="AD63" s="121">
        <f t="shared" si="32"/>
        <v>2</v>
      </c>
      <c r="AE63" s="121">
        <f t="shared" si="32"/>
        <v>2</v>
      </c>
      <c r="AF63" s="51"/>
      <c r="AG63" s="242">
        <f t="shared" si="37"/>
        <v>0</v>
      </c>
      <c r="AH63" s="242">
        <f t="shared" si="33"/>
        <v>0</v>
      </c>
      <c r="AI63" s="242">
        <f t="shared" si="33"/>
        <v>0</v>
      </c>
      <c r="AJ63" s="242">
        <f t="shared" si="33"/>
        <v>0</v>
      </c>
      <c r="AK63" s="242">
        <f t="shared" si="33"/>
        <v>0</v>
      </c>
      <c r="AL63" s="242">
        <f t="shared" si="33"/>
        <v>0</v>
      </c>
      <c r="AM63" s="242">
        <f t="shared" si="33"/>
        <v>0</v>
      </c>
      <c r="AN63" s="70">
        <f t="shared" ref="AN63:AN64" si="53">SUM(AG63:AM63)</f>
        <v>0</v>
      </c>
    </row>
    <row r="64" spans="1:43" x14ac:dyDescent="0.25">
      <c r="A64" t="s">
        <v>452</v>
      </c>
      <c r="B64" s="16"/>
      <c r="C64" s="4"/>
      <c r="D64" s="4"/>
      <c r="E64" s="4"/>
      <c r="F64" s="121">
        <f t="shared" si="34"/>
        <v>0</v>
      </c>
      <c r="G64" s="121">
        <f t="shared" si="30"/>
        <v>2</v>
      </c>
      <c r="H64" s="121">
        <f t="shared" si="30"/>
        <v>2</v>
      </c>
      <c r="I64" s="121">
        <f t="shared" si="30"/>
        <v>2</v>
      </c>
      <c r="J64" s="121">
        <f t="shared" si="30"/>
        <v>2</v>
      </c>
      <c r="K64" s="121">
        <f t="shared" si="30"/>
        <v>2</v>
      </c>
      <c r="L64" s="121">
        <f t="shared" si="30"/>
        <v>2</v>
      </c>
      <c r="M64" s="51"/>
      <c r="N64" s="242">
        <f t="shared" si="30"/>
        <v>0</v>
      </c>
      <c r="O64" s="242">
        <f t="shared" si="31"/>
        <v>0</v>
      </c>
      <c r="P64" s="242">
        <f t="shared" si="31"/>
        <v>0</v>
      </c>
      <c r="Q64" s="242">
        <f t="shared" si="31"/>
        <v>0</v>
      </c>
      <c r="R64" s="242">
        <f t="shared" si="31"/>
        <v>0</v>
      </c>
      <c r="S64" s="242">
        <f t="shared" si="31"/>
        <v>0</v>
      </c>
      <c r="T64" s="242">
        <f t="shared" si="31"/>
        <v>0</v>
      </c>
      <c r="U64" s="70">
        <f t="shared" si="52"/>
        <v>0</v>
      </c>
      <c r="Y64" s="121">
        <f t="shared" si="36"/>
        <v>0</v>
      </c>
      <c r="Z64" s="121">
        <f t="shared" si="32"/>
        <v>2</v>
      </c>
      <c r="AA64" s="121">
        <f t="shared" si="32"/>
        <v>2</v>
      </c>
      <c r="AB64" s="121">
        <f t="shared" si="32"/>
        <v>2</v>
      </c>
      <c r="AC64" s="121">
        <f t="shared" si="32"/>
        <v>2</v>
      </c>
      <c r="AD64" s="121">
        <f t="shared" si="32"/>
        <v>2</v>
      </c>
      <c r="AE64" s="121">
        <f t="shared" si="32"/>
        <v>2</v>
      </c>
      <c r="AF64" s="51"/>
      <c r="AG64" s="242">
        <f t="shared" si="37"/>
        <v>0</v>
      </c>
      <c r="AH64" s="242">
        <f t="shared" si="33"/>
        <v>0</v>
      </c>
      <c r="AI64" s="242">
        <f t="shared" si="33"/>
        <v>0</v>
      </c>
      <c r="AJ64" s="242">
        <f t="shared" si="33"/>
        <v>0</v>
      </c>
      <c r="AK64" s="242">
        <f t="shared" si="33"/>
        <v>0</v>
      </c>
      <c r="AL64" s="242">
        <f t="shared" si="33"/>
        <v>0</v>
      </c>
      <c r="AM64" s="242">
        <f t="shared" si="33"/>
        <v>0</v>
      </c>
      <c r="AN64" s="70">
        <f t="shared" si="53"/>
        <v>0</v>
      </c>
    </row>
    <row r="65" spans="1:43" x14ac:dyDescent="0.25">
      <c r="A65"/>
      <c r="B65"/>
      <c r="F65" s="242"/>
      <c r="G65" s="242"/>
      <c r="H65" s="242"/>
      <c r="I65" s="242"/>
      <c r="J65" s="242"/>
      <c r="K65" s="242"/>
      <c r="L65" s="242"/>
      <c r="M65" s="243">
        <f>SUM(M67:M81)</f>
        <v>151807.20000000001</v>
      </c>
      <c r="N65" s="242"/>
      <c r="O65" s="242"/>
      <c r="P65" s="242"/>
      <c r="Q65" s="242"/>
      <c r="R65" s="242"/>
      <c r="S65" s="242"/>
      <c r="T65" s="242"/>
      <c r="U65" s="242"/>
      <c r="Y65" s="242"/>
      <c r="Z65" s="242"/>
      <c r="AA65" s="242"/>
      <c r="AB65" s="242"/>
      <c r="AC65" s="242"/>
      <c r="AD65" s="242"/>
      <c r="AE65" s="242"/>
      <c r="AF65" s="243">
        <f>SUM(AF67:AF81)</f>
        <v>157600.34499999997</v>
      </c>
      <c r="AG65" s="242"/>
      <c r="AH65" s="242"/>
      <c r="AI65" s="242"/>
      <c r="AJ65" s="242"/>
      <c r="AK65" s="242"/>
      <c r="AL65" s="242"/>
      <c r="AM65" s="242"/>
      <c r="AN65" s="242"/>
    </row>
    <row r="66" spans="1:43" x14ac:dyDescent="0.25">
      <c r="A66" s="11" t="s">
        <v>181</v>
      </c>
      <c r="B66" s="11" t="s">
        <v>2</v>
      </c>
      <c r="C66" s="11" t="s">
        <v>88</v>
      </c>
      <c r="D66" s="11" t="s">
        <v>439</v>
      </c>
      <c r="E66" s="11" t="s">
        <v>440</v>
      </c>
      <c r="F66" s="11" t="s">
        <v>15</v>
      </c>
      <c r="G66" s="11" t="s">
        <v>16</v>
      </c>
      <c r="H66" s="11" t="s">
        <v>17</v>
      </c>
      <c r="I66" s="11" t="s">
        <v>18</v>
      </c>
      <c r="J66" s="11" t="s">
        <v>19</v>
      </c>
      <c r="K66" s="11" t="s">
        <v>20</v>
      </c>
      <c r="L66" s="11" t="s">
        <v>6</v>
      </c>
      <c r="M66" s="11" t="s">
        <v>70</v>
      </c>
      <c r="N66" s="11" t="s">
        <v>441</v>
      </c>
      <c r="O66" s="11" t="s">
        <v>442</v>
      </c>
      <c r="P66" s="11" t="s">
        <v>443</v>
      </c>
      <c r="Q66" s="11" t="s">
        <v>444</v>
      </c>
      <c r="R66" s="11" t="s">
        <v>445</v>
      </c>
      <c r="S66" s="11" t="s">
        <v>446</v>
      </c>
      <c r="T66" s="11" t="s">
        <v>447</v>
      </c>
      <c r="U66" s="11" t="s">
        <v>448</v>
      </c>
      <c r="W66" s="11" t="s">
        <v>439</v>
      </c>
      <c r="X66" s="11" t="s">
        <v>440</v>
      </c>
      <c r="Y66" s="11" t="s">
        <v>15</v>
      </c>
      <c r="Z66" s="11" t="s">
        <v>16</v>
      </c>
      <c r="AA66" s="11" t="s">
        <v>17</v>
      </c>
      <c r="AB66" s="11" t="s">
        <v>18</v>
      </c>
      <c r="AC66" s="11" t="s">
        <v>19</v>
      </c>
      <c r="AD66" s="11" t="s">
        <v>20</v>
      </c>
      <c r="AE66" s="11" t="s">
        <v>6</v>
      </c>
      <c r="AF66" s="11" t="s">
        <v>70</v>
      </c>
      <c r="AG66" s="11" t="s">
        <v>441</v>
      </c>
      <c r="AH66" s="11" t="s">
        <v>442</v>
      </c>
      <c r="AI66" s="11" t="s">
        <v>443</v>
      </c>
      <c r="AJ66" s="11" t="s">
        <v>444</v>
      </c>
      <c r="AK66" s="11" t="s">
        <v>445</v>
      </c>
      <c r="AL66" s="11" t="s">
        <v>446</v>
      </c>
      <c r="AM66" s="11" t="s">
        <v>447</v>
      </c>
      <c r="AN66" s="11" t="s">
        <v>448</v>
      </c>
    </row>
    <row r="67" spans="1:43" x14ac:dyDescent="0.25">
      <c r="A67" t="s">
        <v>29</v>
      </c>
      <c r="B67" s="16" t="s">
        <v>76</v>
      </c>
      <c r="C67" s="20"/>
      <c r="D67" s="20">
        <v>22</v>
      </c>
      <c r="E67" s="20">
        <v>0</v>
      </c>
      <c r="F67" s="121">
        <v>16</v>
      </c>
      <c r="G67" s="121">
        <v>10</v>
      </c>
      <c r="H67" s="121">
        <f t="shared" ref="H67:K82" si="54">AA49</f>
        <v>0</v>
      </c>
      <c r="I67" s="121">
        <f t="shared" si="54"/>
        <v>0</v>
      </c>
      <c r="J67" s="121">
        <f t="shared" si="54"/>
        <v>0</v>
      </c>
      <c r="K67" s="121">
        <f t="shared" si="54"/>
        <v>0</v>
      </c>
      <c r="L67" s="121">
        <v>7</v>
      </c>
      <c r="M67" s="51">
        <f>(24270+1165)*1.02</f>
        <v>25943.7</v>
      </c>
      <c r="N67" s="242">
        <v>52</v>
      </c>
      <c r="O67" s="242">
        <v>37</v>
      </c>
      <c r="P67" s="242">
        <f t="shared" ref="P67:S82" si="55">AI49</f>
        <v>0</v>
      </c>
      <c r="Q67" s="242">
        <f t="shared" si="55"/>
        <v>0</v>
      </c>
      <c r="R67" s="242">
        <f t="shared" si="55"/>
        <v>0</v>
      </c>
      <c r="S67" s="242">
        <f t="shared" si="55"/>
        <v>0</v>
      </c>
      <c r="T67" s="242">
        <v>5</v>
      </c>
      <c r="U67" s="70">
        <f>SUM(N67:T67)</f>
        <v>94</v>
      </c>
      <c r="W67">
        <f>D67+1</f>
        <v>23</v>
      </c>
      <c r="X67">
        <f>E67+$AQ$76</f>
        <v>63</v>
      </c>
      <c r="Y67" s="121">
        <f>F67</f>
        <v>16</v>
      </c>
      <c r="Z67" s="121">
        <f t="shared" ref="Z67:AD82" si="56">G67</f>
        <v>10</v>
      </c>
      <c r="AA67" s="121">
        <f t="shared" si="56"/>
        <v>0</v>
      </c>
      <c r="AB67" s="121">
        <f t="shared" si="56"/>
        <v>0</v>
      </c>
      <c r="AC67" s="121">
        <f t="shared" si="56"/>
        <v>0</v>
      </c>
      <c r="AD67" s="121">
        <f t="shared" si="56"/>
        <v>0</v>
      </c>
      <c r="AE67" s="121">
        <f>18+1/4</f>
        <v>18.25</v>
      </c>
      <c r="AF67" s="51">
        <f>(24270+1165)*1.055</f>
        <v>26833.924999999999</v>
      </c>
      <c r="AG67" s="242">
        <f>N67</f>
        <v>52</v>
      </c>
      <c r="AH67" s="242">
        <f t="shared" ref="AH67:AL82" si="57">O67</f>
        <v>37</v>
      </c>
      <c r="AI67" s="242">
        <f t="shared" si="57"/>
        <v>0</v>
      </c>
      <c r="AJ67" s="242">
        <f t="shared" si="57"/>
        <v>0</v>
      </c>
      <c r="AK67" s="242">
        <f t="shared" si="57"/>
        <v>0</v>
      </c>
      <c r="AL67" s="242">
        <f t="shared" si="57"/>
        <v>0</v>
      </c>
      <c r="AM67" s="242">
        <f>T67+$AQ$74</f>
        <v>30</v>
      </c>
      <c r="AN67" s="70">
        <f>SUM(AG67:AM67)</f>
        <v>119</v>
      </c>
    </row>
    <row r="68" spans="1:43" x14ac:dyDescent="0.25">
      <c r="A68" t="s">
        <v>32</v>
      </c>
      <c r="B68" s="16" t="s">
        <v>454</v>
      </c>
      <c r="C68" s="20" t="s">
        <v>0</v>
      </c>
      <c r="D68" s="20">
        <v>22</v>
      </c>
      <c r="E68" s="20">
        <v>50</v>
      </c>
      <c r="F68" s="121">
        <f t="shared" ref="F68:F70" si="58">Y50</f>
        <v>0</v>
      </c>
      <c r="G68" s="121">
        <v>12</v>
      </c>
      <c r="H68" s="121">
        <v>7</v>
      </c>
      <c r="I68" s="121">
        <f t="shared" si="54"/>
        <v>2</v>
      </c>
      <c r="J68" s="121">
        <f t="shared" si="54"/>
        <v>2</v>
      </c>
      <c r="K68" s="121">
        <v>10</v>
      </c>
      <c r="L68" s="121">
        <f t="shared" ref="L68:P82" si="59">AE50</f>
        <v>2</v>
      </c>
      <c r="M68" s="51">
        <f>(7010+255+1315)*1.008</f>
        <v>8648.64</v>
      </c>
      <c r="N68" s="242">
        <f t="shared" si="59"/>
        <v>0</v>
      </c>
      <c r="O68" s="242">
        <v>56</v>
      </c>
      <c r="P68" s="242">
        <v>16</v>
      </c>
      <c r="Q68" s="242">
        <f t="shared" si="55"/>
        <v>0</v>
      </c>
      <c r="R68" s="242">
        <f t="shared" si="55"/>
        <v>0</v>
      </c>
      <c r="S68" s="242">
        <v>33</v>
      </c>
      <c r="T68" s="242">
        <f t="shared" ref="T68:T80" si="60">AM50</f>
        <v>0</v>
      </c>
      <c r="U68" s="70">
        <f t="shared" ref="U68" si="61">SUM(N68:T68)</f>
        <v>105</v>
      </c>
      <c r="W68">
        <f>D68+1+1</f>
        <v>24</v>
      </c>
      <c r="X68">
        <f>E68+$AQ$76-112</f>
        <v>1</v>
      </c>
      <c r="Y68" s="121">
        <f t="shared" ref="Y68:Y82" si="62">F68</f>
        <v>0</v>
      </c>
      <c r="Z68" s="121">
        <f t="shared" si="56"/>
        <v>12</v>
      </c>
      <c r="AA68" s="121">
        <f t="shared" si="56"/>
        <v>7</v>
      </c>
      <c r="AB68" s="121">
        <f t="shared" si="56"/>
        <v>2</v>
      </c>
      <c r="AC68" s="121">
        <f t="shared" si="56"/>
        <v>2</v>
      </c>
      <c r="AD68" s="121">
        <f t="shared" si="56"/>
        <v>10</v>
      </c>
      <c r="AE68" s="121">
        <v>17</v>
      </c>
      <c r="AF68" s="51">
        <f>(7010+255+1315)*1.047</f>
        <v>8983.26</v>
      </c>
      <c r="AG68" s="242">
        <f t="shared" ref="AG68:AG82" si="63">N68</f>
        <v>0</v>
      </c>
      <c r="AH68" s="242">
        <f t="shared" si="57"/>
        <v>56</v>
      </c>
      <c r="AI68" s="242">
        <f t="shared" si="57"/>
        <v>16</v>
      </c>
      <c r="AJ68" s="242">
        <f t="shared" si="57"/>
        <v>0</v>
      </c>
      <c r="AK68" s="242">
        <f t="shared" si="57"/>
        <v>0</v>
      </c>
      <c r="AL68" s="242">
        <f t="shared" si="57"/>
        <v>33</v>
      </c>
      <c r="AM68" s="242">
        <f t="shared" ref="AM68:AM82" si="64">T68+$AQ$74</f>
        <v>25</v>
      </c>
      <c r="AN68" s="70">
        <f t="shared" ref="AN68" si="65">SUM(AG68:AM68)</f>
        <v>130</v>
      </c>
    </row>
    <row r="69" spans="1:43" x14ac:dyDescent="0.25">
      <c r="A69" t="s">
        <v>33</v>
      </c>
      <c r="B69" s="16" t="s">
        <v>454</v>
      </c>
      <c r="C69" s="20" t="s">
        <v>0</v>
      </c>
      <c r="D69" s="20">
        <v>22</v>
      </c>
      <c r="E69" s="20">
        <v>50</v>
      </c>
      <c r="F69" s="121">
        <f t="shared" si="58"/>
        <v>0</v>
      </c>
      <c r="G69" s="121">
        <v>12</v>
      </c>
      <c r="H69" s="121">
        <v>7</v>
      </c>
      <c r="I69" s="121">
        <f t="shared" si="54"/>
        <v>2</v>
      </c>
      <c r="J69" s="121">
        <f t="shared" si="54"/>
        <v>2</v>
      </c>
      <c r="K69" s="121">
        <v>10</v>
      </c>
      <c r="L69" s="121">
        <f t="shared" si="59"/>
        <v>2</v>
      </c>
      <c r="M69" s="51">
        <f>(7010+255+1315)*1.008</f>
        <v>8648.64</v>
      </c>
      <c r="N69" s="242">
        <f t="shared" si="59"/>
        <v>0</v>
      </c>
      <c r="O69" s="242">
        <v>56</v>
      </c>
      <c r="P69" s="242">
        <v>16</v>
      </c>
      <c r="Q69" s="242">
        <f t="shared" si="55"/>
        <v>0</v>
      </c>
      <c r="R69" s="242">
        <f t="shared" si="55"/>
        <v>0</v>
      </c>
      <c r="S69" s="242">
        <v>33</v>
      </c>
      <c r="T69" s="242">
        <f t="shared" si="60"/>
        <v>0</v>
      </c>
      <c r="U69" s="70">
        <f>SUM(N69:T69)</f>
        <v>105</v>
      </c>
      <c r="W69">
        <f t="shared" ref="W69:W70" si="66">D69+1+1</f>
        <v>24</v>
      </c>
      <c r="X69">
        <f t="shared" ref="X69:X70" si="67">E69+$AQ$76-112</f>
        <v>1</v>
      </c>
      <c r="Y69" s="121">
        <f t="shared" si="62"/>
        <v>0</v>
      </c>
      <c r="Z69" s="121">
        <f t="shared" si="56"/>
        <v>12</v>
      </c>
      <c r="AA69" s="121">
        <f t="shared" si="56"/>
        <v>7</v>
      </c>
      <c r="AB69" s="121">
        <f t="shared" si="56"/>
        <v>2</v>
      </c>
      <c r="AC69" s="121">
        <f t="shared" si="56"/>
        <v>2</v>
      </c>
      <c r="AD69" s="121">
        <f t="shared" si="56"/>
        <v>10</v>
      </c>
      <c r="AE69" s="121">
        <v>17</v>
      </c>
      <c r="AF69" s="51">
        <f t="shared" ref="AF69:AF70" si="68">(7010+255+1315)*1.047</f>
        <v>8983.26</v>
      </c>
      <c r="AG69" s="242">
        <f t="shared" si="63"/>
        <v>0</v>
      </c>
      <c r="AH69" s="242">
        <f t="shared" si="57"/>
        <v>56</v>
      </c>
      <c r="AI69" s="242">
        <f t="shared" si="57"/>
        <v>16</v>
      </c>
      <c r="AJ69" s="242">
        <f t="shared" si="57"/>
        <v>0</v>
      </c>
      <c r="AK69" s="242">
        <f t="shared" si="57"/>
        <v>0</v>
      </c>
      <c r="AL69" s="242">
        <f t="shared" si="57"/>
        <v>33</v>
      </c>
      <c r="AM69" s="242">
        <f t="shared" si="64"/>
        <v>25</v>
      </c>
      <c r="AN69" s="70">
        <f>SUM(AG69:AM69)</f>
        <v>130</v>
      </c>
    </row>
    <row r="70" spans="1:43" x14ac:dyDescent="0.25">
      <c r="A70" t="s">
        <v>39</v>
      </c>
      <c r="B70" s="16" t="s">
        <v>454</v>
      </c>
      <c r="C70" s="20" t="s">
        <v>0</v>
      </c>
      <c r="D70" s="20">
        <v>22</v>
      </c>
      <c r="E70" s="20">
        <v>50</v>
      </c>
      <c r="F70" s="121">
        <f t="shared" si="58"/>
        <v>0</v>
      </c>
      <c r="G70" s="121">
        <v>12</v>
      </c>
      <c r="H70" s="121">
        <v>7</v>
      </c>
      <c r="I70" s="121">
        <f t="shared" si="54"/>
        <v>2</v>
      </c>
      <c r="J70" s="121">
        <f t="shared" si="54"/>
        <v>2</v>
      </c>
      <c r="K70" s="121">
        <v>10</v>
      </c>
      <c r="L70" s="121">
        <f t="shared" si="59"/>
        <v>2</v>
      </c>
      <c r="M70" s="51">
        <f>(7010+255+1315)*1.008</f>
        <v>8648.64</v>
      </c>
      <c r="N70" s="242">
        <f t="shared" si="59"/>
        <v>0</v>
      </c>
      <c r="O70" s="242">
        <v>56</v>
      </c>
      <c r="P70" s="242">
        <v>16</v>
      </c>
      <c r="Q70" s="242">
        <f t="shared" si="55"/>
        <v>0</v>
      </c>
      <c r="R70" s="242">
        <f t="shared" si="55"/>
        <v>0</v>
      </c>
      <c r="S70" s="242">
        <v>33</v>
      </c>
      <c r="T70" s="242">
        <f t="shared" si="60"/>
        <v>0</v>
      </c>
      <c r="U70" s="70">
        <f>SUM(N70:T70)</f>
        <v>105</v>
      </c>
      <c r="W70">
        <f t="shared" si="66"/>
        <v>24</v>
      </c>
      <c r="X70">
        <f t="shared" si="67"/>
        <v>1</v>
      </c>
      <c r="Y70" s="121">
        <f t="shared" si="62"/>
        <v>0</v>
      </c>
      <c r="Z70" s="121">
        <f t="shared" si="56"/>
        <v>12</v>
      </c>
      <c r="AA70" s="121">
        <f t="shared" si="56"/>
        <v>7</v>
      </c>
      <c r="AB70" s="121">
        <f t="shared" si="56"/>
        <v>2</v>
      </c>
      <c r="AC70" s="121">
        <f t="shared" si="56"/>
        <v>2</v>
      </c>
      <c r="AD70" s="121">
        <f t="shared" si="56"/>
        <v>10</v>
      </c>
      <c r="AE70" s="121">
        <v>17</v>
      </c>
      <c r="AF70" s="51">
        <f t="shared" si="68"/>
        <v>8983.26</v>
      </c>
      <c r="AG70" s="242">
        <f t="shared" si="63"/>
        <v>0</v>
      </c>
      <c r="AH70" s="242">
        <f t="shared" si="57"/>
        <v>56</v>
      </c>
      <c r="AI70" s="242">
        <f t="shared" si="57"/>
        <v>16</v>
      </c>
      <c r="AJ70" s="242">
        <f t="shared" si="57"/>
        <v>0</v>
      </c>
      <c r="AK70" s="242">
        <f t="shared" si="57"/>
        <v>0</v>
      </c>
      <c r="AL70" s="242">
        <f t="shared" si="57"/>
        <v>33</v>
      </c>
      <c r="AM70" s="242">
        <f t="shared" si="64"/>
        <v>25</v>
      </c>
      <c r="AN70" s="70">
        <f>SUM(AG70:AM70)</f>
        <v>130</v>
      </c>
    </row>
    <row r="71" spans="1:43" x14ac:dyDescent="0.25">
      <c r="A71" t="s">
        <v>41</v>
      </c>
      <c r="B71" s="16" t="str">
        <f t="shared" ref="B71:C80" si="69">B53</f>
        <v>Defensa</v>
      </c>
      <c r="C71" s="20" t="str">
        <f t="shared" si="69"/>
        <v>POT</v>
      </c>
      <c r="D71" s="20">
        <f t="shared" ref="D71:H82" si="70">W53</f>
        <v>23</v>
      </c>
      <c r="E71" s="20">
        <f t="shared" si="70"/>
        <v>28</v>
      </c>
      <c r="F71" s="121">
        <f t="shared" si="70"/>
        <v>0</v>
      </c>
      <c r="G71" s="121">
        <f t="shared" si="70"/>
        <v>12</v>
      </c>
      <c r="H71" s="121">
        <f t="shared" si="70"/>
        <v>10</v>
      </c>
      <c r="I71" s="121">
        <f t="shared" si="54"/>
        <v>2</v>
      </c>
      <c r="J71" s="121">
        <f t="shared" si="54"/>
        <v>2</v>
      </c>
      <c r="K71" s="121">
        <f t="shared" si="54"/>
        <v>10</v>
      </c>
      <c r="L71" s="121">
        <f t="shared" si="59"/>
        <v>2</v>
      </c>
      <c r="M71" s="51">
        <f t="shared" si="59"/>
        <v>9858.24</v>
      </c>
      <c r="N71" s="242">
        <f t="shared" si="59"/>
        <v>0</v>
      </c>
      <c r="O71" s="242">
        <f t="shared" si="59"/>
        <v>56</v>
      </c>
      <c r="P71" s="242">
        <f t="shared" si="59"/>
        <v>33</v>
      </c>
      <c r="Q71" s="242">
        <f t="shared" si="55"/>
        <v>0</v>
      </c>
      <c r="R71" s="242">
        <f t="shared" si="55"/>
        <v>0</v>
      </c>
      <c r="S71" s="242">
        <f t="shared" si="55"/>
        <v>33</v>
      </c>
      <c r="T71" s="242">
        <f t="shared" si="60"/>
        <v>0</v>
      </c>
      <c r="U71" s="70">
        <f t="shared" ref="U71:U78" si="71">SUM(N71:T71)</f>
        <v>122</v>
      </c>
      <c r="W71">
        <f t="shared" ref="W71:W77" si="72">D71+1</f>
        <v>24</v>
      </c>
      <c r="X71">
        <f t="shared" ref="X71:X77" si="73">E71+$AQ$76</f>
        <v>91</v>
      </c>
      <c r="Y71" s="121">
        <f t="shared" si="62"/>
        <v>0</v>
      </c>
      <c r="Z71" s="121">
        <f t="shared" si="56"/>
        <v>12</v>
      </c>
      <c r="AA71" s="121">
        <f t="shared" si="56"/>
        <v>10</v>
      </c>
      <c r="AB71" s="121">
        <f t="shared" si="56"/>
        <v>2</v>
      </c>
      <c r="AC71" s="121">
        <f t="shared" si="56"/>
        <v>2</v>
      </c>
      <c r="AD71" s="121">
        <f t="shared" si="56"/>
        <v>10</v>
      </c>
      <c r="AE71" s="121">
        <v>17</v>
      </c>
      <c r="AF71" s="51">
        <f>(7010+1455+1315)*1.047</f>
        <v>10239.66</v>
      </c>
      <c r="AG71" s="242">
        <f t="shared" si="63"/>
        <v>0</v>
      </c>
      <c r="AH71" s="242">
        <f t="shared" si="57"/>
        <v>56</v>
      </c>
      <c r="AI71" s="242">
        <f t="shared" si="57"/>
        <v>33</v>
      </c>
      <c r="AJ71" s="242">
        <f t="shared" si="57"/>
        <v>0</v>
      </c>
      <c r="AK71" s="242">
        <f t="shared" si="57"/>
        <v>0</v>
      </c>
      <c r="AL71" s="242">
        <f t="shared" si="57"/>
        <v>33</v>
      </c>
      <c r="AM71" s="242">
        <f t="shared" si="64"/>
        <v>25</v>
      </c>
      <c r="AN71" s="70">
        <f t="shared" ref="AN71:AN78" si="74">SUM(AG71:AM71)</f>
        <v>147</v>
      </c>
    </row>
    <row r="72" spans="1:43" x14ac:dyDescent="0.25">
      <c r="A72" t="s">
        <v>38</v>
      </c>
      <c r="B72" s="16" t="str">
        <f t="shared" si="69"/>
        <v>Defensa</v>
      </c>
      <c r="C72" s="20" t="str">
        <f t="shared" si="69"/>
        <v>POT</v>
      </c>
      <c r="D72" s="20">
        <f t="shared" si="70"/>
        <v>23</v>
      </c>
      <c r="E72" s="20">
        <f t="shared" si="70"/>
        <v>28</v>
      </c>
      <c r="F72" s="121">
        <f t="shared" si="70"/>
        <v>0</v>
      </c>
      <c r="G72" s="121">
        <f t="shared" si="70"/>
        <v>12</v>
      </c>
      <c r="H72" s="121">
        <f t="shared" si="70"/>
        <v>10</v>
      </c>
      <c r="I72" s="121">
        <f t="shared" si="54"/>
        <v>2</v>
      </c>
      <c r="J72" s="121">
        <f t="shared" si="54"/>
        <v>2</v>
      </c>
      <c r="K72" s="121">
        <f t="shared" si="54"/>
        <v>10</v>
      </c>
      <c r="L72" s="121">
        <f t="shared" si="59"/>
        <v>2</v>
      </c>
      <c r="M72" s="51">
        <f t="shared" si="59"/>
        <v>9858.24</v>
      </c>
      <c r="N72" s="242">
        <f t="shared" si="59"/>
        <v>0</v>
      </c>
      <c r="O72" s="242">
        <f t="shared" si="59"/>
        <v>56</v>
      </c>
      <c r="P72" s="242">
        <f t="shared" si="59"/>
        <v>33</v>
      </c>
      <c r="Q72" s="242">
        <f t="shared" si="55"/>
        <v>0</v>
      </c>
      <c r="R72" s="242">
        <f t="shared" si="55"/>
        <v>0</v>
      </c>
      <c r="S72" s="242">
        <f t="shared" si="55"/>
        <v>33</v>
      </c>
      <c r="T72" s="242">
        <f t="shared" si="60"/>
        <v>0</v>
      </c>
      <c r="U72" s="70">
        <f t="shared" si="71"/>
        <v>122</v>
      </c>
      <c r="W72">
        <f t="shared" si="72"/>
        <v>24</v>
      </c>
      <c r="X72">
        <f t="shared" si="73"/>
        <v>91</v>
      </c>
      <c r="Y72" s="121">
        <f t="shared" si="62"/>
        <v>0</v>
      </c>
      <c r="Z72" s="121">
        <f t="shared" si="56"/>
        <v>12</v>
      </c>
      <c r="AA72" s="121">
        <f t="shared" si="56"/>
        <v>10</v>
      </c>
      <c r="AB72" s="121">
        <f t="shared" si="56"/>
        <v>2</v>
      </c>
      <c r="AC72" s="121">
        <f t="shared" si="56"/>
        <v>2</v>
      </c>
      <c r="AD72" s="121">
        <f t="shared" si="56"/>
        <v>10</v>
      </c>
      <c r="AE72" s="121">
        <v>17</v>
      </c>
      <c r="AF72" s="51">
        <f t="shared" ref="AF72:AF74" si="75">(7010+1455+1315)*1.047</f>
        <v>10239.66</v>
      </c>
      <c r="AG72" s="242">
        <f t="shared" si="63"/>
        <v>0</v>
      </c>
      <c r="AH72" s="242">
        <f t="shared" si="57"/>
        <v>56</v>
      </c>
      <c r="AI72" s="242">
        <f t="shared" si="57"/>
        <v>33</v>
      </c>
      <c r="AJ72" s="242">
        <f t="shared" si="57"/>
        <v>0</v>
      </c>
      <c r="AK72" s="242">
        <f t="shared" si="57"/>
        <v>0</v>
      </c>
      <c r="AL72" s="242">
        <f t="shared" si="57"/>
        <v>33</v>
      </c>
      <c r="AM72" s="242">
        <f t="shared" si="64"/>
        <v>25</v>
      </c>
      <c r="AN72" s="70">
        <f t="shared" si="74"/>
        <v>147</v>
      </c>
    </row>
    <row r="73" spans="1:43" x14ac:dyDescent="0.25">
      <c r="A73" t="s">
        <v>35</v>
      </c>
      <c r="B73" s="16" t="str">
        <f t="shared" si="69"/>
        <v>Defensa</v>
      </c>
      <c r="C73" s="20" t="str">
        <f t="shared" si="69"/>
        <v>IMP</v>
      </c>
      <c r="D73" s="20">
        <f t="shared" si="70"/>
        <v>23</v>
      </c>
      <c r="E73" s="20">
        <f t="shared" si="70"/>
        <v>28</v>
      </c>
      <c r="F73" s="121">
        <f t="shared" si="70"/>
        <v>0</v>
      </c>
      <c r="G73" s="121">
        <f t="shared" si="70"/>
        <v>12</v>
      </c>
      <c r="H73" s="121">
        <f t="shared" si="70"/>
        <v>10</v>
      </c>
      <c r="I73" s="121">
        <f t="shared" si="54"/>
        <v>2</v>
      </c>
      <c r="J73" s="121">
        <f t="shared" si="54"/>
        <v>2</v>
      </c>
      <c r="K73" s="121">
        <f t="shared" si="54"/>
        <v>10</v>
      </c>
      <c r="L73" s="121">
        <f t="shared" si="59"/>
        <v>2</v>
      </c>
      <c r="M73" s="51">
        <f t="shared" si="59"/>
        <v>9858.24</v>
      </c>
      <c r="N73" s="242">
        <f t="shared" si="59"/>
        <v>0</v>
      </c>
      <c r="O73" s="242">
        <f t="shared" si="59"/>
        <v>56</v>
      </c>
      <c r="P73" s="242">
        <f t="shared" si="59"/>
        <v>33</v>
      </c>
      <c r="Q73" s="242">
        <f t="shared" si="55"/>
        <v>0</v>
      </c>
      <c r="R73" s="242">
        <f t="shared" si="55"/>
        <v>0</v>
      </c>
      <c r="S73" s="242">
        <f t="shared" si="55"/>
        <v>33</v>
      </c>
      <c r="T73" s="242">
        <f t="shared" si="60"/>
        <v>0</v>
      </c>
      <c r="U73" s="70">
        <f t="shared" si="71"/>
        <v>122</v>
      </c>
      <c r="W73">
        <f t="shared" si="72"/>
        <v>24</v>
      </c>
      <c r="X73">
        <f t="shared" si="73"/>
        <v>91</v>
      </c>
      <c r="Y73" s="121">
        <f t="shared" si="62"/>
        <v>0</v>
      </c>
      <c r="Z73" s="121">
        <f t="shared" si="56"/>
        <v>12</v>
      </c>
      <c r="AA73" s="121">
        <f t="shared" si="56"/>
        <v>10</v>
      </c>
      <c r="AB73" s="121">
        <f t="shared" si="56"/>
        <v>2</v>
      </c>
      <c r="AC73" s="121">
        <f t="shared" si="56"/>
        <v>2</v>
      </c>
      <c r="AD73" s="121">
        <f t="shared" si="56"/>
        <v>10</v>
      </c>
      <c r="AE73" s="121">
        <v>17</v>
      </c>
      <c r="AF73" s="51">
        <f t="shared" si="75"/>
        <v>10239.66</v>
      </c>
      <c r="AG73" s="242">
        <f t="shared" si="63"/>
        <v>0</v>
      </c>
      <c r="AH73" s="242">
        <f t="shared" si="57"/>
        <v>56</v>
      </c>
      <c r="AI73" s="242">
        <f t="shared" si="57"/>
        <v>33</v>
      </c>
      <c r="AJ73" s="242">
        <f t="shared" si="57"/>
        <v>0</v>
      </c>
      <c r="AK73" s="242">
        <f t="shared" si="57"/>
        <v>0</v>
      </c>
      <c r="AL73" s="242">
        <f t="shared" si="57"/>
        <v>33</v>
      </c>
      <c r="AM73" s="242">
        <f t="shared" si="64"/>
        <v>25</v>
      </c>
      <c r="AN73" s="70">
        <f t="shared" si="74"/>
        <v>147</v>
      </c>
    </row>
    <row r="74" spans="1:43" x14ac:dyDescent="0.25">
      <c r="A74" t="s">
        <v>31</v>
      </c>
      <c r="B74" s="16" t="str">
        <f t="shared" si="69"/>
        <v>Defensa</v>
      </c>
      <c r="C74" s="20" t="str">
        <f t="shared" si="69"/>
        <v>IMP</v>
      </c>
      <c r="D74" s="20">
        <f t="shared" si="70"/>
        <v>23</v>
      </c>
      <c r="E74" s="20">
        <f t="shared" si="70"/>
        <v>28</v>
      </c>
      <c r="F74" s="121">
        <f t="shared" si="70"/>
        <v>0</v>
      </c>
      <c r="G74" s="121">
        <f t="shared" si="70"/>
        <v>12</v>
      </c>
      <c r="H74" s="121">
        <f t="shared" si="70"/>
        <v>10</v>
      </c>
      <c r="I74" s="121">
        <f t="shared" si="54"/>
        <v>2</v>
      </c>
      <c r="J74" s="121">
        <f t="shared" si="54"/>
        <v>2</v>
      </c>
      <c r="K74" s="121">
        <f t="shared" si="54"/>
        <v>10</v>
      </c>
      <c r="L74" s="121">
        <f t="shared" si="59"/>
        <v>2</v>
      </c>
      <c r="M74" s="51">
        <f t="shared" si="59"/>
        <v>9858.24</v>
      </c>
      <c r="N74" s="242">
        <f t="shared" si="59"/>
        <v>0</v>
      </c>
      <c r="O74" s="242">
        <f t="shared" si="59"/>
        <v>56</v>
      </c>
      <c r="P74" s="242">
        <f t="shared" si="59"/>
        <v>33</v>
      </c>
      <c r="Q74" s="242">
        <f t="shared" si="55"/>
        <v>0</v>
      </c>
      <c r="R74" s="242">
        <f t="shared" si="55"/>
        <v>0</v>
      </c>
      <c r="S74" s="242">
        <f t="shared" si="55"/>
        <v>33</v>
      </c>
      <c r="T74" s="242">
        <f t="shared" si="60"/>
        <v>0</v>
      </c>
      <c r="U74" s="70">
        <f t="shared" si="71"/>
        <v>122</v>
      </c>
      <c r="W74">
        <f t="shared" si="72"/>
        <v>24</v>
      </c>
      <c r="X74">
        <f t="shared" si="73"/>
        <v>91</v>
      </c>
      <c r="Y74" s="121">
        <f t="shared" si="62"/>
        <v>0</v>
      </c>
      <c r="Z74" s="121">
        <f t="shared" si="56"/>
        <v>12</v>
      </c>
      <c r="AA74" s="121">
        <f t="shared" si="56"/>
        <v>10</v>
      </c>
      <c r="AB74" s="121">
        <f t="shared" si="56"/>
        <v>2</v>
      </c>
      <c r="AC74" s="121">
        <f t="shared" si="56"/>
        <v>2</v>
      </c>
      <c r="AD74" s="121">
        <f t="shared" si="56"/>
        <v>10</v>
      </c>
      <c r="AE74" s="121">
        <v>17</v>
      </c>
      <c r="AF74" s="51">
        <f t="shared" si="75"/>
        <v>10239.66</v>
      </c>
      <c r="AG74" s="242">
        <f t="shared" si="63"/>
        <v>0</v>
      </c>
      <c r="AH74" s="242">
        <f t="shared" si="57"/>
        <v>56</v>
      </c>
      <c r="AI74" s="242">
        <f t="shared" si="57"/>
        <v>33</v>
      </c>
      <c r="AJ74" s="242">
        <f t="shared" si="57"/>
        <v>0</v>
      </c>
      <c r="AK74" s="242">
        <f t="shared" si="57"/>
        <v>0</v>
      </c>
      <c r="AL74" s="242">
        <f t="shared" si="57"/>
        <v>33</v>
      </c>
      <c r="AM74" s="242">
        <f t="shared" si="64"/>
        <v>25</v>
      </c>
      <c r="AN74" s="70">
        <f t="shared" si="74"/>
        <v>147</v>
      </c>
      <c r="AP74" s="246" t="s">
        <v>48</v>
      </c>
      <c r="AQ74" s="246">
        <v>25</v>
      </c>
    </row>
    <row r="75" spans="1:43" x14ac:dyDescent="0.25">
      <c r="A75" t="s">
        <v>43</v>
      </c>
      <c r="B75" s="16" t="str">
        <f t="shared" si="69"/>
        <v>Inner</v>
      </c>
      <c r="C75" s="20" t="str">
        <f t="shared" si="69"/>
        <v>CAB</v>
      </c>
      <c r="D75" s="20">
        <f t="shared" si="70"/>
        <v>23</v>
      </c>
      <c r="E75" s="20">
        <f t="shared" si="70"/>
        <v>38</v>
      </c>
      <c r="F75" s="121">
        <f t="shared" si="70"/>
        <v>0</v>
      </c>
      <c r="G75" s="121">
        <f t="shared" si="70"/>
        <v>10.777777777777779</v>
      </c>
      <c r="H75" s="121">
        <f t="shared" si="70"/>
        <v>12</v>
      </c>
      <c r="I75" s="121">
        <f t="shared" si="54"/>
        <v>2</v>
      </c>
      <c r="J75" s="121">
        <f t="shared" si="54"/>
        <v>2</v>
      </c>
      <c r="K75" s="121">
        <f t="shared" si="54"/>
        <v>10</v>
      </c>
      <c r="L75" s="121">
        <f t="shared" si="59"/>
        <v>2</v>
      </c>
      <c r="M75" s="51">
        <f t="shared" si="59"/>
        <v>11980.08</v>
      </c>
      <c r="N75" s="242">
        <f t="shared" si="59"/>
        <v>0</v>
      </c>
      <c r="O75" s="242">
        <f t="shared" si="59"/>
        <v>44</v>
      </c>
      <c r="P75" s="242">
        <f t="shared" si="59"/>
        <v>48</v>
      </c>
      <c r="Q75" s="242">
        <f t="shared" si="55"/>
        <v>0</v>
      </c>
      <c r="R75" s="242">
        <f t="shared" si="55"/>
        <v>0</v>
      </c>
      <c r="S75" s="242">
        <f t="shared" si="55"/>
        <v>33</v>
      </c>
      <c r="T75" s="242">
        <f t="shared" si="60"/>
        <v>0</v>
      </c>
      <c r="U75" s="70">
        <f t="shared" si="71"/>
        <v>125</v>
      </c>
      <c r="W75">
        <f t="shared" si="72"/>
        <v>24</v>
      </c>
      <c r="X75">
        <f t="shared" si="73"/>
        <v>101</v>
      </c>
      <c r="Y75" s="121">
        <f t="shared" si="62"/>
        <v>0</v>
      </c>
      <c r="Z75" s="121">
        <f t="shared" si="56"/>
        <v>10.777777777777779</v>
      </c>
      <c r="AA75" s="121">
        <f t="shared" si="56"/>
        <v>12</v>
      </c>
      <c r="AB75" s="121">
        <f t="shared" si="56"/>
        <v>2</v>
      </c>
      <c r="AC75" s="121">
        <f t="shared" si="56"/>
        <v>2</v>
      </c>
      <c r="AD75" s="121">
        <f t="shared" si="56"/>
        <v>10</v>
      </c>
      <c r="AE75" s="121">
        <v>17</v>
      </c>
      <c r="AF75" s="51">
        <f>(8670+1900+1315)*1.047</f>
        <v>12443.594999999999</v>
      </c>
      <c r="AG75" s="242">
        <f t="shared" si="63"/>
        <v>0</v>
      </c>
      <c r="AH75" s="242">
        <f t="shared" si="57"/>
        <v>44</v>
      </c>
      <c r="AI75" s="242">
        <f t="shared" si="57"/>
        <v>48</v>
      </c>
      <c r="AJ75" s="242">
        <f t="shared" si="57"/>
        <v>0</v>
      </c>
      <c r="AK75" s="242">
        <f t="shared" si="57"/>
        <v>0</v>
      </c>
      <c r="AL75" s="242">
        <f t="shared" si="57"/>
        <v>33</v>
      </c>
      <c r="AM75" s="242">
        <f t="shared" si="64"/>
        <v>25</v>
      </c>
      <c r="AN75" s="70">
        <f t="shared" si="74"/>
        <v>150</v>
      </c>
      <c r="AQ75">
        <f>AQ74*7</f>
        <v>175</v>
      </c>
    </row>
    <row r="76" spans="1:43" x14ac:dyDescent="0.25">
      <c r="A76" t="s">
        <v>37</v>
      </c>
      <c r="B76" s="16" t="str">
        <f t="shared" si="69"/>
        <v>Inner</v>
      </c>
      <c r="C76" s="20" t="str">
        <f t="shared" si="69"/>
        <v>CAB</v>
      </c>
      <c r="D76" s="20">
        <f t="shared" si="70"/>
        <v>23</v>
      </c>
      <c r="E76" s="20">
        <f t="shared" si="70"/>
        <v>38</v>
      </c>
      <c r="F76" s="121">
        <f t="shared" si="70"/>
        <v>0</v>
      </c>
      <c r="G76" s="121">
        <f t="shared" si="70"/>
        <v>10.777777777777779</v>
      </c>
      <c r="H76" s="121">
        <f t="shared" si="70"/>
        <v>12</v>
      </c>
      <c r="I76" s="121">
        <f t="shared" si="54"/>
        <v>2</v>
      </c>
      <c r="J76" s="121">
        <f t="shared" si="54"/>
        <v>2</v>
      </c>
      <c r="K76" s="121">
        <f t="shared" si="54"/>
        <v>10</v>
      </c>
      <c r="L76" s="121">
        <f t="shared" si="59"/>
        <v>2</v>
      </c>
      <c r="M76" s="51">
        <f t="shared" si="59"/>
        <v>11980.08</v>
      </c>
      <c r="N76" s="242">
        <f t="shared" si="59"/>
        <v>0</v>
      </c>
      <c r="O76" s="242">
        <f t="shared" si="59"/>
        <v>44</v>
      </c>
      <c r="P76" s="242">
        <f t="shared" si="59"/>
        <v>48</v>
      </c>
      <c r="Q76" s="242">
        <f t="shared" si="55"/>
        <v>0</v>
      </c>
      <c r="R76" s="242">
        <f t="shared" si="55"/>
        <v>0</v>
      </c>
      <c r="S76" s="242">
        <f t="shared" si="55"/>
        <v>33</v>
      </c>
      <c r="T76" s="242">
        <f t="shared" si="60"/>
        <v>0</v>
      </c>
      <c r="U76" s="70">
        <f t="shared" si="71"/>
        <v>125</v>
      </c>
      <c r="W76">
        <f t="shared" si="72"/>
        <v>24</v>
      </c>
      <c r="X76">
        <f t="shared" si="73"/>
        <v>101</v>
      </c>
      <c r="Y76" s="121">
        <f t="shared" si="62"/>
        <v>0</v>
      </c>
      <c r="Z76" s="121">
        <f t="shared" si="56"/>
        <v>10.777777777777779</v>
      </c>
      <c r="AA76" s="121">
        <f t="shared" si="56"/>
        <v>12</v>
      </c>
      <c r="AB76" s="121">
        <f t="shared" si="56"/>
        <v>2</v>
      </c>
      <c r="AC76" s="121">
        <f t="shared" si="56"/>
        <v>2</v>
      </c>
      <c r="AD76" s="121">
        <f t="shared" si="56"/>
        <v>10</v>
      </c>
      <c r="AE76" s="121">
        <v>17</v>
      </c>
      <c r="AF76" s="51">
        <f t="shared" ref="AF76:AF77" si="76">(8670+1900+1315)*1.047</f>
        <v>12443.594999999999</v>
      </c>
      <c r="AG76" s="242">
        <f t="shared" si="63"/>
        <v>0</v>
      </c>
      <c r="AH76" s="242">
        <f t="shared" si="57"/>
        <v>44</v>
      </c>
      <c r="AI76" s="242">
        <f t="shared" si="57"/>
        <v>48</v>
      </c>
      <c r="AJ76" s="242">
        <f t="shared" si="57"/>
        <v>0</v>
      </c>
      <c r="AK76" s="242">
        <f t="shared" si="57"/>
        <v>0</v>
      </c>
      <c r="AL76" s="242">
        <f t="shared" si="57"/>
        <v>33</v>
      </c>
      <c r="AM76" s="242">
        <f t="shared" si="64"/>
        <v>25</v>
      </c>
      <c r="AN76" s="70">
        <f t="shared" si="74"/>
        <v>150</v>
      </c>
      <c r="AQ76">
        <f>AQ75-112</f>
        <v>63</v>
      </c>
    </row>
    <row r="77" spans="1:43" x14ac:dyDescent="0.25">
      <c r="A77" t="s">
        <v>36</v>
      </c>
      <c r="B77" s="16" t="str">
        <f t="shared" si="69"/>
        <v>Inner</v>
      </c>
      <c r="C77" s="20" t="str">
        <f t="shared" si="69"/>
        <v>CAB</v>
      </c>
      <c r="D77" s="20">
        <f t="shared" si="70"/>
        <v>23</v>
      </c>
      <c r="E77" s="20">
        <f t="shared" si="70"/>
        <v>38</v>
      </c>
      <c r="F77" s="121">
        <f t="shared" si="70"/>
        <v>0</v>
      </c>
      <c r="G77" s="121">
        <f t="shared" si="70"/>
        <v>10.777777777777779</v>
      </c>
      <c r="H77" s="121">
        <f t="shared" si="70"/>
        <v>12</v>
      </c>
      <c r="I77" s="121">
        <f t="shared" si="54"/>
        <v>2</v>
      </c>
      <c r="J77" s="121">
        <f t="shared" si="54"/>
        <v>2</v>
      </c>
      <c r="K77" s="121">
        <f t="shared" si="54"/>
        <v>10</v>
      </c>
      <c r="L77" s="121">
        <f t="shared" si="59"/>
        <v>2</v>
      </c>
      <c r="M77" s="51">
        <f t="shared" si="59"/>
        <v>11980.08</v>
      </c>
      <c r="N77" s="242">
        <f t="shared" si="59"/>
        <v>0</v>
      </c>
      <c r="O77" s="242">
        <f t="shared" si="59"/>
        <v>44</v>
      </c>
      <c r="P77" s="242">
        <f t="shared" si="59"/>
        <v>48</v>
      </c>
      <c r="Q77" s="242">
        <f t="shared" si="55"/>
        <v>0</v>
      </c>
      <c r="R77" s="242">
        <f t="shared" si="55"/>
        <v>0</v>
      </c>
      <c r="S77" s="242">
        <f t="shared" si="55"/>
        <v>33</v>
      </c>
      <c r="T77" s="242">
        <f t="shared" si="60"/>
        <v>0</v>
      </c>
      <c r="U77" s="70">
        <f t="shared" si="71"/>
        <v>125</v>
      </c>
      <c r="W77">
        <f t="shared" si="72"/>
        <v>24</v>
      </c>
      <c r="X77">
        <f t="shared" si="73"/>
        <v>101</v>
      </c>
      <c r="Y77" s="121">
        <f t="shared" si="62"/>
        <v>0</v>
      </c>
      <c r="Z77" s="121">
        <f t="shared" si="56"/>
        <v>10.777777777777779</v>
      </c>
      <c r="AA77" s="121">
        <f t="shared" si="56"/>
        <v>12</v>
      </c>
      <c r="AB77" s="121">
        <f t="shared" si="56"/>
        <v>2</v>
      </c>
      <c r="AC77" s="121">
        <f t="shared" si="56"/>
        <v>2</v>
      </c>
      <c r="AD77" s="121">
        <f t="shared" si="56"/>
        <v>10</v>
      </c>
      <c r="AE77" s="121">
        <v>17</v>
      </c>
      <c r="AF77" s="51">
        <f t="shared" si="76"/>
        <v>12443.594999999999</v>
      </c>
      <c r="AG77" s="242">
        <f t="shared" si="63"/>
        <v>0</v>
      </c>
      <c r="AH77" s="242">
        <f t="shared" si="57"/>
        <v>44</v>
      </c>
      <c r="AI77" s="242">
        <f t="shared" si="57"/>
        <v>48</v>
      </c>
      <c r="AJ77" s="242">
        <f t="shared" si="57"/>
        <v>0</v>
      </c>
      <c r="AK77" s="242">
        <f t="shared" si="57"/>
        <v>0</v>
      </c>
      <c r="AL77" s="242">
        <f t="shared" si="57"/>
        <v>33</v>
      </c>
      <c r="AM77" s="242">
        <f t="shared" si="64"/>
        <v>25</v>
      </c>
      <c r="AN77" s="70">
        <f t="shared" si="74"/>
        <v>150</v>
      </c>
    </row>
    <row r="78" spans="1:43" x14ac:dyDescent="0.25">
      <c r="A78" t="s">
        <v>40</v>
      </c>
      <c r="B78" s="16" t="str">
        <f t="shared" si="69"/>
        <v>E. Cubas</v>
      </c>
      <c r="C78" s="20" t="str">
        <f t="shared" si="69"/>
        <v>RAP</v>
      </c>
      <c r="D78" s="20">
        <f t="shared" si="70"/>
        <v>23</v>
      </c>
      <c r="E78" s="20">
        <f t="shared" si="70"/>
        <v>53.5</v>
      </c>
      <c r="F78" s="121">
        <f t="shared" si="70"/>
        <v>0</v>
      </c>
      <c r="G78" s="121">
        <f t="shared" si="70"/>
        <v>8.3333333333333339</v>
      </c>
      <c r="H78" s="121">
        <f t="shared" si="70"/>
        <v>9</v>
      </c>
      <c r="I78" s="121">
        <f t="shared" si="54"/>
        <v>9.5</v>
      </c>
      <c r="J78" s="121">
        <f t="shared" si="54"/>
        <v>8.6</v>
      </c>
      <c r="K78" s="121">
        <f t="shared" si="54"/>
        <v>10.285714285714286</v>
      </c>
      <c r="L78" s="121">
        <f t="shared" si="59"/>
        <v>2</v>
      </c>
      <c r="M78" s="51">
        <f t="shared" si="59"/>
        <v>4999.68</v>
      </c>
      <c r="N78" s="242">
        <f t="shared" si="59"/>
        <v>0</v>
      </c>
      <c r="O78" s="242">
        <f t="shared" si="59"/>
        <v>26</v>
      </c>
      <c r="P78" s="242">
        <f t="shared" si="59"/>
        <v>26</v>
      </c>
      <c r="Q78" s="242">
        <f t="shared" si="55"/>
        <v>20.5</v>
      </c>
      <c r="R78" s="242">
        <f t="shared" si="55"/>
        <v>21</v>
      </c>
      <c r="S78" s="242">
        <f t="shared" si="55"/>
        <v>35</v>
      </c>
      <c r="T78" s="242">
        <f t="shared" si="60"/>
        <v>0</v>
      </c>
      <c r="U78" s="70">
        <f t="shared" si="71"/>
        <v>128.5</v>
      </c>
      <c r="W78">
        <v>25</v>
      </c>
      <c r="X78">
        <v>5</v>
      </c>
      <c r="Y78" s="121">
        <f t="shared" si="62"/>
        <v>0</v>
      </c>
      <c r="Z78" s="121">
        <f t="shared" si="56"/>
        <v>8.3333333333333339</v>
      </c>
      <c r="AA78" s="121">
        <f t="shared" si="56"/>
        <v>9</v>
      </c>
      <c r="AB78" s="121">
        <f t="shared" si="56"/>
        <v>9.5</v>
      </c>
      <c r="AC78" s="121">
        <f t="shared" si="56"/>
        <v>8.6</v>
      </c>
      <c r="AD78" s="121">
        <f t="shared" si="56"/>
        <v>10.285714285714286</v>
      </c>
      <c r="AE78" s="121">
        <v>17</v>
      </c>
      <c r="AF78" s="51">
        <f>(2900+140+620+785+515)*1.047</f>
        <v>5193.12</v>
      </c>
      <c r="AG78" s="242">
        <f t="shared" si="63"/>
        <v>0</v>
      </c>
      <c r="AH78" s="242">
        <f t="shared" si="57"/>
        <v>26</v>
      </c>
      <c r="AI78" s="242">
        <f t="shared" si="57"/>
        <v>26</v>
      </c>
      <c r="AJ78" s="242">
        <f t="shared" si="57"/>
        <v>20.5</v>
      </c>
      <c r="AK78" s="242">
        <f t="shared" si="57"/>
        <v>21</v>
      </c>
      <c r="AL78" s="242">
        <f t="shared" si="57"/>
        <v>35</v>
      </c>
      <c r="AM78" s="242">
        <f t="shared" si="64"/>
        <v>25</v>
      </c>
      <c r="AN78" s="70">
        <f t="shared" si="74"/>
        <v>153.5</v>
      </c>
    </row>
    <row r="79" spans="1:43" x14ac:dyDescent="0.25">
      <c r="A79" t="s">
        <v>34</v>
      </c>
      <c r="B79" s="16" t="str">
        <f t="shared" si="69"/>
        <v>V. Gomis</v>
      </c>
      <c r="C79" s="20" t="str">
        <f t="shared" si="69"/>
        <v>IMP</v>
      </c>
      <c r="D79" s="20">
        <f t="shared" si="70"/>
        <v>23</v>
      </c>
      <c r="E79" s="20">
        <f t="shared" si="70"/>
        <v>57.5</v>
      </c>
      <c r="F79" s="121">
        <f t="shared" si="70"/>
        <v>0</v>
      </c>
      <c r="G79" s="121">
        <f t="shared" si="70"/>
        <v>10.333333333333334</v>
      </c>
      <c r="H79" s="121">
        <f t="shared" si="70"/>
        <v>7.5</v>
      </c>
      <c r="I79" s="121">
        <f t="shared" si="54"/>
        <v>8</v>
      </c>
      <c r="J79" s="121">
        <f t="shared" si="54"/>
        <v>8.6</v>
      </c>
      <c r="K79" s="121">
        <f t="shared" si="54"/>
        <v>10</v>
      </c>
      <c r="L79" s="121">
        <f t="shared" si="59"/>
        <v>0</v>
      </c>
      <c r="M79" s="51">
        <f t="shared" si="59"/>
        <v>4660</v>
      </c>
      <c r="N79" s="242">
        <f t="shared" si="59"/>
        <v>0</v>
      </c>
      <c r="O79" s="242">
        <f t="shared" si="59"/>
        <v>40</v>
      </c>
      <c r="P79" s="242">
        <f t="shared" si="59"/>
        <v>18</v>
      </c>
      <c r="Q79" s="242">
        <f t="shared" si="55"/>
        <v>15</v>
      </c>
      <c r="R79" s="242">
        <f t="shared" si="55"/>
        <v>21</v>
      </c>
      <c r="S79" s="242">
        <f t="shared" si="55"/>
        <v>33</v>
      </c>
      <c r="T79" s="242">
        <f t="shared" si="60"/>
        <v>-2</v>
      </c>
      <c r="U79" s="70">
        <f>SUM(N79:T79)</f>
        <v>125</v>
      </c>
      <c r="W79">
        <v>25</v>
      </c>
      <c r="X79">
        <v>9</v>
      </c>
      <c r="Y79" s="121">
        <f t="shared" si="62"/>
        <v>0</v>
      </c>
      <c r="Z79" s="121">
        <f t="shared" si="56"/>
        <v>10.333333333333334</v>
      </c>
      <c r="AA79" s="121">
        <f t="shared" si="56"/>
        <v>7.5</v>
      </c>
      <c r="AB79" s="121">
        <f t="shared" si="56"/>
        <v>8</v>
      </c>
      <c r="AC79" s="121">
        <f t="shared" si="56"/>
        <v>8.6</v>
      </c>
      <c r="AD79" s="121">
        <f t="shared" si="56"/>
        <v>10</v>
      </c>
      <c r="AE79" s="121">
        <f>16+2/4</f>
        <v>16.5</v>
      </c>
      <c r="AF79" s="51">
        <f>(2600+1315+140+275+330)*1.047</f>
        <v>4879.0199999999995</v>
      </c>
      <c r="AG79" s="242">
        <f t="shared" si="63"/>
        <v>0</v>
      </c>
      <c r="AH79" s="242">
        <f t="shared" si="57"/>
        <v>40</v>
      </c>
      <c r="AI79" s="242">
        <f t="shared" si="57"/>
        <v>18</v>
      </c>
      <c r="AJ79" s="242">
        <f t="shared" si="57"/>
        <v>15</v>
      </c>
      <c r="AK79" s="242">
        <f t="shared" si="57"/>
        <v>21</v>
      </c>
      <c r="AL79" s="242">
        <f t="shared" si="57"/>
        <v>33</v>
      </c>
      <c r="AM79" s="242">
        <f t="shared" si="64"/>
        <v>23</v>
      </c>
      <c r="AN79" s="70">
        <f>SUM(AG79:AM79)</f>
        <v>150</v>
      </c>
    </row>
    <row r="80" spans="1:43" x14ac:dyDescent="0.25">
      <c r="A80" t="s">
        <v>42</v>
      </c>
      <c r="B80" s="16" t="str">
        <f t="shared" si="69"/>
        <v>J.G. Peñuela</v>
      </c>
      <c r="C80" s="20" t="str">
        <f t="shared" si="69"/>
        <v>IMP</v>
      </c>
      <c r="D80" s="20">
        <f t="shared" si="70"/>
        <v>23</v>
      </c>
      <c r="E80" s="20">
        <f t="shared" si="70"/>
        <v>53.5</v>
      </c>
      <c r="F80" s="121">
        <f t="shared" si="70"/>
        <v>0</v>
      </c>
      <c r="G80" s="121">
        <f t="shared" si="70"/>
        <v>8.8333333333333339</v>
      </c>
      <c r="H80" s="121">
        <f t="shared" si="70"/>
        <v>8.6</v>
      </c>
      <c r="I80" s="121">
        <f t="shared" si="54"/>
        <v>8.8333333333333339</v>
      </c>
      <c r="J80" s="121">
        <f t="shared" si="54"/>
        <v>8</v>
      </c>
      <c r="K80" s="121">
        <f t="shared" si="54"/>
        <v>10.285714285714286</v>
      </c>
      <c r="L80" s="121">
        <f t="shared" si="59"/>
        <v>0</v>
      </c>
      <c r="M80" s="51">
        <f t="shared" si="59"/>
        <v>4700</v>
      </c>
      <c r="N80" s="242">
        <f t="shared" si="59"/>
        <v>0</v>
      </c>
      <c r="O80" s="242">
        <f t="shared" si="59"/>
        <v>29</v>
      </c>
      <c r="P80" s="242">
        <f t="shared" si="59"/>
        <v>24</v>
      </c>
      <c r="Q80" s="242">
        <f t="shared" si="55"/>
        <v>17.5</v>
      </c>
      <c r="R80" s="242">
        <f t="shared" si="55"/>
        <v>18</v>
      </c>
      <c r="S80" s="242">
        <f t="shared" si="55"/>
        <v>35</v>
      </c>
      <c r="T80" s="242">
        <f t="shared" si="60"/>
        <v>-2</v>
      </c>
      <c r="U80" s="70">
        <f>SUM(N80:T80)</f>
        <v>121.5</v>
      </c>
      <c r="W80">
        <v>25</v>
      </c>
      <c r="X80">
        <v>5</v>
      </c>
      <c r="Y80" s="121">
        <f t="shared" si="62"/>
        <v>0</v>
      </c>
      <c r="Z80" s="121">
        <f t="shared" si="56"/>
        <v>8.8333333333333339</v>
      </c>
      <c r="AA80" s="121">
        <f t="shared" si="56"/>
        <v>8.6</v>
      </c>
      <c r="AB80" s="121">
        <f t="shared" si="56"/>
        <v>8.8333333333333339</v>
      </c>
      <c r="AC80" s="121">
        <f t="shared" si="56"/>
        <v>8</v>
      </c>
      <c r="AD80" s="121">
        <f t="shared" si="56"/>
        <v>10.285714285714286</v>
      </c>
      <c r="AE80" s="121">
        <f>AE79</f>
        <v>16.5</v>
      </c>
      <c r="AF80" s="51">
        <f>(2900+135+430+615+620)*1.047</f>
        <v>4920.8999999999996</v>
      </c>
      <c r="AG80" s="242">
        <f t="shared" si="63"/>
        <v>0</v>
      </c>
      <c r="AH80" s="242">
        <f t="shared" si="57"/>
        <v>29</v>
      </c>
      <c r="AI80" s="242">
        <f t="shared" si="57"/>
        <v>24</v>
      </c>
      <c r="AJ80" s="242">
        <f t="shared" si="57"/>
        <v>17.5</v>
      </c>
      <c r="AK80" s="242">
        <f t="shared" si="57"/>
        <v>18</v>
      </c>
      <c r="AL80" s="242">
        <f t="shared" si="57"/>
        <v>35</v>
      </c>
      <c r="AM80" s="242">
        <f t="shared" si="64"/>
        <v>23</v>
      </c>
      <c r="AN80" s="70">
        <f>SUM(AG80:AM80)</f>
        <v>146.5</v>
      </c>
    </row>
    <row r="81" spans="1:40" x14ac:dyDescent="0.25">
      <c r="A81" t="s">
        <v>46</v>
      </c>
      <c r="B81" s="16" t="s">
        <v>455</v>
      </c>
      <c r="C81" s="20" t="s">
        <v>0</v>
      </c>
      <c r="D81" s="20">
        <v>22</v>
      </c>
      <c r="E81" s="20">
        <v>50</v>
      </c>
      <c r="F81" s="121">
        <f t="shared" si="70"/>
        <v>0</v>
      </c>
      <c r="G81" s="121">
        <f t="shared" si="70"/>
        <v>2</v>
      </c>
      <c r="H81" s="121">
        <v>12</v>
      </c>
      <c r="I81" s="121">
        <f t="shared" si="54"/>
        <v>2</v>
      </c>
      <c r="J81" s="121">
        <f t="shared" si="54"/>
        <v>2</v>
      </c>
      <c r="K81" s="121">
        <v>10</v>
      </c>
      <c r="L81" s="121">
        <v>7</v>
      </c>
      <c r="M81" s="51">
        <f>(8670+1315)*1.02</f>
        <v>10184.700000000001</v>
      </c>
      <c r="N81" s="242">
        <f t="shared" si="59"/>
        <v>0</v>
      </c>
      <c r="O81" s="242">
        <f t="shared" si="59"/>
        <v>0</v>
      </c>
      <c r="P81" s="242">
        <v>48</v>
      </c>
      <c r="Q81" s="242">
        <f t="shared" si="55"/>
        <v>0</v>
      </c>
      <c r="R81" s="242">
        <f t="shared" si="55"/>
        <v>0</v>
      </c>
      <c r="S81" s="242">
        <v>33</v>
      </c>
      <c r="T81" s="242">
        <v>5</v>
      </c>
      <c r="U81" s="70">
        <f t="shared" ref="U81:U82" si="77">SUM(N81:T81)</f>
        <v>86</v>
      </c>
      <c r="W81">
        <v>24</v>
      </c>
      <c r="X81">
        <v>1</v>
      </c>
      <c r="Y81" s="121">
        <f t="shared" si="62"/>
        <v>0</v>
      </c>
      <c r="Z81" s="121">
        <f t="shared" si="56"/>
        <v>2</v>
      </c>
      <c r="AA81" s="121">
        <f t="shared" si="56"/>
        <v>12</v>
      </c>
      <c r="AB81" s="121">
        <f t="shared" si="56"/>
        <v>2</v>
      </c>
      <c r="AC81" s="121">
        <f t="shared" si="56"/>
        <v>2</v>
      </c>
      <c r="AD81" s="121">
        <f t="shared" si="56"/>
        <v>10</v>
      </c>
      <c r="AE81" s="121">
        <f>AE67</f>
        <v>18.25</v>
      </c>
      <c r="AF81" s="51">
        <f>(8670+1315)*1.055</f>
        <v>10534.174999999999</v>
      </c>
      <c r="AG81" s="242">
        <f t="shared" si="63"/>
        <v>0</v>
      </c>
      <c r="AH81" s="242">
        <f t="shared" si="57"/>
        <v>0</v>
      </c>
      <c r="AI81" s="242">
        <f t="shared" si="57"/>
        <v>48</v>
      </c>
      <c r="AJ81" s="242">
        <f t="shared" si="57"/>
        <v>0</v>
      </c>
      <c r="AK81" s="242">
        <f t="shared" si="57"/>
        <v>0</v>
      </c>
      <c r="AL81" s="242">
        <f t="shared" si="57"/>
        <v>33</v>
      </c>
      <c r="AM81" s="242">
        <f t="shared" si="64"/>
        <v>30</v>
      </c>
      <c r="AN81" s="70">
        <f t="shared" ref="AN81:AN82" si="78">SUM(AG81:AM81)</f>
        <v>111</v>
      </c>
    </row>
    <row r="82" spans="1:40" x14ac:dyDescent="0.25">
      <c r="A82" t="s">
        <v>452</v>
      </c>
      <c r="B82" s="16" t="s">
        <v>455</v>
      </c>
      <c r="C82" s="20" t="s">
        <v>45</v>
      </c>
      <c r="D82" s="20">
        <v>22</v>
      </c>
      <c r="E82" s="20">
        <v>50</v>
      </c>
      <c r="F82" s="121">
        <f t="shared" si="70"/>
        <v>0</v>
      </c>
      <c r="G82" s="121">
        <f t="shared" si="70"/>
        <v>2</v>
      </c>
      <c r="H82" s="121">
        <v>12</v>
      </c>
      <c r="I82" s="121">
        <f t="shared" si="54"/>
        <v>2</v>
      </c>
      <c r="J82" s="121">
        <f t="shared" si="54"/>
        <v>2</v>
      </c>
      <c r="K82" s="121">
        <v>10</v>
      </c>
      <c r="L82" s="121">
        <v>7</v>
      </c>
      <c r="M82" s="51">
        <f>(8670+1315)*1.02</f>
        <v>10184.700000000001</v>
      </c>
      <c r="N82" s="242">
        <f t="shared" si="59"/>
        <v>0</v>
      </c>
      <c r="O82" s="242">
        <f t="shared" si="59"/>
        <v>0</v>
      </c>
      <c r="P82" s="242">
        <v>48</v>
      </c>
      <c r="Q82" s="242">
        <f t="shared" si="55"/>
        <v>0</v>
      </c>
      <c r="R82" s="242">
        <f t="shared" si="55"/>
        <v>0</v>
      </c>
      <c r="S82" s="242">
        <v>33</v>
      </c>
      <c r="T82" s="242">
        <v>5</v>
      </c>
      <c r="U82" s="70">
        <f t="shared" si="77"/>
        <v>86</v>
      </c>
      <c r="W82">
        <v>24</v>
      </c>
      <c r="X82">
        <v>1</v>
      </c>
      <c r="Y82" s="121">
        <f t="shared" si="62"/>
        <v>0</v>
      </c>
      <c r="Z82" s="121">
        <f t="shared" si="56"/>
        <v>2</v>
      </c>
      <c r="AA82" s="121">
        <f t="shared" si="56"/>
        <v>12</v>
      </c>
      <c r="AB82" s="121">
        <f t="shared" si="56"/>
        <v>2</v>
      </c>
      <c r="AC82" s="121">
        <f t="shared" si="56"/>
        <v>2</v>
      </c>
      <c r="AD82" s="121">
        <f t="shared" si="56"/>
        <v>10</v>
      </c>
      <c r="AE82" s="121">
        <f>AE81</f>
        <v>18.25</v>
      </c>
      <c r="AF82" s="51">
        <f>(8670+1315)*1.055</f>
        <v>10534.174999999999</v>
      </c>
      <c r="AG82" s="242">
        <f t="shared" si="63"/>
        <v>0</v>
      </c>
      <c r="AH82" s="242">
        <f t="shared" si="57"/>
        <v>0</v>
      </c>
      <c r="AI82" s="242">
        <f t="shared" si="57"/>
        <v>48</v>
      </c>
      <c r="AJ82" s="242">
        <f t="shared" si="57"/>
        <v>0</v>
      </c>
      <c r="AK82" s="242">
        <f t="shared" si="57"/>
        <v>0</v>
      </c>
      <c r="AL82" s="242">
        <f t="shared" si="57"/>
        <v>33</v>
      </c>
      <c r="AM82" s="242">
        <f t="shared" si="64"/>
        <v>30</v>
      </c>
      <c r="AN82" s="70">
        <f t="shared" si="78"/>
        <v>111</v>
      </c>
    </row>
    <row r="83" spans="1:40" x14ac:dyDescent="0.25">
      <c r="A83"/>
      <c r="B83"/>
      <c r="M83" s="245"/>
    </row>
    <row r="84" spans="1:40" x14ac:dyDescent="0.25">
      <c r="A84"/>
      <c r="B84"/>
      <c r="M84" s="245"/>
    </row>
    <row r="85" spans="1:40" x14ac:dyDescent="0.25">
      <c r="A85"/>
      <c r="B85"/>
      <c r="M85" s="245"/>
    </row>
    <row r="86" spans="1:40" x14ac:dyDescent="0.25">
      <c r="A86"/>
      <c r="B86"/>
      <c r="M86" s="245"/>
    </row>
    <row r="87" spans="1:40" x14ac:dyDescent="0.25">
      <c r="A87"/>
      <c r="B87"/>
      <c r="M87" s="245"/>
    </row>
    <row r="88" spans="1:40" x14ac:dyDescent="0.25">
      <c r="A88"/>
      <c r="B88"/>
      <c r="M88" s="245"/>
    </row>
    <row r="89" spans="1:40" x14ac:dyDescent="0.25">
      <c r="A89"/>
      <c r="B89"/>
      <c r="M89" s="245"/>
    </row>
    <row r="90" spans="1:40" x14ac:dyDescent="0.25">
      <c r="A90"/>
      <c r="B90"/>
      <c r="M90" s="245"/>
    </row>
    <row r="91" spans="1:40" x14ac:dyDescent="0.25">
      <c r="A91"/>
      <c r="B91"/>
      <c r="M91" s="245"/>
    </row>
    <row r="92" spans="1:40" x14ac:dyDescent="0.25">
      <c r="A92"/>
      <c r="B92"/>
      <c r="M92" s="245"/>
    </row>
    <row r="93" spans="1:40" x14ac:dyDescent="0.25">
      <c r="A93"/>
      <c r="B93"/>
      <c r="M93" s="245"/>
    </row>
    <row r="94" spans="1:40" x14ac:dyDescent="0.25">
      <c r="A94"/>
      <c r="B94"/>
      <c r="M94" s="245"/>
    </row>
    <row r="95" spans="1:40" x14ac:dyDescent="0.25">
      <c r="A95"/>
      <c r="B95"/>
      <c r="M95" s="245"/>
    </row>
    <row r="96" spans="1:40" x14ac:dyDescent="0.25">
      <c r="A96"/>
      <c r="B96"/>
      <c r="R96" s="245"/>
    </row>
    <row r="97" spans="1:18" x14ac:dyDescent="0.25">
      <c r="A97"/>
      <c r="B97"/>
      <c r="R97" s="245"/>
    </row>
    <row r="98" spans="1:18" x14ac:dyDescent="0.25">
      <c r="A98"/>
      <c r="B98"/>
      <c r="R98" s="245"/>
    </row>
    <row r="99" spans="1:18" x14ac:dyDescent="0.25">
      <c r="A99"/>
      <c r="B99"/>
      <c r="R99" s="245"/>
    </row>
    <row r="100" spans="1:18" x14ac:dyDescent="0.25">
      <c r="A100"/>
      <c r="B100"/>
      <c r="R100" s="245"/>
    </row>
    <row r="101" spans="1:18" x14ac:dyDescent="0.25">
      <c r="A101"/>
      <c r="B101"/>
      <c r="R101" s="245"/>
    </row>
    <row r="102" spans="1:18" x14ac:dyDescent="0.25">
      <c r="A102"/>
      <c r="B102"/>
      <c r="R102" s="245"/>
    </row>
    <row r="103" spans="1:18" x14ac:dyDescent="0.25">
      <c r="A103"/>
      <c r="B103"/>
      <c r="R103" s="245"/>
    </row>
    <row r="104" spans="1:18" x14ac:dyDescent="0.25">
      <c r="A104"/>
      <c r="B104"/>
      <c r="R104" s="245"/>
    </row>
    <row r="105" spans="1:18" x14ac:dyDescent="0.25">
      <c r="A105"/>
      <c r="B105"/>
      <c r="R105" s="245"/>
    </row>
    <row r="106" spans="1:18" x14ac:dyDescent="0.25">
      <c r="A106"/>
      <c r="B106"/>
      <c r="R106" s="245"/>
    </row>
    <row r="107" spans="1:18" x14ac:dyDescent="0.25">
      <c r="A107"/>
      <c r="B107"/>
      <c r="R107" s="245"/>
    </row>
    <row r="108" spans="1:18" x14ac:dyDescent="0.25">
      <c r="A108"/>
      <c r="B108"/>
      <c r="R108" s="245"/>
    </row>
    <row r="109" spans="1:18" x14ac:dyDescent="0.25">
      <c r="A109"/>
      <c r="B109"/>
      <c r="R109" s="245"/>
    </row>
    <row r="110" spans="1:18" x14ac:dyDescent="0.25">
      <c r="A110"/>
      <c r="B110"/>
      <c r="R110" s="245"/>
    </row>
    <row r="111" spans="1:18" x14ac:dyDescent="0.25">
      <c r="A111"/>
      <c r="B111"/>
      <c r="R111" s="245"/>
    </row>
    <row r="112" spans="1:18" x14ac:dyDescent="0.25">
      <c r="A112"/>
      <c r="B112"/>
      <c r="R112" s="245"/>
    </row>
    <row r="113" spans="1:18" x14ac:dyDescent="0.25">
      <c r="A113"/>
      <c r="B113"/>
      <c r="R113" s="245"/>
    </row>
    <row r="114" spans="1:18" x14ac:dyDescent="0.25">
      <c r="A114"/>
      <c r="B114"/>
      <c r="R114" s="245"/>
    </row>
    <row r="115" spans="1:18" x14ac:dyDescent="0.25">
      <c r="A115"/>
      <c r="B115"/>
      <c r="R115" s="245"/>
    </row>
    <row r="116" spans="1:18" x14ac:dyDescent="0.25">
      <c r="A116"/>
      <c r="B116"/>
      <c r="R116" s="245"/>
    </row>
    <row r="117" spans="1:18" x14ac:dyDescent="0.25">
      <c r="A117"/>
      <c r="B117"/>
      <c r="R117" s="245"/>
    </row>
    <row r="118" spans="1:18" x14ac:dyDescent="0.25">
      <c r="A118"/>
      <c r="B118"/>
      <c r="R118" s="245"/>
    </row>
    <row r="119" spans="1:18" x14ac:dyDescent="0.25">
      <c r="A119"/>
      <c r="B119"/>
      <c r="R119" s="245"/>
    </row>
    <row r="120" spans="1:18" x14ac:dyDescent="0.25">
      <c r="A120"/>
      <c r="B120"/>
      <c r="R120" s="245"/>
    </row>
    <row r="121" spans="1:18" x14ac:dyDescent="0.25">
      <c r="A121"/>
      <c r="B121"/>
      <c r="R121" s="245"/>
    </row>
    <row r="122" spans="1:18" x14ac:dyDescent="0.25">
      <c r="A122"/>
      <c r="B122"/>
      <c r="R122" s="245"/>
    </row>
    <row r="123" spans="1:18" x14ac:dyDescent="0.25">
      <c r="A123"/>
      <c r="B123"/>
      <c r="R123" s="245"/>
    </row>
    <row r="124" spans="1:18" x14ac:dyDescent="0.25">
      <c r="A124"/>
      <c r="B124"/>
      <c r="R124" s="245"/>
    </row>
    <row r="125" spans="1:18" x14ac:dyDescent="0.25">
      <c r="A125"/>
      <c r="B125"/>
      <c r="R125" s="245"/>
    </row>
    <row r="126" spans="1:18" x14ac:dyDescent="0.25">
      <c r="A126"/>
      <c r="B126"/>
      <c r="R126" s="245"/>
    </row>
    <row r="127" spans="1:18" x14ac:dyDescent="0.25">
      <c r="A127"/>
      <c r="B127"/>
      <c r="R127" s="245"/>
    </row>
    <row r="128" spans="1:18" x14ac:dyDescent="0.25">
      <c r="A128"/>
      <c r="B128"/>
      <c r="R128" s="245"/>
    </row>
    <row r="129" spans="1:18" x14ac:dyDescent="0.25">
      <c r="A129"/>
      <c r="B129"/>
      <c r="R129" s="245"/>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14"/>
  <sheetViews>
    <sheetView workbookViewId="0">
      <selection activeCell="E12" sqref="E12"/>
    </sheetView>
  </sheetViews>
  <sheetFormatPr baseColWidth="10" defaultRowHeight="15" x14ac:dyDescent="0.25"/>
  <cols>
    <col min="1" max="1" width="7.7109375" style="237" bestFit="1" customWidth="1"/>
    <col min="2" max="2" width="7.7109375" style="237" customWidth="1"/>
    <col min="3" max="3" width="17.85546875" style="237" bestFit="1" customWidth="1"/>
    <col min="4" max="4" width="18.28515625" style="237" bestFit="1" customWidth="1"/>
    <col min="5" max="5" width="11.42578125" style="237"/>
    <col min="6" max="6" width="13" style="237" bestFit="1" customWidth="1"/>
    <col min="7" max="8" width="10.28515625" style="237" bestFit="1" customWidth="1"/>
  </cols>
  <sheetData>
    <row r="1" spans="1:11" ht="15.75" x14ac:dyDescent="0.25">
      <c r="A1" s="238" t="s">
        <v>341</v>
      </c>
      <c r="B1" s="238" t="s">
        <v>347</v>
      </c>
      <c r="C1" s="238" t="s">
        <v>342</v>
      </c>
      <c r="D1" s="238" t="s">
        <v>346</v>
      </c>
      <c r="E1" s="238" t="s">
        <v>343</v>
      </c>
      <c r="F1" s="238" t="s">
        <v>338</v>
      </c>
      <c r="G1" s="238" t="s">
        <v>339</v>
      </c>
      <c r="H1" s="238" t="s">
        <v>340</v>
      </c>
    </row>
    <row r="2" spans="1:11" x14ac:dyDescent="0.25">
      <c r="A2" s="237">
        <v>54</v>
      </c>
      <c r="B2" s="237" t="s">
        <v>348</v>
      </c>
      <c r="C2" s="237" t="s">
        <v>344</v>
      </c>
      <c r="D2" s="239">
        <v>0.17499999999999999</v>
      </c>
      <c r="E2" s="71">
        <v>0.3</v>
      </c>
      <c r="F2" s="237">
        <f>Empleados!L5</f>
        <v>-0.31299999999999994</v>
      </c>
      <c r="G2" s="50">
        <f>Empleados!M5</f>
        <v>-5.0079999999999991</v>
      </c>
      <c r="H2" s="50">
        <f>Empleados!N5</f>
        <v>-35.055999999999997</v>
      </c>
    </row>
    <row r="3" spans="1:11" x14ac:dyDescent="0.25">
      <c r="A3" s="237">
        <v>55</v>
      </c>
      <c r="B3" s="237" t="s">
        <v>349</v>
      </c>
      <c r="C3" s="237" t="s">
        <v>344</v>
      </c>
      <c r="D3" s="71">
        <v>0.35</v>
      </c>
      <c r="E3" s="71">
        <v>0.05</v>
      </c>
      <c r="F3" s="237">
        <f>Empleados!L9</f>
        <v>0.1120000000000001</v>
      </c>
      <c r="G3" s="50">
        <f>Empleados!M9</f>
        <v>1.7920000000000016</v>
      </c>
      <c r="H3" s="50">
        <f>Empleados!N9</f>
        <v>12.544000000000011</v>
      </c>
      <c r="K3" s="40">
        <f>SUM(H3:H13)</f>
        <v>163.744</v>
      </c>
    </row>
    <row r="4" spans="1:11" x14ac:dyDescent="0.25">
      <c r="A4" s="237">
        <v>56</v>
      </c>
      <c r="B4" s="237" t="s">
        <v>350</v>
      </c>
      <c r="C4" s="237" t="s">
        <v>345</v>
      </c>
      <c r="D4" s="71">
        <v>0.35</v>
      </c>
      <c r="E4" s="71">
        <v>0.05</v>
      </c>
      <c r="F4" s="237">
        <f>Empleados!L6</f>
        <v>0.16500000000000004</v>
      </c>
      <c r="G4" s="50">
        <f>Empleados!M6</f>
        <v>2.6400000000000006</v>
      </c>
      <c r="H4" s="50">
        <f>Empleados!N6</f>
        <v>18.480000000000004</v>
      </c>
      <c r="J4" s="40">
        <f>SUM(H4:H13)</f>
        <v>151.19999999999999</v>
      </c>
    </row>
    <row r="5" spans="1:11" x14ac:dyDescent="0.25">
      <c r="A5" s="237">
        <v>57</v>
      </c>
      <c r="B5" s="237" t="s">
        <v>351</v>
      </c>
      <c r="C5" s="237" t="s">
        <v>345</v>
      </c>
      <c r="D5" s="71">
        <v>0.35</v>
      </c>
      <c r="E5" s="71">
        <v>0.05</v>
      </c>
      <c r="F5" s="237">
        <f>F4</f>
        <v>0.16500000000000004</v>
      </c>
      <c r="G5" s="50">
        <f t="shared" ref="G5:H5" si="0">G4</f>
        <v>2.6400000000000006</v>
      </c>
      <c r="H5" s="50">
        <f t="shared" si="0"/>
        <v>18.480000000000004</v>
      </c>
      <c r="I5" s="40">
        <f>SUM(H5:H13)</f>
        <v>132.72</v>
      </c>
    </row>
    <row r="6" spans="1:11" x14ac:dyDescent="0.25">
      <c r="A6" s="237">
        <v>58</v>
      </c>
      <c r="B6" s="237" t="s">
        <v>352</v>
      </c>
      <c r="C6" s="237" t="s">
        <v>345</v>
      </c>
      <c r="D6" s="71">
        <v>0.35</v>
      </c>
      <c r="E6" s="71">
        <v>0.05</v>
      </c>
      <c r="F6" s="237">
        <f t="shared" ref="F6:F7" si="1">F5</f>
        <v>0.16500000000000004</v>
      </c>
      <c r="G6" s="50">
        <f t="shared" ref="G6:G7" si="2">G5</f>
        <v>2.6400000000000006</v>
      </c>
      <c r="H6" s="50">
        <f t="shared" ref="H6:H7" si="3">H5</f>
        <v>18.480000000000004</v>
      </c>
    </row>
    <row r="7" spans="1:11" x14ac:dyDescent="0.25">
      <c r="A7" s="237">
        <v>59</v>
      </c>
      <c r="B7" s="237" t="s">
        <v>353</v>
      </c>
      <c r="C7" s="237" t="s">
        <v>345</v>
      </c>
      <c r="D7" s="71">
        <v>0.35</v>
      </c>
      <c r="E7" s="71">
        <v>0.05</v>
      </c>
      <c r="F7" s="237">
        <f t="shared" si="1"/>
        <v>0.16500000000000004</v>
      </c>
      <c r="G7" s="50">
        <f t="shared" si="2"/>
        <v>2.6400000000000006</v>
      </c>
      <c r="H7" s="50">
        <f t="shared" si="3"/>
        <v>18.480000000000004</v>
      </c>
    </row>
    <row r="8" spans="1:11" x14ac:dyDescent="0.25">
      <c r="A8" s="237">
        <v>60</v>
      </c>
      <c r="B8" s="237" t="s">
        <v>354</v>
      </c>
      <c r="C8" s="237" t="s">
        <v>345</v>
      </c>
      <c r="D8" s="71">
        <v>0.35</v>
      </c>
      <c r="E8" s="71">
        <v>0.1</v>
      </c>
      <c r="F8" s="237">
        <f>Empleados!L8</f>
        <v>0.11499999999999999</v>
      </c>
      <c r="G8" s="237">
        <f>Empleados!M8</f>
        <v>1.8399999999999999</v>
      </c>
      <c r="H8" s="237">
        <f>Empleados!N8</f>
        <v>12.879999999999999</v>
      </c>
    </row>
    <row r="9" spans="1:11" x14ac:dyDescent="0.25">
      <c r="A9" s="237">
        <v>61</v>
      </c>
      <c r="B9" s="237" t="s">
        <v>355</v>
      </c>
      <c r="C9" s="237" t="s">
        <v>345</v>
      </c>
      <c r="D9" s="71">
        <v>0.35</v>
      </c>
      <c r="E9" s="71">
        <v>0.1</v>
      </c>
      <c r="F9" s="237">
        <f>F8</f>
        <v>0.11499999999999999</v>
      </c>
      <c r="G9" s="237">
        <f t="shared" ref="G9:H9" si="4">G8</f>
        <v>1.8399999999999999</v>
      </c>
      <c r="H9" s="237">
        <f t="shared" si="4"/>
        <v>12.879999999999999</v>
      </c>
    </row>
    <row r="10" spans="1:11" x14ac:dyDescent="0.25">
      <c r="A10" s="237">
        <v>62</v>
      </c>
      <c r="B10" s="237" t="s">
        <v>356</v>
      </c>
      <c r="C10" s="237" t="s">
        <v>345</v>
      </c>
      <c r="D10" s="71">
        <v>0.35</v>
      </c>
      <c r="E10" s="71">
        <v>0.1</v>
      </c>
      <c r="F10" s="237">
        <f t="shared" ref="F10:F13" si="5">F9</f>
        <v>0.11499999999999999</v>
      </c>
      <c r="G10" s="237">
        <f t="shared" ref="G10:G13" si="6">G9</f>
        <v>1.8399999999999999</v>
      </c>
      <c r="H10" s="237">
        <f t="shared" ref="H10:H13" si="7">H9</f>
        <v>12.879999999999999</v>
      </c>
    </row>
    <row r="11" spans="1:11" x14ac:dyDescent="0.25">
      <c r="A11" s="237">
        <v>63</v>
      </c>
      <c r="B11" s="237" t="s">
        <v>357</v>
      </c>
      <c r="C11" s="237" t="s">
        <v>345</v>
      </c>
      <c r="D11" s="71">
        <v>0.35</v>
      </c>
      <c r="E11" s="71">
        <v>0.1</v>
      </c>
      <c r="F11" s="237">
        <f t="shared" si="5"/>
        <v>0.11499999999999999</v>
      </c>
      <c r="G11" s="237">
        <f t="shared" si="6"/>
        <v>1.8399999999999999</v>
      </c>
      <c r="H11" s="237">
        <f t="shared" si="7"/>
        <v>12.879999999999999</v>
      </c>
    </row>
    <row r="12" spans="1:11" x14ac:dyDescent="0.25">
      <c r="A12" s="237">
        <v>64</v>
      </c>
      <c r="B12" s="237" t="s">
        <v>358</v>
      </c>
      <c r="C12" s="237" t="s">
        <v>345</v>
      </c>
      <c r="D12" s="71">
        <v>0.35</v>
      </c>
      <c r="E12" s="71">
        <v>0.1</v>
      </c>
      <c r="F12" s="237">
        <f t="shared" si="5"/>
        <v>0.11499999999999999</v>
      </c>
      <c r="G12" s="237">
        <f t="shared" si="6"/>
        <v>1.8399999999999999</v>
      </c>
      <c r="H12" s="237">
        <f t="shared" si="7"/>
        <v>12.879999999999999</v>
      </c>
    </row>
    <row r="13" spans="1:11" x14ac:dyDescent="0.25">
      <c r="A13" s="237">
        <v>65</v>
      </c>
      <c r="B13" s="237" t="s">
        <v>359</v>
      </c>
      <c r="C13" s="237" t="s">
        <v>345</v>
      </c>
      <c r="D13" s="71">
        <v>0.35</v>
      </c>
      <c r="E13" s="71">
        <v>0.1</v>
      </c>
      <c r="F13" s="237">
        <f t="shared" si="5"/>
        <v>0.11499999999999999</v>
      </c>
      <c r="G13" s="237">
        <f t="shared" si="6"/>
        <v>1.8399999999999999</v>
      </c>
      <c r="H13" s="237">
        <f t="shared" si="7"/>
        <v>12.879999999999999</v>
      </c>
    </row>
    <row r="14" spans="1:11" x14ac:dyDescent="0.25">
      <c r="A14" s="237">
        <v>66</v>
      </c>
      <c r="B14" s="237" t="s">
        <v>360</v>
      </c>
      <c r="C14" s="237" t="s">
        <v>345</v>
      </c>
      <c r="D14" s="239">
        <v>0.17499999999999999</v>
      </c>
      <c r="E14" s="71">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35"/>
  <sheetViews>
    <sheetView zoomScaleNormal="100" workbookViewId="0">
      <pane xSplit="4" ySplit="3" topLeftCell="E4" activePane="bottomRight" state="frozen"/>
      <selection pane="topRight" activeCell="E1" sqref="E1"/>
      <selection pane="bottomLeft" activeCell="A4" sqref="A4"/>
      <selection pane="bottomRight" activeCell="A12" sqref="A12"/>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2"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3">
        <v>42268</v>
      </c>
      <c r="AO1" t="s">
        <v>197</v>
      </c>
    </row>
    <row r="2" spans="1:45" x14ac:dyDescent="0.25">
      <c r="D2" s="33">
        <f ca="1">TODAY()</f>
        <v>43060</v>
      </c>
      <c r="I2" s="35">
        <f>AVERAGE(I4:I18)</f>
        <v>9.2799999999999994</v>
      </c>
      <c r="J2" s="35"/>
      <c r="N2" s="40">
        <f ca="1">AVERAGE(N4:N18)</f>
        <v>0.83868968174142011</v>
      </c>
      <c r="O2" s="35">
        <f>AVERAGE(O4:O18)</f>
        <v>7.2533333333333347</v>
      </c>
      <c r="Q2" s="35">
        <f>AVERAGE(Q4:Q18)</f>
        <v>5.5333333333333332</v>
      </c>
      <c r="R2" s="127">
        <f>AVERAGE(R4:R18)</f>
        <v>0.88573758796654745</v>
      </c>
      <c r="S2" s="127">
        <f>AVERAGE(S4:S18)</f>
        <v>0.9490699172458571</v>
      </c>
      <c r="T2" s="41">
        <f>SUM(T4:T18)</f>
        <v>1847600</v>
      </c>
      <c r="U2" s="41">
        <f>SUM(U4:U18)</f>
        <v>-17310</v>
      </c>
      <c r="V2" s="41">
        <f>SUM(V4:V18)</f>
        <v>345486</v>
      </c>
      <c r="W2" s="42">
        <f>T2/V2</f>
        <v>5.3478288555831499</v>
      </c>
      <c r="AD2" s="40">
        <f>AVERAGE(AD4:AD18)</f>
        <v>12.530740740740738</v>
      </c>
      <c r="AE2" s="36">
        <f>AVERAGE(AE4:AE18)</f>
        <v>1607.2666666666667</v>
      </c>
      <c r="AF2" s="36"/>
      <c r="AK2" s="35"/>
      <c r="AL2" s="35"/>
      <c r="AM2" s="35"/>
      <c r="AN2" s="35"/>
      <c r="AO2" s="35">
        <f>AVERAGE(AO4:AO32)</f>
        <v>1.9310344827586208</v>
      </c>
      <c r="AP2" s="35"/>
      <c r="AQ2" s="35">
        <f>AVERAGE(AQ4:AQ32)</f>
        <v>1.896551724137931</v>
      </c>
    </row>
    <row r="3" spans="1:45" x14ac:dyDescent="0.25">
      <c r="A3" s="11" t="s">
        <v>1</v>
      </c>
      <c r="B3" s="11" t="s">
        <v>2</v>
      </c>
      <c r="C3" s="12" t="s">
        <v>198</v>
      </c>
      <c r="D3" s="13" t="s">
        <v>182</v>
      </c>
      <c r="E3" s="11" t="s">
        <v>4</v>
      </c>
      <c r="F3" s="11" t="s">
        <v>5</v>
      </c>
      <c r="G3" s="11" t="s">
        <v>6</v>
      </c>
      <c r="H3" s="11" t="s">
        <v>7</v>
      </c>
      <c r="I3" s="11" t="s">
        <v>8</v>
      </c>
      <c r="J3" s="11" t="s">
        <v>185</v>
      </c>
      <c r="K3" s="14" t="s">
        <v>52</v>
      </c>
      <c r="L3" s="14" t="s">
        <v>51</v>
      </c>
      <c r="M3" s="11" t="s">
        <v>194</v>
      </c>
      <c r="N3" s="11" t="s">
        <v>104</v>
      </c>
      <c r="O3" s="11" t="s">
        <v>9</v>
      </c>
      <c r="P3" s="11" t="s">
        <v>10</v>
      </c>
      <c r="Q3" s="11" t="s">
        <v>11</v>
      </c>
      <c r="R3" s="53" t="s">
        <v>102</v>
      </c>
      <c r="S3" s="53" t="s">
        <v>103</v>
      </c>
      <c r="T3" s="11" t="s">
        <v>12</v>
      </c>
      <c r="U3" s="11" t="s">
        <v>223</v>
      </c>
      <c r="V3" s="11" t="s">
        <v>13</v>
      </c>
      <c r="W3" s="11" t="s">
        <v>14</v>
      </c>
      <c r="X3" s="11" t="s">
        <v>15</v>
      </c>
      <c r="Y3" s="11" t="s">
        <v>16</v>
      </c>
      <c r="Z3" s="11" t="s">
        <v>17</v>
      </c>
      <c r="AA3" s="11" t="s">
        <v>18</v>
      </c>
      <c r="AB3" s="11" t="s">
        <v>19</v>
      </c>
      <c r="AC3" s="11" t="s">
        <v>20</v>
      </c>
      <c r="AD3" s="11" t="s">
        <v>6</v>
      </c>
      <c r="AE3" s="11" t="s">
        <v>21</v>
      </c>
      <c r="AF3" s="11" t="s">
        <v>403</v>
      </c>
      <c r="AG3" s="15" t="s">
        <v>26</v>
      </c>
      <c r="AH3" s="15" t="s">
        <v>27</v>
      </c>
      <c r="AI3" s="15" t="s">
        <v>186</v>
      </c>
      <c r="AJ3" s="15" t="s">
        <v>187</v>
      </c>
      <c r="AK3" s="15" t="s">
        <v>22</v>
      </c>
      <c r="AL3" s="15" t="s">
        <v>23</v>
      </c>
      <c r="AM3" s="15" t="s">
        <v>24</v>
      </c>
      <c r="AN3" s="15" t="s">
        <v>25</v>
      </c>
      <c r="AO3" s="11" t="s">
        <v>195</v>
      </c>
      <c r="AP3" s="11" t="s">
        <v>191</v>
      </c>
      <c r="AQ3" s="11" t="s">
        <v>192</v>
      </c>
      <c r="AR3" s="11" t="s">
        <v>193</v>
      </c>
      <c r="AS3" s="37" t="s">
        <v>368</v>
      </c>
    </row>
    <row r="4" spans="1:45" x14ac:dyDescent="0.25">
      <c r="A4" s="16" t="s">
        <v>29</v>
      </c>
      <c r="B4" s="16" t="s">
        <v>28</v>
      </c>
      <c r="C4" s="132">
        <f ca="1">((33*112)-(E4*112)-(F4))/112</f>
        <v>2.7767857142857144</v>
      </c>
      <c r="D4" s="31" t="s">
        <v>47</v>
      </c>
      <c r="E4" s="18">
        <v>30</v>
      </c>
      <c r="F4" s="19">
        <f ca="1">17+D2-D1-112-112-112-112-112-112-112</f>
        <v>25</v>
      </c>
      <c r="G4" s="20"/>
      <c r="H4" s="5">
        <v>2</v>
      </c>
      <c r="I4" s="30">
        <v>10.6</v>
      </c>
      <c r="J4" s="24">
        <f>LOG(I4)*4/3</f>
        <v>1.3670744870196936</v>
      </c>
      <c r="K4" s="7">
        <f t="shared" ref="K4:K14" si="0">(H4)*(H4)*(I4)</f>
        <v>42.4</v>
      </c>
      <c r="L4" s="7">
        <f t="shared" ref="L4:L14" si="1">(H4+1)*(H4+1)*I4</f>
        <v>95.399999999999991</v>
      </c>
      <c r="M4" s="146">
        <v>42200</v>
      </c>
      <c r="N4" s="147">
        <f ca="1">IF((TODAY()-M4)&gt;335,1,((TODAY()-M4)^0.64)/(336^0.64))</f>
        <v>1</v>
      </c>
      <c r="O4" s="21">
        <v>7.9</v>
      </c>
      <c r="P4" s="22">
        <f>O4*10+19</f>
        <v>98</v>
      </c>
      <c r="Q4" s="22">
        <v>7</v>
      </c>
      <c r="R4" s="126">
        <f>(Q4/7)^0.5</f>
        <v>1</v>
      </c>
      <c r="S4" s="126">
        <f>IF(Q4=7,1,((Q4+0.99)/7)^0.5)</f>
        <v>1</v>
      </c>
      <c r="T4" s="32">
        <v>54020</v>
      </c>
      <c r="U4" s="32">
        <f>T4-AS4</f>
        <v>-1930</v>
      </c>
      <c r="V4" s="32">
        <v>16820</v>
      </c>
      <c r="W4" s="9">
        <f t="shared" ref="W4:W8" si="2">T4/V4</f>
        <v>3.211652794292509</v>
      </c>
      <c r="X4" s="23">
        <v>14</v>
      </c>
      <c r="Y4" s="24">
        <f>11+1/15</f>
        <v>11.066666666666666</v>
      </c>
      <c r="Z4" s="23">
        <f>0+0.05+0.04+0.03+0.02+0.02+0.02</f>
        <v>0.17999999999999997</v>
      </c>
      <c r="AA4" s="24">
        <f>0+0.01</f>
        <v>0.01</v>
      </c>
      <c r="AB4" s="23">
        <f>0.74+0.09+0.09+0.09+0.09+0.09+0.08+0.08+0.05+0.05+0.05+0.05+0.05+0.05+0.05+0.05+0.05+0.05+0.05+0.05+0.05+0.05+0.05+0.05+0.03+0.03+0.02+0.02+0.02+0.02+0.02+0.01+0.01</f>
        <v>2.3299999999999996</v>
      </c>
      <c r="AC4" s="24">
        <f>0.12+0.08+0.08+0.08+0.08+0.08+0.08+0.08+0.08+0.08+0.08+0.08+0.08+0.08+0.08+0.08+0.08+0.05+0.05+0.05+0.05+0.05+0.03+0.03+0.03+0.03+0.03+0.01</f>
        <v>1.8100000000000005</v>
      </c>
      <c r="AD4" s="23">
        <f>19+0.15</f>
        <v>19.149999999999999</v>
      </c>
      <c r="AE4" s="10">
        <v>1284</v>
      </c>
      <c r="AF4" s="10"/>
      <c r="AG4" s="25">
        <f ca="1">(AD4+1+(LOG(I4)*4/3)+N4)*(Q4/7)^0.5</f>
        <v>22.517074487019691</v>
      </c>
      <c r="AH4" s="25">
        <f ca="1">(AD4+1+N4+(LOG(I4)*4/3))*(IF(Q4=7, (Q4/7)^0.5, ((Q4+1)/7)^0.5))</f>
        <v>22.517074487019691</v>
      </c>
      <c r="AI4" s="131">
        <f ca="1">(Z4+N4+(LOG(I4)*4/3))*(Q4/7)^0.5</f>
        <v>2.5470744870196933</v>
      </c>
      <c r="AJ4" s="131">
        <f ca="1">(Z4+N4+(LOG(I4)*4/3))*(IF(Q4=7, (Q4/7)^0.5, ((Q4+1)/7)^0.5))</f>
        <v>2.5470744870196933</v>
      </c>
      <c r="AK4" s="9">
        <f ca="1">(((Y4+LOG(I4)*4/3+N4)+(AB4+LOG(I4)*4/3+N4)*2)/8)*(Q4/7)^0.5</f>
        <v>2.8534862659657181</v>
      </c>
      <c r="AL4" s="9">
        <f ca="1">(AD4+LOG(I4)*4/3+N4)*0.7+(AC4+LOG(I4)*4/3+N4)*0.3</f>
        <v>16.315074487019693</v>
      </c>
      <c r="AM4" s="9">
        <f ca="1">(0.5*(AC4+LOG(I4)*4/3+N4)+ 0.3*(AD4+LOG(I4)*4/3+N4))/10</f>
        <v>0.8543659589615753</v>
      </c>
      <c r="AN4" s="9">
        <f ca="1">(0.4*(Y4+LOG(I4)*4/3+N4)+0.3*(AD4+LOG(I4)*4/3+N4))/10</f>
        <v>1.1828618807580451</v>
      </c>
      <c r="AO4" s="22">
        <v>2</v>
      </c>
      <c r="AP4" s="22">
        <v>2</v>
      </c>
      <c r="AQ4" s="22">
        <v>3</v>
      </c>
      <c r="AR4" s="145">
        <f>IF(AP4=4,IF(AQ4=0,0.137+0.0697,0.137+0.02),IF(AP4=3,IF(AQ4=0,0.0958+0.0697,0.0958+0.02),IF(AP4=2,IF(AQ4=0,0.0415+0.0697,0.0415+0.02),IF(AP4=1,IF(AQ4=0,0.0294+0.0697,0.0294+0.02),IF(AP4=0,IF(AQ4=0,0.0063+0.0697,0.0063+0.02))))))</f>
        <v>6.1499999999999999E-2</v>
      </c>
      <c r="AS4">
        <v>55950</v>
      </c>
    </row>
    <row r="5" spans="1:45" x14ac:dyDescent="0.25">
      <c r="A5" s="16" t="s">
        <v>32</v>
      </c>
      <c r="B5" s="16" t="s">
        <v>30</v>
      </c>
      <c r="C5" s="132">
        <f t="shared" ref="C5:C18" ca="1" si="3">((33*112)-(E5*112)-(F5))/112</f>
        <v>1.0446428571428572</v>
      </c>
      <c r="D5" s="31" t="s">
        <v>245</v>
      </c>
      <c r="E5" s="18">
        <v>31</v>
      </c>
      <c r="F5" s="19">
        <f ca="1">72+D2-D1-112-112-112-112-112+17-112-112+10</f>
        <v>107</v>
      </c>
      <c r="G5" s="20" t="s">
        <v>74</v>
      </c>
      <c r="H5" s="5">
        <v>3</v>
      </c>
      <c r="I5" s="30">
        <v>9.6999999999999993</v>
      </c>
      <c r="J5" s="24">
        <f t="shared" ref="J5:J18" si="4">LOG(I5)*4/3</f>
        <v>1.3156956456883264</v>
      </c>
      <c r="K5" s="7">
        <f t="shared" si="0"/>
        <v>87.3</v>
      </c>
      <c r="L5" s="7">
        <f t="shared" si="1"/>
        <v>155.19999999999999</v>
      </c>
      <c r="M5" s="146">
        <v>42828</v>
      </c>
      <c r="N5" s="147">
        <f t="shared" ref="N5:N18" ca="1" si="5">IF((TODAY()-M5)&gt;335,1,((TODAY()-M5)^0.64)/(336^0.64))</f>
        <v>0.78896034082788147</v>
      </c>
      <c r="O5" s="21">
        <v>7.2</v>
      </c>
      <c r="P5" s="22">
        <f t="shared" ref="P5:P6" si="6">O5*10+19</f>
        <v>91</v>
      </c>
      <c r="Q5" s="22">
        <v>5</v>
      </c>
      <c r="R5" s="126">
        <f t="shared" ref="R5:R18" si="7">(Q5/7)^0.5</f>
        <v>0.84515425472851657</v>
      </c>
      <c r="S5" s="126">
        <f t="shared" ref="S5:S18" si="8">IF(Q5=7,1,((Q5+0.99)/7)^0.5)</f>
        <v>0.92504826128926143</v>
      </c>
      <c r="T5" s="32">
        <v>79620</v>
      </c>
      <c r="U5" s="32">
        <f t="shared" ref="U5:U18" si="9">T5-AS5</f>
        <v>-930</v>
      </c>
      <c r="V5" s="32">
        <v>18012</v>
      </c>
      <c r="W5" s="9">
        <f t="shared" si="2"/>
        <v>4.420386409060626</v>
      </c>
      <c r="X5" s="23">
        <v>0</v>
      </c>
      <c r="Y5" s="24">
        <v>14</v>
      </c>
      <c r="Z5" s="23">
        <f>7+0.1+0.01</f>
        <v>7.1099999999999994</v>
      </c>
      <c r="AA5" s="24">
        <f>11+1/14*0.5</f>
        <v>11.035714285714286</v>
      </c>
      <c r="AB5" s="23">
        <f>7+0.01+0.01+0.01+0.01+0.01</f>
        <v>7.0499999999999989</v>
      </c>
      <c r="AC5" s="24">
        <f>2+0.01</f>
        <v>2.0099999999999998</v>
      </c>
      <c r="AD5" s="23">
        <f>15+1/6+1/6</f>
        <v>15.333333333333332</v>
      </c>
      <c r="AE5" s="10">
        <v>1650</v>
      </c>
      <c r="AF5" s="10"/>
      <c r="AG5" s="25">
        <f t="shared" ref="AG5:AG18" ca="1" si="10">(AD5+1+(LOG(I5)*4/3)+N5)*(Q5/7)^0.5</f>
        <v>15.582945122309786</v>
      </c>
      <c r="AH5" s="25">
        <f t="shared" ref="AH5:AH18" ca="1" si="11">(AD5+1+N5+(LOG(I5)*4/3))*(IF(Q5=7, (Q5/7)^0.5, ((Q5+1)/7)^0.5))</f>
        <v>17.070261111708337</v>
      </c>
      <c r="AI5" s="131">
        <f t="shared" ref="AI5:AI18" ca="1" si="12">(Z5+N5+(LOG(I5)*4/3))*(Q5/7)^0.5</f>
        <v>7.7878057128637694</v>
      </c>
      <c r="AJ5" s="131">
        <f t="shared" ref="AJ5:AJ18" ca="1" si="13">(Z5+N5+(LOG(I5)*4/3))*(IF(Q5=7, (Q5/7)^0.5, ((Q5+1)/7)^0.5))</f>
        <v>8.5311137248061737</v>
      </c>
      <c r="AK5" s="9">
        <f t="shared" ref="AK5:AK18" ca="1" si="14">(((Y5+LOG(I5)*4/3+N5)+(AB5+LOG(I5)*4/3+N5)*2)/8)*(Q5/7)^0.5</f>
        <v>3.6356389303879197</v>
      </c>
      <c r="AL5" s="9">
        <f t="shared" ref="AL5:AL18" ca="1" si="15">(AD5+LOG(I5)*4/3+N5)*0.7+(AC5+LOG(I5)*4/3+N5)*0.3</f>
        <v>13.440989319849539</v>
      </c>
      <c r="AM5" s="9">
        <f t="shared" ref="AM5:AM18" ca="1" si="16">(0.5*(AC5+LOG(I5)*4/3+N5)+ 0.3*(AD5+LOG(I5)*4/3+N5))/10</f>
        <v>0.72887247892129658</v>
      </c>
      <c r="AN5" s="9">
        <f t="shared" ref="AN5:AN18" ca="1" si="17">(0.4*(Y5+LOG(I5)*4/3+N5)+0.3*(AD5+LOG(I5)*4/3+N5))/10</f>
        <v>1.1673259190561345</v>
      </c>
      <c r="AO5" s="22">
        <v>2</v>
      </c>
      <c r="AP5" s="22">
        <v>1</v>
      </c>
      <c r="AQ5" s="22">
        <v>3</v>
      </c>
      <c r="AR5" s="145">
        <f t="shared" ref="AR5:AR19" si="18">IF(AP5=4,IF(AQ5=0,0.137+0.0697,0.137+0.02),IF(AP5=3,IF(AQ5=0,0.0958+0.0697,0.0958+0.02),IF(AP5=2,IF(AQ5=0,0.0415+0.0697,0.0415+0.02),IF(AP5=1,IF(AQ5=0,0.0294+0.0697,0.0294+0.02),IF(AP5=0,IF(AQ5=0,0.0063+0.0697,0.0063+0.02))))))</f>
        <v>4.9399999999999999E-2</v>
      </c>
      <c r="AS5">
        <v>80550</v>
      </c>
    </row>
    <row r="6" spans="1:45" x14ac:dyDescent="0.25">
      <c r="A6" s="16" t="s">
        <v>33</v>
      </c>
      <c r="B6" s="26" t="s">
        <v>30</v>
      </c>
      <c r="C6" s="132">
        <f t="shared" ca="1" si="3"/>
        <v>1.2410714285714286</v>
      </c>
      <c r="D6" s="1" t="s">
        <v>244</v>
      </c>
      <c r="E6" s="2">
        <v>31</v>
      </c>
      <c r="F6" s="3">
        <f ca="1">16+D2-D1-112-51-112-112-112-112-112</f>
        <v>85</v>
      </c>
      <c r="G6" s="4"/>
      <c r="H6" s="5">
        <v>3</v>
      </c>
      <c r="I6" s="6">
        <v>9.1</v>
      </c>
      <c r="J6" s="24">
        <f t="shared" si="4"/>
        <v>1.2787218564281246</v>
      </c>
      <c r="K6" s="7">
        <f t="shared" si="0"/>
        <v>81.899999999999991</v>
      </c>
      <c r="L6" s="7">
        <f t="shared" si="1"/>
        <v>145.6</v>
      </c>
      <c r="M6" s="146">
        <v>42799</v>
      </c>
      <c r="N6" s="147">
        <f t="shared" ca="1" si="5"/>
        <v>0.85073203567711786</v>
      </c>
      <c r="O6" s="27">
        <v>7.1</v>
      </c>
      <c r="P6" s="22">
        <f t="shared" si="6"/>
        <v>90</v>
      </c>
      <c r="Q6" s="28">
        <v>6</v>
      </c>
      <c r="R6" s="126">
        <f t="shared" si="7"/>
        <v>0.92582009977255142</v>
      </c>
      <c r="S6" s="126">
        <f t="shared" si="8"/>
        <v>0.99928545900129484</v>
      </c>
      <c r="T6" s="32">
        <v>82940</v>
      </c>
      <c r="U6" s="32">
        <f t="shared" si="9"/>
        <v>910</v>
      </c>
      <c r="V6" s="8">
        <v>13584</v>
      </c>
      <c r="W6" s="9">
        <f t="shared" si="2"/>
        <v>6.1057126030624262</v>
      </c>
      <c r="X6" s="23">
        <v>0</v>
      </c>
      <c r="Y6" s="24">
        <f>13+1/20</f>
        <v>13.05</v>
      </c>
      <c r="Z6" s="23">
        <f>3+0.12+0.12*0.5</f>
        <v>3.18</v>
      </c>
      <c r="AA6" s="24">
        <f>12+1/15*0.5</f>
        <v>12.033333333333333</v>
      </c>
      <c r="AB6" s="23">
        <f>9+0.01+0.01+0.01+0.01</f>
        <v>9.0399999999999991</v>
      </c>
      <c r="AC6" s="24">
        <f>4+0.01</f>
        <v>4.01</v>
      </c>
      <c r="AD6" s="23">
        <v>10</v>
      </c>
      <c r="AE6" s="10">
        <v>1507</v>
      </c>
      <c r="AF6" s="10"/>
      <c r="AG6" s="25">
        <f t="shared" ca="1" si="10"/>
        <v>12.155512312347987</v>
      </c>
      <c r="AH6" s="25">
        <f t="shared" ca="1" si="11"/>
        <v>13.129453892105241</v>
      </c>
      <c r="AI6" s="131">
        <f t="shared" ca="1" si="12"/>
        <v>4.915599132126637</v>
      </c>
      <c r="AJ6" s="131">
        <f t="shared" ca="1" si="13"/>
        <v>5.3094538921052425</v>
      </c>
      <c r="AK6" s="9">
        <f t="shared" ca="1" si="14"/>
        <v>4.3419066688086616</v>
      </c>
      <c r="AL6" s="9">
        <f t="shared" ca="1" si="15"/>
        <v>10.332453892105242</v>
      </c>
      <c r="AM6" s="9">
        <f t="shared" ca="1" si="16"/>
        <v>0.67085631136841939</v>
      </c>
      <c r="AN6" s="9">
        <f t="shared" ca="1" si="17"/>
        <v>0.97106177244736691</v>
      </c>
      <c r="AO6" s="22">
        <v>3</v>
      </c>
      <c r="AP6" s="22">
        <v>0</v>
      </c>
      <c r="AQ6" s="22">
        <v>3</v>
      </c>
      <c r="AR6" s="145">
        <f t="shared" si="18"/>
        <v>2.63E-2</v>
      </c>
      <c r="AS6">
        <v>82030</v>
      </c>
    </row>
    <row r="7" spans="1:45" x14ac:dyDescent="0.25">
      <c r="A7" s="16" t="s">
        <v>41</v>
      </c>
      <c r="B7" s="16" t="s">
        <v>30</v>
      </c>
      <c r="C7" s="132">
        <f t="shared" ca="1" si="3"/>
        <v>1.7410714285714286</v>
      </c>
      <c r="D7" s="1" t="s">
        <v>247</v>
      </c>
      <c r="E7" s="2">
        <v>31</v>
      </c>
      <c r="F7" s="3">
        <f ca="1">8-659+D2-D1-112</f>
        <v>29</v>
      </c>
      <c r="G7" s="4"/>
      <c r="H7" s="5">
        <v>2</v>
      </c>
      <c r="I7" s="6">
        <v>8.9</v>
      </c>
      <c r="J7" s="24">
        <f t="shared" si="4"/>
        <v>1.265853342193217</v>
      </c>
      <c r="K7" s="7">
        <f t="shared" ref="K7" si="19">(H7)*(H7)*(I7)</f>
        <v>35.6</v>
      </c>
      <c r="L7" s="7">
        <f t="shared" ref="L7" si="20">(H7+1)*(H7+1)*I7</f>
        <v>80.100000000000009</v>
      </c>
      <c r="M7" s="146">
        <v>42948</v>
      </c>
      <c r="N7" s="147">
        <f t="shared" ca="1" si="5"/>
        <v>0.49504239939036226</v>
      </c>
      <c r="O7" s="27">
        <v>7</v>
      </c>
      <c r="P7" s="22">
        <f t="shared" ref="P7:P8" si="21">O7*10+19</f>
        <v>89</v>
      </c>
      <c r="Q7" s="28">
        <v>6</v>
      </c>
      <c r="R7" s="126">
        <f t="shared" ref="R7" si="22">(Q7/7)^0.5</f>
        <v>0.92582009977255142</v>
      </c>
      <c r="S7" s="126">
        <f t="shared" ref="S7" si="23">IF(Q7=7,1,((Q7+0.99)/7)^0.5)</f>
        <v>0.99928545900129484</v>
      </c>
      <c r="T7" s="32">
        <v>89240</v>
      </c>
      <c r="U7" s="32">
        <f t="shared" si="9"/>
        <v>1580</v>
      </c>
      <c r="V7" s="8">
        <v>21540</v>
      </c>
      <c r="W7" s="9">
        <f t="shared" si="2"/>
        <v>4.1429897864438257</v>
      </c>
      <c r="X7" s="23">
        <v>0</v>
      </c>
      <c r="Y7" s="24">
        <v>14</v>
      </c>
      <c r="Z7" s="23">
        <f>5+0.02</f>
        <v>5.0199999999999996</v>
      </c>
      <c r="AA7" s="24">
        <f>10+0.01</f>
        <v>10.01</v>
      </c>
      <c r="AB7" s="23">
        <f>9+0.01+0.01+0.01+0.01</f>
        <v>9.0399999999999991</v>
      </c>
      <c r="AC7" s="24">
        <f>1+0.01</f>
        <v>1.01</v>
      </c>
      <c r="AD7" s="23">
        <f>13+0.2</f>
        <v>13.2</v>
      </c>
      <c r="AE7" s="10">
        <v>1551</v>
      </c>
      <c r="AF7" s="10"/>
      <c r="AG7" s="25">
        <f t="shared" ca="1" si="10"/>
        <v>14.7769180879322</v>
      </c>
      <c r="AH7" s="25">
        <f t="shared" ca="1" si="11"/>
        <v>15.960895741583579</v>
      </c>
      <c r="AI7" s="131">
        <f t="shared" ca="1" si="12"/>
        <v>6.2778895720201779</v>
      </c>
      <c r="AJ7" s="131">
        <f t="shared" ca="1" si="13"/>
        <v>6.7808957415835787</v>
      </c>
      <c r="AK7" s="9">
        <f t="shared" ca="1" si="14"/>
        <v>4.3238908517736698</v>
      </c>
      <c r="AL7" s="9">
        <f t="shared" ca="1" si="15"/>
        <v>11.303895741583577</v>
      </c>
      <c r="AM7" s="9">
        <f t="shared" ca="1" si="16"/>
        <v>0.58737165932668634</v>
      </c>
      <c r="AN7" s="9">
        <f t="shared" ca="1" si="17"/>
        <v>1.0792627019108505</v>
      </c>
      <c r="AO7" s="22">
        <v>2</v>
      </c>
      <c r="AP7" s="22">
        <v>3</v>
      </c>
      <c r="AQ7" s="22">
        <v>2</v>
      </c>
      <c r="AR7" s="145">
        <f t="shared" ref="AR7:AR13" si="24">IF(AP7=4,IF(AQ7=0,0.137+0.0697,0.137+0.02),IF(AP7=3,IF(AQ7=0,0.0958+0.0697,0.0958+0.02),IF(AP7=2,IF(AQ7=0,0.0415+0.0697,0.0415+0.02),IF(AP7=1,IF(AQ7=0,0.0294+0.0697,0.0294+0.02),IF(AP7=0,IF(AQ7=0,0.0063+0.0697,0.0063+0.02))))))</f>
        <v>0.1158</v>
      </c>
      <c r="AS7">
        <v>87660</v>
      </c>
    </row>
    <row r="8" spans="1:45" x14ac:dyDescent="0.25">
      <c r="A8" s="16" t="s">
        <v>31</v>
      </c>
      <c r="B8" s="26" t="s">
        <v>30</v>
      </c>
      <c r="C8" s="132">
        <f t="shared" ca="1" si="3"/>
        <v>1.8928571428571428</v>
      </c>
      <c r="D8" s="1" t="s">
        <v>246</v>
      </c>
      <c r="E8" s="2">
        <v>31</v>
      </c>
      <c r="F8" s="3">
        <f ca="1">8-659-17+D2-D1-112</f>
        <v>12</v>
      </c>
      <c r="G8" s="4"/>
      <c r="H8" s="5">
        <v>3</v>
      </c>
      <c r="I8" s="6">
        <v>8.3000000000000007</v>
      </c>
      <c r="J8" s="24">
        <f t="shared" si="4"/>
        <v>1.2254374565014319</v>
      </c>
      <c r="K8" s="7">
        <f t="shared" ref="K8" si="25">(H8)*(H8)*(I8)</f>
        <v>74.7</v>
      </c>
      <c r="L8" s="7">
        <f t="shared" ref="L8" si="26">(H8+1)*(H8+1)*I8</f>
        <v>132.80000000000001</v>
      </c>
      <c r="M8" s="146">
        <v>42869</v>
      </c>
      <c r="N8" s="147">
        <f t="shared" ca="1" si="5"/>
        <v>0.69663327920453078</v>
      </c>
      <c r="O8" s="27">
        <v>7</v>
      </c>
      <c r="P8" s="22">
        <f t="shared" si="21"/>
        <v>89</v>
      </c>
      <c r="Q8" s="28">
        <v>5</v>
      </c>
      <c r="R8" s="126">
        <f t="shared" ref="R8" si="27">(Q8/7)^0.5</f>
        <v>0.84515425472851657</v>
      </c>
      <c r="S8" s="126">
        <f t="shared" ref="S8" si="28">IF(Q8=7,1,((Q8+0.99)/7)^0.5)</f>
        <v>0.92504826128926143</v>
      </c>
      <c r="T8" s="32">
        <v>63860</v>
      </c>
      <c r="U8" s="32">
        <f t="shared" si="9"/>
        <v>2800</v>
      </c>
      <c r="V8" s="8">
        <v>20832</v>
      </c>
      <c r="W8" s="9">
        <f t="shared" si="2"/>
        <v>3.0654761904761907</v>
      </c>
      <c r="X8" s="23">
        <v>0</v>
      </c>
      <c r="Y8" s="24">
        <v>14</v>
      </c>
      <c r="Z8" s="23">
        <f>3+0.02</f>
        <v>3.02</v>
      </c>
      <c r="AA8" s="24">
        <f>3+0.01</f>
        <v>3.01</v>
      </c>
      <c r="AB8" s="23">
        <f>10+0.01</f>
        <v>10.01</v>
      </c>
      <c r="AC8" s="24">
        <v>3</v>
      </c>
      <c r="AD8" s="23">
        <v>17</v>
      </c>
      <c r="AE8" s="10">
        <v>1493</v>
      </c>
      <c r="AF8" s="10"/>
      <c r="AG8" s="25">
        <f t="shared" ca="1" si="10"/>
        <v>16.837222845284362</v>
      </c>
      <c r="AH8" s="25">
        <f t="shared" ca="1" si="11"/>
        <v>18.44425351620712</v>
      </c>
      <c r="AI8" s="131">
        <f t="shared" ca="1" si="12"/>
        <v>4.176812109451185</v>
      </c>
      <c r="AJ8" s="131">
        <f t="shared" ca="1" si="13"/>
        <v>4.5754684216143016</v>
      </c>
      <c r="AK8" s="9">
        <f t="shared" ca="1" si="14"/>
        <v>4.2031858157971653</v>
      </c>
      <c r="AL8" s="9">
        <f t="shared" ca="1" si="15"/>
        <v>14.722070735705961</v>
      </c>
      <c r="AM8" s="9">
        <f t="shared" ca="1" si="16"/>
        <v>0.813765658856477</v>
      </c>
      <c r="AN8" s="9">
        <f t="shared" ca="1" si="17"/>
        <v>1.2045449514994173</v>
      </c>
      <c r="AO8" s="22">
        <v>1</v>
      </c>
      <c r="AP8" s="22">
        <v>2</v>
      </c>
      <c r="AQ8" s="22">
        <v>3</v>
      </c>
      <c r="AR8" s="145">
        <f t="shared" si="24"/>
        <v>6.1499999999999999E-2</v>
      </c>
      <c r="AS8">
        <v>61060</v>
      </c>
    </row>
    <row r="9" spans="1:45" x14ac:dyDescent="0.25">
      <c r="A9" s="16" t="s">
        <v>35</v>
      </c>
      <c r="B9" s="26" t="s">
        <v>30</v>
      </c>
      <c r="C9" s="132">
        <f t="shared" ca="1" si="3"/>
        <v>0.42857142857142855</v>
      </c>
      <c r="D9" s="1" t="s">
        <v>243</v>
      </c>
      <c r="E9" s="2">
        <v>32</v>
      </c>
      <c r="F9" s="3">
        <f ca="1">51+D2-D1-112-27-112+36+37-112-112-41-112-112-112</f>
        <v>64</v>
      </c>
      <c r="G9" s="4" t="s">
        <v>0</v>
      </c>
      <c r="H9" s="5">
        <v>3</v>
      </c>
      <c r="I9" s="6">
        <v>10.9</v>
      </c>
      <c r="J9" s="24">
        <f t="shared" ref="J9" si="29">LOG(I9)*4/3</f>
        <v>1.383235330587498</v>
      </c>
      <c r="K9" s="7">
        <f>(H9)*(H9)*(I9)</f>
        <v>98.100000000000009</v>
      </c>
      <c r="L9" s="7">
        <f>(H9+1)*(H9+1)*I9</f>
        <v>174.4</v>
      </c>
      <c r="M9" s="146">
        <v>42742</v>
      </c>
      <c r="N9" s="147">
        <f ca="1">IF((TODAY()-M9)&gt;335,1,((TODAY()-M9)^0.64)/(336^0.64))</f>
        <v>0.96537538102931275</v>
      </c>
      <c r="O9" s="27">
        <v>6.9</v>
      </c>
      <c r="P9" s="22">
        <f>O9*10+19</f>
        <v>88</v>
      </c>
      <c r="Q9" s="28">
        <v>4</v>
      </c>
      <c r="R9" s="126">
        <f t="shared" ref="R9" si="30">(Q9/7)^0.5</f>
        <v>0.7559289460184544</v>
      </c>
      <c r="S9" s="126">
        <f t="shared" ref="S9" si="31">IF(Q9=7,1,((Q9+0.99)/7)^0.5)</f>
        <v>0.84430867747355465</v>
      </c>
      <c r="T9" s="32">
        <v>81390</v>
      </c>
      <c r="U9" s="32">
        <f t="shared" si="9"/>
        <v>-1940</v>
      </c>
      <c r="V9" s="8">
        <v>21960</v>
      </c>
      <c r="W9" s="9">
        <f>T9/V9</f>
        <v>3.7062841530054644</v>
      </c>
      <c r="X9" s="23">
        <v>0</v>
      </c>
      <c r="Y9" s="24">
        <f>15+1/35</f>
        <v>15.028571428571428</v>
      </c>
      <c r="Z9" s="23">
        <v>12</v>
      </c>
      <c r="AA9" s="24">
        <f>2+0.01</f>
        <v>2.0099999999999998</v>
      </c>
      <c r="AB9" s="23">
        <f>7+1/7+0.01+0.01+0.01+0.01</f>
        <v>7.1828571428571424</v>
      </c>
      <c r="AC9" s="24">
        <v>3.99</v>
      </c>
      <c r="AD9" s="23">
        <f>14+0.2+0.2</f>
        <v>14.399999999999999</v>
      </c>
      <c r="AE9" s="10">
        <v>1825</v>
      </c>
      <c r="AF9" s="10"/>
      <c r="AG9" s="25">
        <f t="shared" ca="1" si="10"/>
        <v>13.416688588524345</v>
      </c>
      <c r="AH9" s="25">
        <f t="shared" ca="1" si="11"/>
        <v>15.00031385844307</v>
      </c>
      <c r="AI9" s="131">
        <f t="shared" ca="1" si="12"/>
        <v>10.8465301720616</v>
      </c>
      <c r="AJ9" s="131">
        <f t="shared" ca="1" si="13"/>
        <v>12.126789392366115</v>
      </c>
      <c r="AK9" s="9">
        <f t="shared" ca="1" si="14"/>
        <v>3.4432674848107192</v>
      </c>
      <c r="AL9" s="9">
        <f t="shared" ca="1" si="15"/>
        <v>13.62561071161681</v>
      </c>
      <c r="AM9" s="9">
        <f t="shared" ca="1" si="16"/>
        <v>0.81938885692934493</v>
      </c>
      <c r="AN9" s="9">
        <f t="shared" ca="1" si="17"/>
        <v>1.197545606956034</v>
      </c>
      <c r="AO9" s="22">
        <v>3</v>
      </c>
      <c r="AP9" s="22">
        <v>2</v>
      </c>
      <c r="AQ9" s="22">
        <v>2</v>
      </c>
      <c r="AR9" s="145">
        <f t="shared" si="24"/>
        <v>6.1499999999999999E-2</v>
      </c>
      <c r="AS9">
        <v>83330</v>
      </c>
    </row>
    <row r="10" spans="1:45" x14ac:dyDescent="0.25">
      <c r="A10" s="16" t="s">
        <v>39</v>
      </c>
      <c r="B10" s="16" t="s">
        <v>30</v>
      </c>
      <c r="C10" s="132">
        <f ca="1">((33*112)-(E10*112)-(F10))/112</f>
        <v>1.1160714285714286</v>
      </c>
      <c r="D10" s="31" t="s">
        <v>416</v>
      </c>
      <c r="E10" s="18">
        <v>31</v>
      </c>
      <c r="F10" s="3">
        <f ca="1">51+D2-D1-112-27-112+36+37-112-112+24-112-112-30-112</f>
        <v>99</v>
      </c>
      <c r="G10" s="20" t="s">
        <v>190</v>
      </c>
      <c r="H10" s="5">
        <v>2</v>
      </c>
      <c r="I10" s="30">
        <v>9.1999999999999993</v>
      </c>
      <c r="J10" s="24">
        <f>LOG(I10)*4/3</f>
        <v>1.2850504364607402</v>
      </c>
      <c r="K10" s="7">
        <f>(H10)*(H10)*(I10)</f>
        <v>36.799999999999997</v>
      </c>
      <c r="L10" s="7">
        <f>(H10+1)*(H10+1)*I10</f>
        <v>82.8</v>
      </c>
      <c r="M10" s="146">
        <v>42865</v>
      </c>
      <c r="N10" s="147">
        <f ca="1">IF((TODAY()-M10)&gt;335,1,((TODAY()-M10)^0.64)/(336^0.64))</f>
        <v>0.7059354862626166</v>
      </c>
      <c r="O10" s="21">
        <v>7</v>
      </c>
      <c r="P10" s="22">
        <f>O10*10+19</f>
        <v>89</v>
      </c>
      <c r="Q10" s="28">
        <v>6</v>
      </c>
      <c r="R10" s="126">
        <f t="shared" ref="R10:R11" si="32">(Q10/7)^0.5</f>
        <v>0.92582009977255142</v>
      </c>
      <c r="S10" s="126">
        <f t="shared" ref="S10:S11" si="33">IF(Q10=7,1,((Q10+0.99)/7)^0.5)</f>
        <v>0.99928545900129484</v>
      </c>
      <c r="T10" s="32">
        <v>122250</v>
      </c>
      <c r="U10" s="32">
        <f t="shared" si="9"/>
        <v>13700</v>
      </c>
      <c r="V10" s="32">
        <v>32700</v>
      </c>
      <c r="W10" s="9">
        <f>T10/V10</f>
        <v>3.738532110091743</v>
      </c>
      <c r="X10" s="23">
        <v>0</v>
      </c>
      <c r="Y10" s="24">
        <v>12</v>
      </c>
      <c r="Z10" s="23">
        <f>15+1/25</f>
        <v>15.04</v>
      </c>
      <c r="AA10" s="24">
        <f>2+0.01</f>
        <v>2.0099999999999998</v>
      </c>
      <c r="AB10" s="23">
        <f>8+0.1+0.1+0.1+0.1*44/90</f>
        <v>8.3488888888888884</v>
      </c>
      <c r="AC10" s="24">
        <f>2+1/6</f>
        <v>2.1666666666666665</v>
      </c>
      <c r="AD10" s="23">
        <f>8+0.4</f>
        <v>8.4</v>
      </c>
      <c r="AE10" s="10">
        <v>1700</v>
      </c>
      <c r="AF10" s="10"/>
      <c r="AG10" s="25">
        <f t="shared" ca="1" si="10"/>
        <v>10.546003723483466</v>
      </c>
      <c r="AH10" s="25">
        <f t="shared" ca="1" si="11"/>
        <v>11.390985922723356</v>
      </c>
      <c r="AI10" s="131">
        <f t="shared" ca="1" si="12"/>
        <v>15.767629086200657</v>
      </c>
      <c r="AJ10" s="131">
        <f t="shared" ca="1" si="13"/>
        <v>17.030985922723357</v>
      </c>
      <c r="AK10" s="9">
        <f t="shared" ca="1" si="14"/>
        <v>4.0123579802921467</v>
      </c>
      <c r="AL10" s="9">
        <f t="shared" ca="1" si="15"/>
        <v>8.5209859227233551</v>
      </c>
      <c r="AM10" s="9">
        <f t="shared" ca="1" si="16"/>
        <v>0.51961220715120182</v>
      </c>
      <c r="AN10" s="9">
        <f t="shared" ca="1" si="17"/>
        <v>0.87136901459063476</v>
      </c>
      <c r="AO10" s="22">
        <v>2</v>
      </c>
      <c r="AP10" s="22">
        <v>3</v>
      </c>
      <c r="AQ10" s="22">
        <v>1</v>
      </c>
      <c r="AR10" s="145">
        <f t="shared" si="24"/>
        <v>0.1158</v>
      </c>
      <c r="AS10">
        <v>108550</v>
      </c>
    </row>
    <row r="11" spans="1:45" x14ac:dyDescent="0.25">
      <c r="A11" s="16" t="s">
        <v>34</v>
      </c>
      <c r="B11" s="26" t="s">
        <v>99</v>
      </c>
      <c r="C11" s="132">
        <f ca="1">((33*112)-(E11*112)-(F11))/112</f>
        <v>0.8571428571428571</v>
      </c>
      <c r="D11" s="1" t="s">
        <v>242</v>
      </c>
      <c r="E11" s="2">
        <v>32</v>
      </c>
      <c r="F11" s="3">
        <f ca="1">51+D2-D1-112-27-112+36+37-112-112+24-112-1-112-112-112</f>
        <v>16</v>
      </c>
      <c r="G11" s="4" t="s">
        <v>45</v>
      </c>
      <c r="H11" s="5">
        <v>1</v>
      </c>
      <c r="I11" s="6">
        <v>10.5</v>
      </c>
      <c r="J11" s="24">
        <f t="shared" ref="J11" si="34">LOG(I11)*4/3</f>
        <v>1.3615857320932507</v>
      </c>
      <c r="K11" s="7">
        <f>(H11)*(H11)*(I11)</f>
        <v>10.5</v>
      </c>
      <c r="L11" s="7">
        <f>(H11+1)*(H11+1)*I11</f>
        <v>42</v>
      </c>
      <c r="M11" s="146">
        <v>42738</v>
      </c>
      <c r="N11" s="147">
        <f ca="1">IF((TODAY()-M11)&gt;335,1,((TODAY()-M11)^0.64)/(336^0.64))</f>
        <v>0.97312946000348366</v>
      </c>
      <c r="O11" s="27">
        <v>6.9</v>
      </c>
      <c r="P11" s="22">
        <f>O11*10+19</f>
        <v>88</v>
      </c>
      <c r="Q11" s="28">
        <v>5</v>
      </c>
      <c r="R11" s="126">
        <f t="shared" si="32"/>
        <v>0.84515425472851657</v>
      </c>
      <c r="S11" s="126">
        <f t="shared" si="33"/>
        <v>0.92504826128926143</v>
      </c>
      <c r="T11" s="32">
        <v>69580</v>
      </c>
      <c r="U11" s="32">
        <f t="shared" si="9"/>
        <v>6760</v>
      </c>
      <c r="V11" s="8">
        <v>21792</v>
      </c>
      <c r="W11" s="9">
        <f>T11/V11</f>
        <v>3.1929148311306901</v>
      </c>
      <c r="X11" s="23">
        <v>0</v>
      </c>
      <c r="Y11" s="24">
        <f>5+1/51</f>
        <v>5.0196078431372548</v>
      </c>
      <c r="Z11" s="23">
        <f>14+1/20+1/20+1/20+0.01+1/20</f>
        <v>14.210000000000003</v>
      </c>
      <c r="AA11" s="24">
        <f>5</f>
        <v>5</v>
      </c>
      <c r="AB11" s="23">
        <f>12+1/14+1/14+1/14+1/14*30/90+1/14+1/14+1/14*44/90+1/14</f>
        <v>12.487301587301586</v>
      </c>
      <c r="AC11" s="24">
        <f>3+1/5+1/5+0.01</f>
        <v>3.41</v>
      </c>
      <c r="AD11" s="23">
        <f>15+1/6+1/6</f>
        <v>15.333333333333332</v>
      </c>
      <c r="AE11" s="10">
        <v>1571</v>
      </c>
      <c r="AF11" s="10"/>
      <c r="AG11" s="25">
        <f t="shared" ca="1" si="10"/>
        <v>15.77738063874563</v>
      </c>
      <c r="AH11" s="25">
        <f t="shared" ca="1" si="11"/>
        <v>17.283254548372497</v>
      </c>
      <c r="AI11" s="131">
        <f t="shared" ca="1" si="12"/>
        <v>13.982836437872084</v>
      </c>
      <c r="AJ11" s="131">
        <f t="shared" ca="1" si="13"/>
        <v>15.317429869855451</v>
      </c>
      <c r="AK11" s="9">
        <f t="shared" ca="1" si="14"/>
        <v>3.9086648116759819</v>
      </c>
      <c r="AL11" s="9">
        <f t="shared" ca="1" si="15"/>
        <v>14.091048525430066</v>
      </c>
      <c r="AM11" s="9">
        <f t="shared" ca="1" si="16"/>
        <v>0.81727721536773856</v>
      </c>
      <c r="AN11" s="9">
        <f t="shared" ca="1" si="17"/>
        <v>0.82421437717226154</v>
      </c>
      <c r="AO11" s="22">
        <v>1</v>
      </c>
      <c r="AP11" s="22">
        <v>3</v>
      </c>
      <c r="AQ11" s="22">
        <v>2</v>
      </c>
      <c r="AR11" s="145">
        <f t="shared" si="24"/>
        <v>0.1158</v>
      </c>
      <c r="AS11">
        <v>62820</v>
      </c>
    </row>
    <row r="12" spans="1:45" x14ac:dyDescent="0.25">
      <c r="A12" s="16" t="s">
        <v>38</v>
      </c>
      <c r="B12" s="16" t="s">
        <v>44</v>
      </c>
      <c r="C12" s="132">
        <f ca="1">((33*112)-(E12*112)-(F12))/112</f>
        <v>3.0267857142857144</v>
      </c>
      <c r="D12" s="1" t="s">
        <v>248</v>
      </c>
      <c r="E12" s="2">
        <v>29</v>
      </c>
      <c r="F12" s="3">
        <f ca="1">8-659-32+D2-D1</f>
        <v>109</v>
      </c>
      <c r="G12" s="4" t="s">
        <v>45</v>
      </c>
      <c r="H12" s="5">
        <v>2</v>
      </c>
      <c r="I12" s="6">
        <v>6.1</v>
      </c>
      <c r="J12" s="24">
        <f>LOG(I12)*4/3</f>
        <v>1.0471064466810227</v>
      </c>
      <c r="K12" s="7">
        <f>(H12)*(H12)*(I12)</f>
        <v>24.4</v>
      </c>
      <c r="L12" s="7">
        <f>(H12+1)*(H12+1)*I12</f>
        <v>54.9</v>
      </c>
      <c r="M12" s="146">
        <v>42975</v>
      </c>
      <c r="N12" s="147">
        <f t="shared" ca="1" si="5"/>
        <v>0.41492631106246303</v>
      </c>
      <c r="O12" s="27">
        <v>7</v>
      </c>
      <c r="P12" s="22">
        <f>O12*10+19</f>
        <v>89</v>
      </c>
      <c r="Q12" s="28">
        <v>5</v>
      </c>
      <c r="R12" s="126">
        <f>(Q12/7)^0.5</f>
        <v>0.84515425472851657</v>
      </c>
      <c r="S12" s="126">
        <f>IF(Q12=7,1,((Q12+0.99)/7)^0.5)</f>
        <v>0.92504826128926143</v>
      </c>
      <c r="T12" s="32">
        <v>127260</v>
      </c>
      <c r="U12" s="32">
        <f t="shared" si="9"/>
        <v>5300</v>
      </c>
      <c r="V12" s="8">
        <v>23244</v>
      </c>
      <c r="W12" s="9">
        <f>T12/V12</f>
        <v>5.4749612803304082</v>
      </c>
      <c r="X12" s="23">
        <v>0</v>
      </c>
      <c r="Y12" s="24">
        <v>2</v>
      </c>
      <c r="Z12" s="23">
        <f>13+1/22*0.5</f>
        <v>13.022727272727273</v>
      </c>
      <c r="AA12" s="24">
        <f>14+1/18*11/90</f>
        <v>14.00679012345679</v>
      </c>
      <c r="AB12" s="23">
        <f>6.4+(1/8*65/90)+1/8+1/8+1/8+(1/8*6/90)+1/8</f>
        <v>6.9986111111111118</v>
      </c>
      <c r="AC12" s="24">
        <f>5+0.01</f>
        <v>5.01</v>
      </c>
      <c r="AD12" s="23">
        <f>0+1*13/90</f>
        <v>0.14444444444444443</v>
      </c>
      <c r="AE12" s="10">
        <v>1396</v>
      </c>
      <c r="AF12" s="10"/>
      <c r="AG12" s="25">
        <f t="shared" ca="1" si="10"/>
        <v>2.2028752972820094</v>
      </c>
      <c r="AH12" s="25">
        <f t="shared" ca="1" si="11"/>
        <v>2.4131289833845102</v>
      </c>
      <c r="AI12" s="131">
        <f t="shared" ca="1" si="12"/>
        <v>12.241856568473919</v>
      </c>
      <c r="AJ12" s="131">
        <f t="shared" ca="1" si="13"/>
        <v>13.410281976591902</v>
      </c>
      <c r="AK12" s="9">
        <f t="shared" ca="1" si="14"/>
        <v>2.1533812552783509</v>
      </c>
      <c r="AL12" s="9">
        <f t="shared" ca="1" si="15"/>
        <v>3.0661438688545966</v>
      </c>
      <c r="AM12" s="9">
        <f t="shared" ca="1" si="16"/>
        <v>0.37179595395281217</v>
      </c>
      <c r="AN12" s="9">
        <f t="shared" ca="1" si="17"/>
        <v>0.18667562637537732</v>
      </c>
      <c r="AO12" s="22">
        <v>1</v>
      </c>
      <c r="AP12" s="22">
        <v>2</v>
      </c>
      <c r="AQ12" s="22">
        <v>2</v>
      </c>
      <c r="AR12" s="145">
        <f t="shared" si="24"/>
        <v>6.1499999999999999E-2</v>
      </c>
      <c r="AS12">
        <v>121960</v>
      </c>
    </row>
    <row r="13" spans="1:45" x14ac:dyDescent="0.25">
      <c r="A13" s="16" t="s">
        <v>31</v>
      </c>
      <c r="B13" s="26" t="s">
        <v>75</v>
      </c>
      <c r="C13" s="132">
        <f ca="1">((33*112)-(E13*112)-(F13))/112</f>
        <v>1.2857142857142858</v>
      </c>
      <c r="D13" s="1" t="s">
        <v>249</v>
      </c>
      <c r="E13" s="2">
        <v>31</v>
      </c>
      <c r="F13" s="3">
        <f ca="1">8-159+16-570-5+D2-D1-2</f>
        <v>80</v>
      </c>
      <c r="G13" s="4"/>
      <c r="H13" s="5">
        <v>2</v>
      </c>
      <c r="I13" s="6">
        <v>8.6999999999999993</v>
      </c>
      <c r="J13" s="24">
        <f>LOG(I13)*4/3</f>
        <v>1.2526923368248246</v>
      </c>
      <c r="K13" s="7">
        <f>(H13)*(H13)*(I13)</f>
        <v>34.799999999999997</v>
      </c>
      <c r="L13" s="7">
        <f>(H13+1)*(H13+1)*I13</f>
        <v>78.3</v>
      </c>
      <c r="M13" s="146">
        <v>42872</v>
      </c>
      <c r="N13" s="147">
        <f t="shared" ca="1" si="5"/>
        <v>0.68961053266353356</v>
      </c>
      <c r="O13" s="27">
        <v>7</v>
      </c>
      <c r="P13" s="22">
        <f>O13*10+19</f>
        <v>89</v>
      </c>
      <c r="Q13" s="28">
        <v>7</v>
      </c>
      <c r="R13" s="126">
        <f>(Q13/7)^0.5</f>
        <v>1</v>
      </c>
      <c r="S13" s="126">
        <f>IF(Q13=7,1,((Q13+0.99)/7)^0.5)</f>
        <v>1</v>
      </c>
      <c r="T13" s="8">
        <v>100320</v>
      </c>
      <c r="U13" s="32">
        <f t="shared" si="9"/>
        <v>710</v>
      </c>
      <c r="V13" s="8">
        <v>16668</v>
      </c>
      <c r="W13" s="9">
        <f>T13/V13</f>
        <v>6.018718502519798</v>
      </c>
      <c r="X13" s="23">
        <v>0</v>
      </c>
      <c r="Y13" s="24">
        <v>4</v>
      </c>
      <c r="Z13" s="23">
        <f>12+1/22*0.5</f>
        <v>12.022727272727273</v>
      </c>
      <c r="AA13" s="24">
        <f>14+1/15</f>
        <v>14.066666666666666</v>
      </c>
      <c r="AB13" s="23">
        <f>8+0.1+0.1+0.1+0.1+0.1+0.1</f>
        <v>8.5999999999999979</v>
      </c>
      <c r="AC13" s="24">
        <f>3+0.01</f>
        <v>3.01</v>
      </c>
      <c r="AD13" s="23">
        <f>5+0.5</f>
        <v>5.5</v>
      </c>
      <c r="AE13" s="10">
        <v>1364</v>
      </c>
      <c r="AF13" s="10"/>
      <c r="AG13" s="25">
        <f t="shared" ca="1" si="10"/>
        <v>8.4423028694883584</v>
      </c>
      <c r="AH13" s="25">
        <f t="shared" ca="1" si="11"/>
        <v>8.4423028694883584</v>
      </c>
      <c r="AI13" s="131">
        <f t="shared" ca="1" si="12"/>
        <v>13.965030142215632</v>
      </c>
      <c r="AJ13" s="131">
        <f t="shared" ca="1" si="13"/>
        <v>13.965030142215632</v>
      </c>
      <c r="AK13" s="9">
        <f t="shared" ca="1" si="14"/>
        <v>3.3783635760581339</v>
      </c>
      <c r="AL13" s="9">
        <f t="shared" ca="1" si="15"/>
        <v>6.6953028694883585</v>
      </c>
      <c r="AM13" s="9">
        <f t="shared" ca="1" si="16"/>
        <v>0.47088422955906867</v>
      </c>
      <c r="AN13" s="9">
        <f t="shared" ca="1" si="17"/>
        <v>0.46096120086418502</v>
      </c>
      <c r="AO13" s="22">
        <v>3</v>
      </c>
      <c r="AP13" s="22">
        <v>4</v>
      </c>
      <c r="AQ13" s="22">
        <v>2</v>
      </c>
      <c r="AR13" s="145">
        <f t="shared" si="24"/>
        <v>0.157</v>
      </c>
      <c r="AS13">
        <v>99610</v>
      </c>
    </row>
    <row r="14" spans="1:45" x14ac:dyDescent="0.25">
      <c r="A14" s="16" t="s">
        <v>37</v>
      </c>
      <c r="B14" s="16" t="s">
        <v>75</v>
      </c>
      <c r="C14" s="132">
        <f t="shared" ca="1" si="3"/>
        <v>6.25E-2</v>
      </c>
      <c r="D14" s="31" t="s">
        <v>241</v>
      </c>
      <c r="E14" s="18">
        <v>32</v>
      </c>
      <c r="F14" s="3">
        <f ca="1">-35+D2-D1-67-112-112-112+87-112-112-112</f>
        <v>105</v>
      </c>
      <c r="G14" s="20" t="s">
        <v>0</v>
      </c>
      <c r="H14" s="5">
        <v>1</v>
      </c>
      <c r="I14" s="30">
        <v>10.199999999999999</v>
      </c>
      <c r="J14" s="24">
        <f t="shared" si="4"/>
        <v>1.34480022901589</v>
      </c>
      <c r="K14" s="7">
        <f t="shared" si="0"/>
        <v>10.199999999999999</v>
      </c>
      <c r="L14" s="7">
        <f t="shared" si="1"/>
        <v>40.799999999999997</v>
      </c>
      <c r="M14" s="146">
        <v>42712</v>
      </c>
      <c r="N14" s="147">
        <f t="shared" ca="1" si="5"/>
        <v>1</v>
      </c>
      <c r="O14" s="27">
        <v>6.9</v>
      </c>
      <c r="P14" s="22">
        <f t="shared" ref="P14" si="35">O14*10+19</f>
        <v>88</v>
      </c>
      <c r="Q14" s="22">
        <v>4</v>
      </c>
      <c r="R14" s="126">
        <f t="shared" si="7"/>
        <v>0.7559289460184544</v>
      </c>
      <c r="S14" s="126">
        <f t="shared" si="8"/>
        <v>0.84430867747355465</v>
      </c>
      <c r="T14" s="32">
        <v>83910</v>
      </c>
      <c r="U14" s="32">
        <f t="shared" si="9"/>
        <v>-3600</v>
      </c>
      <c r="V14" s="32">
        <v>17724</v>
      </c>
      <c r="W14" s="9">
        <f t="shared" ref="W14" si="36">T14/V14</f>
        <v>4.7342586323628977</v>
      </c>
      <c r="X14" s="23">
        <v>0</v>
      </c>
      <c r="Y14" s="24">
        <f>1+1/27</f>
        <v>1.037037037037037</v>
      </c>
      <c r="Z14" s="23">
        <f>13+1/15*0.5+1/15*0.5+1/15*0.5+1/15*0.6+1/22/0.5</f>
        <v>13.230909090909091</v>
      </c>
      <c r="AA14" s="24">
        <f>14+1/15*79/90</f>
        <v>14.058518518518518</v>
      </c>
      <c r="AB14" s="23">
        <f>10+1/8+1/8+1/8+1/8+0.1+0.1*40/90+0.1*20/90+0.1+0.09+0.08</f>
        <v>10.936666666666666</v>
      </c>
      <c r="AC14" s="24">
        <f>3+0.03+0.01</f>
        <v>3.0399999999999996</v>
      </c>
      <c r="AD14" s="23">
        <v>10</v>
      </c>
      <c r="AE14" s="10">
        <v>1524</v>
      </c>
      <c r="AF14" s="10"/>
      <c r="AG14" s="25">
        <f t="shared" ca="1" si="10"/>
        <v>10.087720771946811</v>
      </c>
      <c r="AH14" s="25">
        <f t="shared" ca="1" si="11"/>
        <v>11.278414692054861</v>
      </c>
      <c r="AI14" s="131">
        <f t="shared" ca="1" si="12"/>
        <v>11.774129529700708</v>
      </c>
      <c r="AJ14" s="131">
        <f t="shared" ca="1" si="13"/>
        <v>13.163877002149206</v>
      </c>
      <c r="AK14" s="9">
        <f t="shared" ca="1" si="14"/>
        <v>2.8295149030247417</v>
      </c>
      <c r="AL14" s="9">
        <f t="shared" ca="1" si="15"/>
        <v>10.256800229015891</v>
      </c>
      <c r="AM14" s="9">
        <f t="shared" ca="1" si="16"/>
        <v>0.6395840183212711</v>
      </c>
      <c r="AN14" s="9">
        <f t="shared" ca="1" si="17"/>
        <v>0.50561749751259377</v>
      </c>
      <c r="AO14" s="22">
        <v>3</v>
      </c>
      <c r="AP14" s="22">
        <v>2</v>
      </c>
      <c r="AQ14" s="22">
        <v>0</v>
      </c>
      <c r="AR14" s="145">
        <f t="shared" si="18"/>
        <v>0.11119999999999999</v>
      </c>
      <c r="AS14">
        <v>87510</v>
      </c>
    </row>
    <row r="15" spans="1:45" x14ac:dyDescent="0.25">
      <c r="A15" s="16" t="s">
        <v>43</v>
      </c>
      <c r="B15" s="16" t="s">
        <v>44</v>
      </c>
      <c r="C15" s="132">
        <f t="shared" ca="1" si="3"/>
        <v>2.9375</v>
      </c>
      <c r="D15" s="31" t="s">
        <v>188</v>
      </c>
      <c r="E15" s="18">
        <v>30</v>
      </c>
      <c r="F15" s="3">
        <f ca="1">-35+D2-D1-67-11-112-112-112-112-112-112</f>
        <v>7</v>
      </c>
      <c r="G15" s="20" t="s">
        <v>0</v>
      </c>
      <c r="H15" s="5">
        <v>4</v>
      </c>
      <c r="I15" s="30">
        <v>9.3000000000000007</v>
      </c>
      <c r="J15" s="24">
        <f t="shared" si="4"/>
        <v>1.2913105980719135</v>
      </c>
      <c r="K15" s="7">
        <f t="shared" ref="K15:K18" si="37">(H15)*(H15)*(I15)</f>
        <v>148.80000000000001</v>
      </c>
      <c r="L15" s="7">
        <f t="shared" ref="L15:L18" si="38">(H15+1)*(H15+1)*I15</f>
        <v>232.50000000000003</v>
      </c>
      <c r="M15" s="146">
        <v>42411</v>
      </c>
      <c r="N15" s="147">
        <f t="shared" ca="1" si="5"/>
        <v>1</v>
      </c>
      <c r="O15" s="21">
        <v>7.9</v>
      </c>
      <c r="P15" s="22">
        <f t="shared" ref="P15" si="39">O15*10+19</f>
        <v>98</v>
      </c>
      <c r="Q15" s="22">
        <v>5</v>
      </c>
      <c r="R15" s="126">
        <f t="shared" si="7"/>
        <v>0.84515425472851657</v>
      </c>
      <c r="S15" s="126">
        <f t="shared" si="8"/>
        <v>0.92504826128926143</v>
      </c>
      <c r="T15" s="32">
        <v>178430</v>
      </c>
      <c r="U15" s="32">
        <f t="shared" si="9"/>
        <v>-8030</v>
      </c>
      <c r="V15" s="32">
        <v>30204</v>
      </c>
      <c r="W15" s="9">
        <f t="shared" ref="W15" si="40">T15/V15</f>
        <v>5.9074956959343137</v>
      </c>
      <c r="X15" s="23">
        <v>0</v>
      </c>
      <c r="Y15" s="24">
        <v>2</v>
      </c>
      <c r="Z15" s="23">
        <f>14+1/15</f>
        <v>14.066666666666666</v>
      </c>
      <c r="AA15" s="24">
        <f>2+1/4*0.5</f>
        <v>2.125</v>
      </c>
      <c r="AB15" s="23">
        <f>12+0.1+0.1+0.09+0.09+0.09+0.09+0.09+0.09+0.09+0.09+0.09+0.09+0.09+0.09+0.09+0.08+0.08+0.08+0.08+0.08+0.07+0.07+0.07+0.06+0.06+0.06+0.05+0.05+0.05+0.05+0.05+0.05</f>
        <v>14.460000000000004</v>
      </c>
      <c r="AC15" s="24">
        <f>4.9+0.22+0.22+0.22+0.22+0.22+0.22+0.22+(0.22*76/90)+0.22+0.21+0.21+0.21+0.15+0.15+0.12+0.11+0.1</f>
        <v>8.1057777777777762</v>
      </c>
      <c r="AD15" s="23">
        <v>14</v>
      </c>
      <c r="AE15" s="10">
        <v>1756</v>
      </c>
      <c r="AF15" s="10"/>
      <c r="AG15" s="25">
        <f t="shared" ca="1" si="10"/>
        <v>14.613824721792767</v>
      </c>
      <c r="AH15" s="25">
        <f t="shared" ca="1" si="11"/>
        <v>16.008642903105116</v>
      </c>
      <c r="AI15" s="131">
        <f t="shared" ca="1" si="12"/>
        <v>13.825014084046153</v>
      </c>
      <c r="AJ15" s="131">
        <f t="shared" ca="1" si="13"/>
        <v>15.144544143317399</v>
      </c>
      <c r="AK15" s="9">
        <f t="shared" ca="1" si="14"/>
        <v>3.9927127823501003</v>
      </c>
      <c r="AL15" s="9">
        <f t="shared" ca="1" si="15"/>
        <v>14.523043931405246</v>
      </c>
      <c r="AM15" s="9">
        <f t="shared" ca="1" si="16"/>
        <v>1.0085937367346418</v>
      </c>
      <c r="AN15" s="9">
        <f t="shared" ca="1" si="17"/>
        <v>0.66039174186503391</v>
      </c>
      <c r="AO15" s="22">
        <v>1</v>
      </c>
      <c r="AP15" s="22">
        <v>3</v>
      </c>
      <c r="AQ15" s="22">
        <v>3</v>
      </c>
      <c r="AR15" s="145">
        <f t="shared" si="18"/>
        <v>0.1158</v>
      </c>
      <c r="AS15">
        <v>186460</v>
      </c>
    </row>
    <row r="16" spans="1:45" x14ac:dyDescent="0.25">
      <c r="A16" s="16" t="s">
        <v>36</v>
      </c>
      <c r="B16" s="16" t="s">
        <v>44</v>
      </c>
      <c r="C16" s="132">
        <f t="shared" ca="1" si="3"/>
        <v>3.375</v>
      </c>
      <c r="D16" s="31" t="s">
        <v>73</v>
      </c>
      <c r="E16" s="18">
        <v>29</v>
      </c>
      <c r="F16" s="3">
        <f ca="1">62+D2-D1-112-112-112-112-112-112-112</f>
        <v>70</v>
      </c>
      <c r="G16" s="20" t="s">
        <v>74</v>
      </c>
      <c r="H16" s="43">
        <v>6</v>
      </c>
      <c r="I16" s="30">
        <v>8.4</v>
      </c>
      <c r="J16" s="24">
        <f t="shared" si="4"/>
        <v>1.2323723814158423</v>
      </c>
      <c r="K16" s="7">
        <f t="shared" si="37"/>
        <v>302.40000000000003</v>
      </c>
      <c r="L16" s="7">
        <f t="shared" si="38"/>
        <v>411.6</v>
      </c>
      <c r="M16" s="146">
        <v>42297</v>
      </c>
      <c r="N16" s="147">
        <f t="shared" ca="1" si="5"/>
        <v>1</v>
      </c>
      <c r="O16" s="21">
        <v>7.9</v>
      </c>
      <c r="P16" s="22">
        <f t="shared" ref="P16" si="41">O16*10+19</f>
        <v>98</v>
      </c>
      <c r="Q16" s="22">
        <v>7</v>
      </c>
      <c r="R16" s="126">
        <f t="shared" si="7"/>
        <v>1</v>
      </c>
      <c r="S16" s="126">
        <f t="shared" si="8"/>
        <v>1</v>
      </c>
      <c r="T16" s="32">
        <v>256340</v>
      </c>
      <c r="U16" s="32">
        <f t="shared" si="9"/>
        <v>2410</v>
      </c>
      <c r="V16" s="32">
        <v>28090</v>
      </c>
      <c r="W16" s="9">
        <f t="shared" ref="W16:W18" si="42">T16/V16</f>
        <v>9.12566749733001</v>
      </c>
      <c r="X16" s="23">
        <v>0</v>
      </c>
      <c r="Y16" s="24">
        <f>2+1/5</f>
        <v>2.2000000000000002</v>
      </c>
      <c r="Z16" s="23">
        <f>14+(1/15)+1/15+1/15+1/15+1/15+1/15</f>
        <v>14.399999999999999</v>
      </c>
      <c r="AA16" s="24">
        <f>1+0.33</f>
        <v>1.33</v>
      </c>
      <c r="AB16" s="23">
        <f>11.05+0.11+0.11+0.11+0.11+0.11+0.11+0.11+0.11+0.11+0.11+0.11+0.11+0.1+0.1+0.1+0.1+0.1+0.1+0.1+0.1+0.09+0.09+0.09+0.09+0.08+0.08*82/90+0.08+0.08+0.08+0.07+0.05+0.05+0.05</f>
        <v>14.142888888888882</v>
      </c>
      <c r="AC16" s="24">
        <f>4.25+0.25+0.25+0.25+0.24+0.24+0.23+0.22+0.22+0.21+0.21+0.21+0.21+0.21+0.21+0.2+0.2+0.2+0.18+0.18+0.17+0.17+0.17+0.13+0.12+0.11+0.1</f>
        <v>9.3399999999999981</v>
      </c>
      <c r="AD16" s="23">
        <f>15+0.2</f>
        <v>15.2</v>
      </c>
      <c r="AE16" s="10">
        <v>1829</v>
      </c>
      <c r="AF16" s="10"/>
      <c r="AG16" s="25">
        <f t="shared" ca="1" si="10"/>
        <v>18.432372381415842</v>
      </c>
      <c r="AH16" s="25">
        <f t="shared" ca="1" si="11"/>
        <v>18.432372381415842</v>
      </c>
      <c r="AI16" s="131">
        <f t="shared" ca="1" si="12"/>
        <v>16.632372381415841</v>
      </c>
      <c r="AJ16" s="131">
        <f t="shared" ca="1" si="13"/>
        <v>16.632372381415841</v>
      </c>
      <c r="AK16" s="9">
        <f t="shared" ca="1" si="14"/>
        <v>4.6478618652531623</v>
      </c>
      <c r="AL16" s="9">
        <f t="shared" ca="1" si="15"/>
        <v>15.674372381415839</v>
      </c>
      <c r="AM16" s="9">
        <f t="shared" ca="1" si="16"/>
        <v>1.1015897905132672</v>
      </c>
      <c r="AN16" s="9">
        <f t="shared" ca="1" si="17"/>
        <v>0.70026606669910885</v>
      </c>
      <c r="AO16" s="22">
        <v>1</v>
      </c>
      <c r="AP16" s="22">
        <v>2</v>
      </c>
      <c r="AQ16" s="22">
        <v>1</v>
      </c>
      <c r="AR16" s="145">
        <f t="shared" si="18"/>
        <v>6.1499999999999999E-2</v>
      </c>
      <c r="AS16">
        <v>253930</v>
      </c>
    </row>
    <row r="17" spans="1:45" x14ac:dyDescent="0.25">
      <c r="A17" s="16" t="s">
        <v>40</v>
      </c>
      <c r="B17" s="26" t="s">
        <v>44</v>
      </c>
      <c r="C17" s="132">
        <f t="shared" ca="1" si="3"/>
        <v>2.9196428571428572</v>
      </c>
      <c r="D17" s="1" t="s">
        <v>72</v>
      </c>
      <c r="E17" s="2">
        <v>30</v>
      </c>
      <c r="F17" s="3">
        <f ca="1">1+D2-D1-112-112-112-112-112-112-112</f>
        <v>9</v>
      </c>
      <c r="G17" s="20" t="s">
        <v>45</v>
      </c>
      <c r="H17" s="5">
        <v>1</v>
      </c>
      <c r="I17" s="6">
        <v>9.8000000000000007</v>
      </c>
      <c r="J17" s="24">
        <f t="shared" si="4"/>
        <v>1.3216347675899931</v>
      </c>
      <c r="K17" s="7">
        <f t="shared" si="37"/>
        <v>9.8000000000000007</v>
      </c>
      <c r="L17" s="7">
        <f t="shared" si="38"/>
        <v>39.200000000000003</v>
      </c>
      <c r="M17" s="146">
        <v>42278</v>
      </c>
      <c r="N17" s="147">
        <f t="shared" ca="1" si="5"/>
        <v>1</v>
      </c>
      <c r="O17" s="27">
        <v>7.2</v>
      </c>
      <c r="P17" s="22">
        <f t="shared" ref="P17:P18" si="43">O17*10+19</f>
        <v>91</v>
      </c>
      <c r="Q17" s="28">
        <v>6</v>
      </c>
      <c r="R17" s="126">
        <f t="shared" si="7"/>
        <v>0.92582009977255142</v>
      </c>
      <c r="S17" s="126">
        <f t="shared" si="8"/>
        <v>0.99928545900129484</v>
      </c>
      <c r="T17" s="32">
        <v>207820</v>
      </c>
      <c r="U17" s="32">
        <f t="shared" si="9"/>
        <v>-43940</v>
      </c>
      <c r="V17" s="8">
        <v>30996</v>
      </c>
      <c r="W17" s="9">
        <f t="shared" si="42"/>
        <v>6.7047360949799977</v>
      </c>
      <c r="X17" s="23">
        <v>0</v>
      </c>
      <c r="Y17" s="24">
        <f>3+1/5</f>
        <v>3.2</v>
      </c>
      <c r="Z17" s="23">
        <f>14+(1/15)+1/15+1/15+1/15+1/15+1/15</f>
        <v>14.399999999999999</v>
      </c>
      <c r="AA17" s="24">
        <f>2+0.3</f>
        <v>2.2999999999999998</v>
      </c>
      <c r="AB17" s="23">
        <f>11.3+0.11+0.11+0.11+0.11+(0.11*54/90)+0.11+0.11+0.1+0.1+0.1+0.1+0.1+0.09+0.09+0.09+0.08+0.08+0.08+0.08+0.08+0.08+0.08+0.08+0.08+0.08+0.08+0.08+0.08+0.08+0.08+0.06+0.06+0.05+0.05+0.05</f>
        <v>14.266</v>
      </c>
      <c r="AC17" s="24">
        <f>4.1+0.25+0.25+0.25+0.25+0.24+0.24+0.24+0.23+0.23+(0.05*36/90)+0.22+0.2+0.2+0.2+0.18+0.18+0.18+0.18+0.18+0.18+0.18+0.14+0.12+0.12+0.12+0.12+0.1</f>
        <v>9.0999999999999961</v>
      </c>
      <c r="AD17" s="23">
        <v>15.7</v>
      </c>
      <c r="AE17" s="10">
        <v>1855</v>
      </c>
      <c r="AF17" s="10"/>
      <c r="AG17" s="25">
        <f t="shared" ca="1" si="10"/>
        <v>17.610611798367202</v>
      </c>
      <c r="AH17" s="25">
        <f t="shared" ca="1" si="11"/>
        <v>19.021634767589994</v>
      </c>
      <c r="AI17" s="131">
        <f t="shared" ca="1" si="12"/>
        <v>15.481225568890332</v>
      </c>
      <c r="AJ17" s="131">
        <f t="shared" ca="1" si="13"/>
        <v>16.721634767589993</v>
      </c>
      <c r="AK17" s="9">
        <f t="shared" ca="1" si="14"/>
        <v>4.4782964753099224</v>
      </c>
      <c r="AL17" s="9">
        <f t="shared" ca="1" si="15"/>
        <v>16.04163476758999</v>
      </c>
      <c r="AM17" s="9">
        <f t="shared" ca="1" si="16"/>
        <v>1.1117307814071993</v>
      </c>
      <c r="AN17" s="9">
        <f t="shared" ca="1" si="17"/>
        <v>0.76151443373129957</v>
      </c>
      <c r="AO17" s="22">
        <v>2</v>
      </c>
      <c r="AP17" s="22">
        <v>2</v>
      </c>
      <c r="AQ17" s="22">
        <v>2</v>
      </c>
      <c r="AR17" s="145">
        <f t="shared" si="18"/>
        <v>6.1499999999999999E-2</v>
      </c>
      <c r="AS17">
        <v>251760</v>
      </c>
    </row>
    <row r="18" spans="1:45" x14ac:dyDescent="0.25">
      <c r="A18" s="16" t="s">
        <v>42</v>
      </c>
      <c r="B18" s="16" t="s">
        <v>44</v>
      </c>
      <c r="C18" s="132">
        <f t="shared" ca="1" si="3"/>
        <v>3.4107142857142856</v>
      </c>
      <c r="D18" s="1" t="s">
        <v>50</v>
      </c>
      <c r="E18" s="2">
        <v>29</v>
      </c>
      <c r="F18" s="3">
        <f ca="1">58++D2-D1-112-112-112-112-112-112-112</f>
        <v>66</v>
      </c>
      <c r="G18" s="4" t="s">
        <v>45</v>
      </c>
      <c r="H18" s="5">
        <v>1</v>
      </c>
      <c r="I18" s="6">
        <v>9.5</v>
      </c>
      <c r="J18" s="24">
        <f t="shared" si="4"/>
        <v>1.3036314737184636</v>
      </c>
      <c r="K18" s="7">
        <f t="shared" si="37"/>
        <v>9.5</v>
      </c>
      <c r="L18" s="7">
        <f t="shared" si="38"/>
        <v>38</v>
      </c>
      <c r="M18" s="146">
        <v>42267</v>
      </c>
      <c r="N18" s="147">
        <f t="shared" ca="1" si="5"/>
        <v>1</v>
      </c>
      <c r="O18" s="27">
        <v>7.9</v>
      </c>
      <c r="P18" s="22">
        <f t="shared" si="43"/>
        <v>98</v>
      </c>
      <c r="Q18" s="28">
        <v>5</v>
      </c>
      <c r="R18" s="126">
        <f t="shared" si="7"/>
        <v>0.84515425472851657</v>
      </c>
      <c r="S18" s="126">
        <f t="shared" si="8"/>
        <v>0.92504826128926143</v>
      </c>
      <c r="T18" s="32">
        <v>250620</v>
      </c>
      <c r="U18" s="32">
        <f t="shared" si="9"/>
        <v>8890</v>
      </c>
      <c r="V18" s="8">
        <v>31320</v>
      </c>
      <c r="W18" s="9">
        <f t="shared" si="42"/>
        <v>8.0019157088122608</v>
      </c>
      <c r="X18" s="23">
        <v>0</v>
      </c>
      <c r="Y18" s="24">
        <f>2+1/26</f>
        <v>2.0384615384615383</v>
      </c>
      <c r="Z18" s="23">
        <f>13+(1/13)+1/13+1/13+1/13+1/13+1/13+1/13*0.5</f>
        <v>13.499999999999998</v>
      </c>
      <c r="AA18" s="24">
        <f>4+1/5*0.5</f>
        <v>4.0999999999999996</v>
      </c>
      <c r="AB18" s="23">
        <f>11.45+0.11+0.11+0.11+0.11+0.11+0.11+0.11+0.1+0.1+0.1+0.1+0.1+0.1+0.1+0.1+0.08+0.08+0.08+0.08+0.07+0.07+0.07+0.07*80/90+0.07+0.07+0.07+0.07+0.07+0.06+0.06+0.06+0.06+0.05+0.05+0.05</f>
        <v>14.352222222222222</v>
      </c>
      <c r="AC18" s="24">
        <f>5.21+(72/90)*0.24+0.23+0.23+0.23+0.23+0.23+0.23+0.22+0.22+0.2+0.2+0.19+0.19+0.18+0.18+0.18+0.17+0.17+0.16+0.14+0.14+0.14+0.11+0.11+0.11+0.11+0.11+1/12</f>
        <v>10.095333333333334</v>
      </c>
      <c r="AD18" s="23">
        <f>14+0.2+0.2+0.2</f>
        <v>14.599999999999998</v>
      </c>
      <c r="AE18" s="10">
        <v>1804</v>
      </c>
      <c r="AF18" s="10"/>
      <c r="AG18" s="25">
        <f t="shared" ca="1" si="10"/>
        <v>15.13133031510454</v>
      </c>
      <c r="AH18" s="25">
        <f t="shared" ca="1" si="11"/>
        <v>16.57554187728902</v>
      </c>
      <c r="AI18" s="131">
        <f t="shared" ca="1" si="12"/>
        <v>13.356506380174654</v>
      </c>
      <c r="AJ18" s="131">
        <f t="shared" ca="1" si="13"/>
        <v>14.631319667766659</v>
      </c>
      <c r="AK18" s="9">
        <f t="shared" ca="1" si="14"/>
        <v>3.9779087022738504</v>
      </c>
      <c r="AL18" s="9">
        <f t="shared" ca="1" si="15"/>
        <v>15.552231473718463</v>
      </c>
      <c r="AM18" s="9">
        <f t="shared" ca="1" si="16"/>
        <v>1.1270571845641437</v>
      </c>
      <c r="AN18" s="9">
        <f t="shared" ca="1" si="17"/>
        <v>0.68079266469875388</v>
      </c>
      <c r="AO18" s="22">
        <v>1</v>
      </c>
      <c r="AP18" s="22">
        <v>1</v>
      </c>
      <c r="AQ18" s="22">
        <v>2</v>
      </c>
      <c r="AR18" s="145">
        <f t="shared" si="18"/>
        <v>4.9399999999999999E-2</v>
      </c>
      <c r="AS18">
        <v>241730</v>
      </c>
    </row>
    <row r="19" spans="1:45" x14ac:dyDescent="0.25">
      <c r="A19" s="16" t="s">
        <v>399</v>
      </c>
      <c r="B19" s="16" t="s">
        <v>75</v>
      </c>
      <c r="C19" s="132">
        <f ca="1">((33*112)-(E19*112)-(F19))/112</f>
        <v>15.821428571428571</v>
      </c>
      <c r="D19" s="31" t="s">
        <v>400</v>
      </c>
      <c r="E19" s="18">
        <v>17</v>
      </c>
      <c r="F19" s="19">
        <f ca="1">8-159+16-570-5+D2-D1-62</f>
        <v>20</v>
      </c>
      <c r="G19" s="20" t="s">
        <v>45</v>
      </c>
      <c r="H19" s="5">
        <v>1</v>
      </c>
      <c r="I19" s="30">
        <v>1</v>
      </c>
      <c r="J19" s="24">
        <f>LOG(I19)*4/3</f>
        <v>0</v>
      </c>
      <c r="K19" s="7">
        <f>(H19)*(H19)*(I19)</f>
        <v>1</v>
      </c>
      <c r="L19" s="7">
        <f>(H19+1)*(H19+1)*I19</f>
        <v>4</v>
      </c>
      <c r="M19" s="146">
        <v>43046</v>
      </c>
      <c r="N19" s="147">
        <v>1.5</v>
      </c>
      <c r="O19" s="21">
        <v>5</v>
      </c>
      <c r="P19" s="22">
        <f>O19*10+19</f>
        <v>69</v>
      </c>
      <c r="Q19" s="22">
        <v>5</v>
      </c>
      <c r="R19" s="126">
        <f>(Q19/7)^0.5</f>
        <v>0.84515425472851657</v>
      </c>
      <c r="S19" s="126">
        <f>IF(Q19=7,1,((Q19+0.99)/7)^0.5)</f>
        <v>0.92504826128926143</v>
      </c>
      <c r="T19" s="32">
        <v>1720</v>
      </c>
      <c r="U19" s="32">
        <f t="shared" ref="U19" si="44">T19-AS19</f>
        <v>240</v>
      </c>
      <c r="V19" s="32">
        <v>350</v>
      </c>
      <c r="W19" s="9">
        <f>T19/V19</f>
        <v>4.9142857142857146</v>
      </c>
      <c r="X19" s="23">
        <v>0</v>
      </c>
      <c r="Y19" s="24">
        <v>2</v>
      </c>
      <c r="Z19" s="23">
        <v>5.7</v>
      </c>
      <c r="AA19" s="24">
        <v>5.5</v>
      </c>
      <c r="AB19" s="23">
        <f>4.75+0.25+0.25</f>
        <v>5.25</v>
      </c>
      <c r="AC19" s="24">
        <v>3</v>
      </c>
      <c r="AD19" s="23">
        <v>2</v>
      </c>
      <c r="AE19" s="10">
        <v>404</v>
      </c>
      <c r="AF19" s="10">
        <v>2033</v>
      </c>
      <c r="AG19" s="25">
        <f t="shared" ref="AG19" si="45">(AD19+1+(LOG(I19)*4/3)+N19)*(Q19/7)^0.5</f>
        <v>3.8031941462783245</v>
      </c>
      <c r="AH19" s="25">
        <f t="shared" ref="AH19" si="46">(AD19+1+N19+(LOG(I19)*4/3))*(IF(Q19=7, (Q19/7)^0.5, ((Q19+1)/7)^0.5))</f>
        <v>4.1661904489764812</v>
      </c>
      <c r="AI19" s="131">
        <f t="shared" ref="AI19" si="47">(Z19+N19+(LOG(I19)*4/3))*(Q19/7)^0.5</f>
        <v>6.0851106340453196</v>
      </c>
      <c r="AJ19" s="131">
        <f t="shared" ref="AJ19" si="48">(Z19+N19+(LOG(I19)*4/3))*(IF(Q19=7, (Q19/7)^0.5, ((Q19+1)/7)^0.5))</f>
        <v>6.6659047183623708</v>
      </c>
      <c r="AK19" s="9">
        <f t="shared" ref="AK19" si="49">(((Y19+LOG(I19)*4/3+N19)+(AB19+LOG(I19)*4/3+N19)*2)/8)*(Q19/7)^0.5</f>
        <v>1.7959527912980977</v>
      </c>
      <c r="AL19" s="9">
        <f t="shared" ref="AL19" si="50">(AD19+LOG(I19)*4/3+N19)*0.7+(AC19+LOG(I19)*4/3+N19)*0.3</f>
        <v>3.8</v>
      </c>
      <c r="AM19" s="9">
        <f t="shared" ref="AM19" si="51">(0.5*(AC19+LOG(I19)*4/3+N19)+ 0.3*(AD19+LOG(I19)*4/3+N19))/10</f>
        <v>0.32999999999999996</v>
      </c>
      <c r="AN19" s="9">
        <f t="shared" ref="AN19" si="52">(0.4*(Y19+LOG(I19)*4/3+N19)+0.3*(AD19+LOG(I19)*4/3+N19))/10</f>
        <v>0.24500000000000002</v>
      </c>
      <c r="AO19" s="22">
        <v>4</v>
      </c>
      <c r="AP19" s="22">
        <v>3</v>
      </c>
      <c r="AQ19" s="22">
        <v>2</v>
      </c>
      <c r="AR19" s="145">
        <f t="shared" si="18"/>
        <v>0.1158</v>
      </c>
      <c r="AS19">
        <v>1480</v>
      </c>
    </row>
    <row r="20" spans="1:45" x14ac:dyDescent="0.25">
      <c r="A20" s="16" t="s">
        <v>418</v>
      </c>
      <c r="B20" s="16" t="s">
        <v>75</v>
      </c>
      <c r="C20" s="132">
        <f ca="1">((33*112)-(E20*112)-(F20))/112</f>
        <v>15.785714285714286</v>
      </c>
      <c r="D20" s="31" t="s">
        <v>419</v>
      </c>
      <c r="E20" s="18">
        <v>17</v>
      </c>
      <c r="F20" s="3">
        <f ca="1">8-159+16-570-5+D2-D1-2-31-25</f>
        <v>24</v>
      </c>
      <c r="G20" s="20" t="s">
        <v>402</v>
      </c>
      <c r="H20" s="43">
        <v>6</v>
      </c>
      <c r="I20" s="30">
        <v>1</v>
      </c>
      <c r="J20" s="24">
        <f>LOG(I20)*4/3</f>
        <v>0</v>
      </c>
      <c r="K20" s="7">
        <f>(H20)*(H20)*(I20)</f>
        <v>36</v>
      </c>
      <c r="L20" s="7">
        <f>(H20+1)*(H20+1)*I20</f>
        <v>49</v>
      </c>
      <c r="M20" s="146">
        <v>43051</v>
      </c>
      <c r="N20" s="147">
        <f ca="1">IF((TODAY()-M20)&gt;335,1,((TODAY()-M20)^0.64)/(336^0.64))</f>
        <v>9.8595721295777455E-2</v>
      </c>
      <c r="O20" s="21">
        <v>4.5</v>
      </c>
      <c r="P20" s="22">
        <f>O20*10+19</f>
        <v>64</v>
      </c>
      <c r="Q20" s="28">
        <v>5</v>
      </c>
      <c r="R20" s="126">
        <f>(Q20/7)^0.5</f>
        <v>0.84515425472851657</v>
      </c>
      <c r="S20" s="126">
        <f>IF(Q20=7,1,((Q20+0.99)/7)^0.5)</f>
        <v>0.92504826128926143</v>
      </c>
      <c r="T20" s="32">
        <v>1300</v>
      </c>
      <c r="U20" s="32">
        <f>T20-AS20</f>
        <v>180</v>
      </c>
      <c r="V20" s="32">
        <v>330</v>
      </c>
      <c r="W20" s="9">
        <f>T20/V20</f>
        <v>3.9393939393939394</v>
      </c>
      <c r="X20" s="23">
        <v>0</v>
      </c>
      <c r="Y20" s="24">
        <v>6</v>
      </c>
      <c r="Z20" s="23">
        <v>3</v>
      </c>
      <c r="AA20" s="24">
        <v>3</v>
      </c>
      <c r="AB20" s="23">
        <f>5+0.2</f>
        <v>5.2</v>
      </c>
      <c r="AC20" s="24">
        <v>2</v>
      </c>
      <c r="AD20" s="23">
        <v>0</v>
      </c>
      <c r="AE20" s="10">
        <v>416</v>
      </c>
      <c r="AF20" s="10">
        <v>2035</v>
      </c>
      <c r="AG20" s="25">
        <f t="shared" ref="AG20:AG21" ca="1" si="53">(AD20+1+(LOG(I20)*4/3)+N20)*(Q20/7)^0.5</f>
        <v>0.92848284807966996</v>
      </c>
      <c r="AH20" s="25">
        <f t="shared" ref="AH20:AH21" ca="1" si="54">(AD20+1+N20+(LOG(I20)*4/3))*(IF(Q20=7, (Q20/7)^0.5, ((Q20+1)/7)^0.5))</f>
        <v>1.0171020002997548</v>
      </c>
      <c r="AI20" s="131">
        <f t="shared" ref="AI20" ca="1" si="55">(Z20+N20+(LOG(I20)*4/3))*(Q20/7)^0.5</f>
        <v>2.6187913575367028</v>
      </c>
      <c r="AJ20" s="131">
        <f t="shared" ref="AJ20" ca="1" si="56">(Z20+N20+(LOG(I20)*4/3))*(IF(Q20=7, (Q20/7)^0.5, ((Q20+1)/7)^0.5))</f>
        <v>2.8687421998448577</v>
      </c>
      <c r="AK20" s="9">
        <f t="shared" ref="AK20" ca="1" si="57">(((Y20+LOG(I20)*4/3+N20)+(AB20+LOG(I20)*4/3+N20)*2)/8)*(Q20/7)^0.5</f>
        <v>1.7638144447001414</v>
      </c>
      <c r="AL20" s="9">
        <f t="shared" ref="AL20:AL21" ca="1" si="58">(AD20+LOG(I20)*4/3+N20)*0.7+(AC20+LOG(I20)*4/3+N20)*0.3</f>
        <v>0.69859572129577741</v>
      </c>
      <c r="AM20" s="9">
        <f t="shared" ref="AM20:AM21" ca="1" si="59">(0.5*(AC20+LOG(I20)*4/3+N20)+ 0.3*(AD20+LOG(I20)*4/3+N20))/10</f>
        <v>0.1078876577036622</v>
      </c>
      <c r="AN20" s="9">
        <f t="shared" ref="AN20:AN21" ca="1" si="60">(0.4*(Y20+LOG(I20)*4/3+N20)+0.3*(AD20+LOG(I20)*4/3+N20))/10</f>
        <v>0.24690170049070442</v>
      </c>
      <c r="AO20" s="22">
        <v>2</v>
      </c>
      <c r="AP20" s="22">
        <v>2</v>
      </c>
      <c r="AQ20" s="22">
        <v>1</v>
      </c>
      <c r="AR20" s="145">
        <f>IF(AP20=4,IF(AQ20=0,0.137+0.0697,0.137+0.02),IF(AP20=3,IF(AQ20=0,0.0958+0.0697,0.0958+0.02),IF(AP20=2,IF(AQ20=0,0.0415+0.0697,0.0415+0.02),IF(AP20=1,IF(AQ20=0,0.0294+0.0697,0.0294+0.02),IF(AP20=0,IF(AQ20=0,0.0063+0.0697,0.0063+0.02))))))</f>
        <v>6.1499999999999999E-2</v>
      </c>
      <c r="AS20">
        <v>1120</v>
      </c>
    </row>
    <row r="21" spans="1:45" x14ac:dyDescent="0.25">
      <c r="A21" s="16" t="s">
        <v>426</v>
      </c>
      <c r="B21" s="16" t="s">
        <v>75</v>
      </c>
      <c r="C21" s="132">
        <f ca="1">((33*112)-(E21*112)-(F21))/112</f>
        <v>15.821428571428571</v>
      </c>
      <c r="D21" s="31" t="s">
        <v>427</v>
      </c>
      <c r="E21" s="18">
        <v>17</v>
      </c>
      <c r="F21" s="3">
        <f ca="1">8-159+16-570-5+D2-D1-2-31-25-4</f>
        <v>20</v>
      </c>
      <c r="G21" s="20" t="s">
        <v>402</v>
      </c>
      <c r="H21" s="43">
        <v>6</v>
      </c>
      <c r="I21" s="30">
        <v>0.5</v>
      </c>
      <c r="J21" s="24">
        <f>LOG(I21)*4/3</f>
        <v>-0.40137332755197491</v>
      </c>
      <c r="K21" s="7">
        <f>(H21)*(H21)*(I21)</f>
        <v>18</v>
      </c>
      <c r="L21" s="7">
        <f>(H21+1)*(H21+1)*I21</f>
        <v>24.5</v>
      </c>
      <c r="M21" s="146">
        <v>43054</v>
      </c>
      <c r="N21" s="147">
        <f ca="1">IF((TODAY()-M21)&gt;335,1,((TODAY()-M21)^0.64)/(336^0.64))</f>
        <v>7.6060585239192346E-2</v>
      </c>
      <c r="O21" s="21">
        <v>4</v>
      </c>
      <c r="P21" s="22">
        <f>O21*10+19</f>
        <v>59</v>
      </c>
      <c r="Q21" s="28">
        <v>5</v>
      </c>
      <c r="R21" s="126">
        <f>(Q21/7)^0.5</f>
        <v>0.84515425472851657</v>
      </c>
      <c r="S21" s="126">
        <f>IF(Q21=7,1,((Q21+0.99)/7)^0.5)</f>
        <v>0.92504826128926143</v>
      </c>
      <c r="T21" s="32">
        <v>780</v>
      </c>
      <c r="U21" s="32">
        <f>T21-AS21</f>
        <v>20</v>
      </c>
      <c r="V21" s="32">
        <v>290</v>
      </c>
      <c r="W21" s="9">
        <f>T21/V21</f>
        <v>2.6896551724137931</v>
      </c>
      <c r="X21" s="23">
        <v>0</v>
      </c>
      <c r="Y21" s="24">
        <v>3</v>
      </c>
      <c r="Z21" s="23">
        <v>5</v>
      </c>
      <c r="AA21" s="24">
        <v>4</v>
      </c>
      <c r="AB21" s="23">
        <v>4</v>
      </c>
      <c r="AC21" s="24">
        <v>3</v>
      </c>
      <c r="AD21" s="23">
        <v>0</v>
      </c>
      <c r="AE21" s="10">
        <v>376</v>
      </c>
      <c r="AF21" s="10">
        <v>1997</v>
      </c>
      <c r="AG21" s="25">
        <f t="shared" ca="1" si="53"/>
        <v>0.57021480644546696</v>
      </c>
      <c r="AH21" s="25">
        <f t="shared" ca="1" si="54"/>
        <v>0.62463902422724871</v>
      </c>
      <c r="AI21" s="131">
        <f t="shared" ref="AI21" ca="1" si="61">(Z21+N21+(LOG(I21)*4/3))*(Q21/7)^0.5</f>
        <v>3.9508318253595327</v>
      </c>
      <c r="AJ21" s="131">
        <f t="shared" ref="AJ21" ca="1" si="62">(Z21+N21+(LOG(I21)*4/3))*(IF(Q21=7, (Q21/7)^0.5, ((Q21+1)/7)^0.5))</f>
        <v>4.3279194233174536</v>
      </c>
      <c r="AK21" s="9">
        <f t="shared" ref="AK21" ca="1" si="63">(((Y21+LOG(I21)*4/3+N21)+(AB21+LOG(I21)*4/3+N21)*2)/8)*(Q21/7)^0.5</f>
        <v>1.0589848071455665</v>
      </c>
      <c r="AL21" s="9">
        <f t="shared" ca="1" si="58"/>
        <v>0.5746872576872174</v>
      </c>
      <c r="AM21" s="9">
        <f t="shared" ca="1" si="59"/>
        <v>0.12397498061497739</v>
      </c>
      <c r="AN21" s="9">
        <f t="shared" ca="1" si="60"/>
        <v>9.7228108038105235E-2</v>
      </c>
      <c r="AO21" s="22">
        <v>2</v>
      </c>
      <c r="AP21" s="22">
        <v>2</v>
      </c>
      <c r="AQ21" s="22">
        <v>1</v>
      </c>
      <c r="AR21" s="145">
        <f>IF(AP21=4,IF(AQ21=0,0.137+0.0697,0.137+0.02),IF(AP21=3,IF(AQ21=0,0.0958+0.0697,0.0958+0.02),IF(AP21=2,IF(AQ21=0,0.0415+0.0697,0.0415+0.02),IF(AP21=1,IF(AQ21=0,0.0294+0.0697,0.0294+0.02),IF(AP21=0,IF(AQ21=0,0.0063+0.0697,0.0063+0.02))))))</f>
        <v>6.1499999999999999E-2</v>
      </c>
      <c r="AS21" s="241">
        <v>760</v>
      </c>
    </row>
    <row r="22" spans="1:45" x14ac:dyDescent="0.25">
      <c r="A22" s="16" t="s">
        <v>404</v>
      </c>
      <c r="B22" s="16" t="s">
        <v>99</v>
      </c>
      <c r="C22" s="132">
        <f ca="1">((33*112)-(E22*112)-(F22))/112</f>
        <v>15.455357142857142</v>
      </c>
      <c r="D22" s="31" t="s">
        <v>401</v>
      </c>
      <c r="E22" s="18">
        <v>17</v>
      </c>
      <c r="F22" s="19">
        <f ca="1">8-159+16-570-5+D2-D1-2-19</f>
        <v>61</v>
      </c>
      <c r="G22" s="20" t="s">
        <v>402</v>
      </c>
      <c r="H22" s="5">
        <v>3</v>
      </c>
      <c r="I22" s="30">
        <v>0.5</v>
      </c>
      <c r="J22" s="24">
        <f>LOG(I22)*4/3</f>
        <v>-0.40137332755197491</v>
      </c>
      <c r="K22" s="7">
        <f>(H22)*(H22)*(I22)</f>
        <v>4.5</v>
      </c>
      <c r="L22" s="7">
        <f>(H22+1)*(H22+1)*I22</f>
        <v>8</v>
      </c>
      <c r="M22" s="146">
        <v>43045</v>
      </c>
      <c r="N22" s="147">
        <f ca="1">IF((TODAY()-M22)&gt;335,1,((TODAY()-M22)^0.64)/(336^0.64))</f>
        <v>0.13672290211839563</v>
      </c>
      <c r="O22" s="21">
        <v>5</v>
      </c>
      <c r="P22" s="22">
        <f>O22*10+19</f>
        <v>69</v>
      </c>
      <c r="Q22" s="22">
        <v>4</v>
      </c>
      <c r="R22" s="126">
        <f>(Q22/7)^0.5</f>
        <v>0.7559289460184544</v>
      </c>
      <c r="S22" s="126">
        <f>IF(Q22=7,1,((Q22+0.99)/7)^0.5)</f>
        <v>0.84430867747355465</v>
      </c>
      <c r="T22" s="32">
        <v>950</v>
      </c>
      <c r="U22" s="32">
        <f>T22-AS22</f>
        <v>20</v>
      </c>
      <c r="V22" s="32">
        <v>370</v>
      </c>
      <c r="W22" s="9">
        <f>T22/V22</f>
        <v>2.5675675675675675</v>
      </c>
      <c r="X22" s="23">
        <v>0</v>
      </c>
      <c r="Y22" s="24">
        <v>3</v>
      </c>
      <c r="Z22" s="23">
        <v>6</v>
      </c>
      <c r="AA22" s="24">
        <v>3</v>
      </c>
      <c r="AB22" s="23">
        <f>3+0.25+0.25</f>
        <v>3.5</v>
      </c>
      <c r="AC22" s="24">
        <v>4</v>
      </c>
      <c r="AD22" s="23">
        <v>0</v>
      </c>
      <c r="AE22" s="10">
        <v>398</v>
      </c>
      <c r="AF22" s="10">
        <v>1972</v>
      </c>
      <c r="AG22" s="25">
        <f ca="1">(AD22+1+(LOG(I22)*4/3)+N22)*(Q22/7)^0.5</f>
        <v>0.55587202885711329</v>
      </c>
      <c r="AH22" s="25">
        <f ca="1">(AD22+1+N22+(LOG(I22)*4/3))*(IF(Q22=7, (Q22/7)^0.5, ((Q22+1)/7)^0.5))</f>
        <v>0.62148382165761495</v>
      </c>
      <c r="AI22" s="131">
        <f ca="1">(Z22+N22+(LOG(I22)*4/3))*(Q22/7)^0.5</f>
        <v>4.3355167589493853</v>
      </c>
      <c r="AJ22" s="131">
        <f ca="1">(Z22+N22+(LOG(I22)*4/3))*(IF(Q22=7, (Q22/7)^0.5, ((Q22+1)/7)^0.5))</f>
        <v>4.8472550953001976</v>
      </c>
      <c r="AK22" s="9">
        <f ca="1">(((Y22+LOG(I22)*4/3+N22)+(AB22+LOG(I22)*4/3+N22)*2)/8)*(Q22/7)^0.5</f>
        <v>0.86988983858756519</v>
      </c>
      <c r="AL22" s="9">
        <f ca="1">(AD22+LOG(I22)*4/3+N22)*0.7+(AC22+LOG(I22)*4/3+N22)*0.3</f>
        <v>0.93534957456642076</v>
      </c>
      <c r="AM22" s="9">
        <f ca="1">(0.5*(AC22+LOG(I22)*4/3+N22)+ 0.3*(AD22+LOG(I22)*4/3+N22))/10</f>
        <v>0.17882796596531367</v>
      </c>
      <c r="AN22" s="9">
        <f ca="1">(0.4*(Y22+LOG(I22)*4/3+N22)+0.3*(AD22+LOG(I22)*4/3+N22))/10</f>
        <v>0.10147447021964946</v>
      </c>
      <c r="AO22" s="22">
        <v>2</v>
      </c>
      <c r="AP22" s="22">
        <v>3</v>
      </c>
      <c r="AQ22" s="22">
        <v>2</v>
      </c>
      <c r="AR22" s="145">
        <f>IF(AP22=4,IF(AQ22=0,0.137+0.0697,0.137+0.02),IF(AP22=3,IF(AQ22=0,0.0958+0.0697,0.0958+0.02),IF(AP22=2,IF(AQ22=0,0.0415+0.0697,0.0415+0.02),IF(AP22=1,IF(AQ22=0,0.0294+0.0697,0.0294+0.02),IF(AP22=0,IF(AQ22=0,0.0063+0.0697,0.0063+0.02))))))</f>
        <v>0.1158</v>
      </c>
      <c r="AS22">
        <v>930</v>
      </c>
    </row>
    <row r="23" spans="1:45" x14ac:dyDescent="0.25">
      <c r="A23" s="16" t="s">
        <v>405</v>
      </c>
      <c r="B23" s="26" t="s">
        <v>44</v>
      </c>
      <c r="C23" s="132">
        <f ca="1">((33*112)-(E23*112)-(F23))/112</f>
        <v>15.839285714285714</v>
      </c>
      <c r="D23" s="1" t="s">
        <v>406</v>
      </c>
      <c r="E23" s="2">
        <v>17</v>
      </c>
      <c r="F23" s="3">
        <f ca="1">8-159+16-570-5+D2-D1-2-62</f>
        <v>18</v>
      </c>
      <c r="G23" s="4" t="s">
        <v>0</v>
      </c>
      <c r="H23" s="5">
        <v>4</v>
      </c>
      <c r="I23" s="6">
        <v>1</v>
      </c>
      <c r="J23" s="24">
        <f>LOG(I23)*4/3</f>
        <v>0</v>
      </c>
      <c r="K23" s="7">
        <f>(H23)*(H23)*(I23)</f>
        <v>16</v>
      </c>
      <c r="L23" s="7">
        <f>(H23+1)*(H23+1)*I23</f>
        <v>25</v>
      </c>
      <c r="M23" s="146">
        <v>43045</v>
      </c>
      <c r="N23" s="147">
        <f ca="1">IF((TODAY()-M23)&gt;335,1,((TODAY()-M23)^0.64)/(336^0.64))</f>
        <v>0.13672290211839563</v>
      </c>
      <c r="O23" s="27">
        <v>5</v>
      </c>
      <c r="P23" s="22">
        <f>O23*10+19</f>
        <v>69</v>
      </c>
      <c r="Q23" s="28">
        <v>5</v>
      </c>
      <c r="R23" s="126">
        <f>(Q23/7)^0.5</f>
        <v>0.84515425472851657</v>
      </c>
      <c r="S23" s="126">
        <f>IF(Q23=7,1,((Q23+0.99)/7)^0.5)</f>
        <v>0.92504826128926143</v>
      </c>
      <c r="T23" s="32">
        <v>810</v>
      </c>
      <c r="U23" s="32">
        <f>T23-AS23</f>
        <v>100</v>
      </c>
      <c r="V23" s="8">
        <v>310</v>
      </c>
      <c r="W23" s="9">
        <f>T23/V23</f>
        <v>2.6129032258064515</v>
      </c>
      <c r="X23" s="23">
        <v>1</v>
      </c>
      <c r="Y23" s="24">
        <v>4</v>
      </c>
      <c r="Z23" s="23">
        <v>2</v>
      </c>
      <c r="AA23" s="24">
        <v>3</v>
      </c>
      <c r="AB23" s="23">
        <f>3.75+0.25+0.25</f>
        <v>4.25</v>
      </c>
      <c r="AC23" s="24">
        <v>5</v>
      </c>
      <c r="AD23" s="23">
        <v>3</v>
      </c>
      <c r="AE23" s="10">
        <v>388</v>
      </c>
      <c r="AF23" s="10">
        <v>2019</v>
      </c>
      <c r="AG23" s="25">
        <f ca="1">(AD23+1+(LOG(I23)*4/3)+N23)*(Q23/7)^0.5</f>
        <v>3.4961689613582592</v>
      </c>
      <c r="AH23" s="25">
        <f ca="1">(AD23+1+N23+(LOG(I23)*4/3))*(IF(Q23=7, (Q23/7)^0.5, ((Q23+1)/7)^0.5))</f>
        <v>3.8298612099706517</v>
      </c>
      <c r="AI23" s="131">
        <f ca="1">(Z23+N23+(LOG(I23)*4/3))*(Q23/7)^0.5</f>
        <v>1.8058604519012258</v>
      </c>
      <c r="AJ23" s="131">
        <f ca="1">(Z23+N23+(LOG(I23)*4/3))*(IF(Q23=7, (Q23/7)^0.5, ((Q23+1)/7)^0.5))</f>
        <v>1.9782210104255489</v>
      </c>
      <c r="AK23" s="9">
        <f ca="1">(((Y23+LOG(I23)*4/3+N23)+(AB23+LOG(I23)*4/3+N23)*2)/8)*(Q23/7)^0.5</f>
        <v>1.3638855014298794</v>
      </c>
      <c r="AL23" s="9">
        <f ca="1">(AD23+LOG(I23)*4/3+N23)*0.7+(AC23+LOG(I23)*4/3+N23)*0.3</f>
        <v>3.7367229021183954</v>
      </c>
      <c r="AM23" s="9">
        <f ca="1">(0.5*(AC23+LOG(I23)*4/3+N23)+ 0.3*(AD23+LOG(I23)*4/3+N23))/10</f>
        <v>0.35093783216947166</v>
      </c>
      <c r="AN23" s="9">
        <f ca="1">(0.4*(Y23+LOG(I23)*4/3+N23)+0.3*(AD23+LOG(I23)*4/3+N23))/10</f>
        <v>0.25957060314828773</v>
      </c>
      <c r="AO23" s="22">
        <v>1</v>
      </c>
      <c r="AP23" s="22">
        <v>1</v>
      </c>
      <c r="AQ23" s="22">
        <v>2</v>
      </c>
      <c r="AR23" s="145">
        <f>IF(AP23=4,IF(AQ23=0,0.137+0.0697,0.137+0.02),IF(AP23=3,IF(AQ23=0,0.0958+0.0697,0.0958+0.02),IF(AP23=2,IF(AQ23=0,0.0415+0.0697,0.0415+0.02),IF(AP23=1,IF(AQ23=0,0.0294+0.0697,0.0294+0.02),IF(AP23=0,IF(AQ23=0,0.0063+0.0697,0.0063+0.02))))))</f>
        <v>4.9399999999999999E-2</v>
      </c>
      <c r="AS23">
        <v>710</v>
      </c>
    </row>
    <row r="24" spans="1:45" x14ac:dyDescent="0.25">
      <c r="A24" s="16" t="s">
        <v>408</v>
      </c>
      <c r="B24" s="16" t="s">
        <v>30</v>
      </c>
      <c r="C24" s="132">
        <f t="shared" ref="C24" ca="1" si="64">((33*112)-(E24*112)-(F24))/112</f>
        <v>15.821428571428571</v>
      </c>
      <c r="D24" s="1" t="s">
        <v>407</v>
      </c>
      <c r="E24" s="2">
        <v>17</v>
      </c>
      <c r="F24" s="3">
        <f ca="1">8-159+16-570-5+D2-D1-2-60</f>
        <v>20</v>
      </c>
      <c r="G24" s="4" t="s">
        <v>402</v>
      </c>
      <c r="H24" s="5">
        <v>3</v>
      </c>
      <c r="I24" s="6">
        <v>1</v>
      </c>
      <c r="J24" s="24">
        <f t="shared" ref="J24" si="65">LOG(I24)*4/3</f>
        <v>0</v>
      </c>
      <c r="K24" s="7">
        <f t="shared" ref="K24" si="66">(H24)*(H24)*(I24)</f>
        <v>9</v>
      </c>
      <c r="L24" s="7">
        <f t="shared" ref="L24" si="67">(H24+1)*(H24+1)*I24</f>
        <v>16</v>
      </c>
      <c r="M24" s="146">
        <v>43045</v>
      </c>
      <c r="N24" s="147">
        <f t="shared" ref="N24" ca="1" si="68">IF((TODAY()-M24)&gt;335,1,((TODAY()-M24)^0.64)/(336^0.64))</f>
        <v>0.13672290211839563</v>
      </c>
      <c r="O24" s="27">
        <v>5</v>
      </c>
      <c r="P24" s="22">
        <f t="shared" ref="P24" si="69">O24*10+19</f>
        <v>69</v>
      </c>
      <c r="Q24" s="28">
        <v>5</v>
      </c>
      <c r="R24" s="126">
        <f t="shared" ref="R24" si="70">(Q24/7)^0.5</f>
        <v>0.84515425472851657</v>
      </c>
      <c r="S24" s="126">
        <f t="shared" ref="S24" si="71">IF(Q24=7,1,((Q24+0.99)/7)^0.5)</f>
        <v>0.92504826128926143</v>
      </c>
      <c r="T24" s="32">
        <v>890</v>
      </c>
      <c r="U24" s="32">
        <f>T24-AS24</f>
        <v>70</v>
      </c>
      <c r="V24" s="8">
        <v>330</v>
      </c>
      <c r="W24" s="9">
        <f t="shared" ref="W24" si="72">T24/V24</f>
        <v>2.6969696969696968</v>
      </c>
      <c r="X24" s="23">
        <v>0</v>
      </c>
      <c r="Y24" s="24">
        <v>5</v>
      </c>
      <c r="Z24" s="23">
        <v>3</v>
      </c>
      <c r="AA24" s="24">
        <v>4</v>
      </c>
      <c r="AB24" s="23">
        <f>2+(0.33*0.16)+0.33</f>
        <v>2.3828</v>
      </c>
      <c r="AC24" s="24">
        <v>3</v>
      </c>
      <c r="AD24" s="23">
        <v>0</v>
      </c>
      <c r="AE24" s="10">
        <v>344</v>
      </c>
      <c r="AF24" s="10">
        <v>1977</v>
      </c>
      <c r="AG24" s="25">
        <f ca="1">(AD24+1+(LOG(I24)*4/3)+N24)*(Q24/7)^0.5</f>
        <v>0.96070619717270911</v>
      </c>
      <c r="AH24" s="25">
        <f ca="1">(AD24+1+N24+(LOG(I24)*4/3))*(IF(Q24=7, (Q24/7)^0.5, ((Q24+1)/7)^0.5))</f>
        <v>1.0524009106529972</v>
      </c>
      <c r="AI24" s="131">
        <f ca="1">(Z24+N24+(LOG(I24)*4/3))*(Q24/7)^0.5</f>
        <v>2.6510147066297423</v>
      </c>
      <c r="AJ24" s="131">
        <f ca="1">(Z24+N24+(LOG(I24)*4/3))*(IF(Q24=7, (Q24/7)^0.5, ((Q24+1)/7)^0.5))</f>
        <v>2.9040411101981003</v>
      </c>
      <c r="AK24" s="9">
        <f ca="1">(((Y24+LOG(I24)*4/3+N24)+(AB24+LOG(I24)*4/3+N24)*2)/8)*(Q24/7)^0.5</f>
        <v>1.0750117771636725</v>
      </c>
      <c r="AL24" s="9">
        <f ca="1">(AD24+LOG(I24)*4/3+N24)*0.7+(AC24+LOG(I24)*4/3+N24)*0.3</f>
        <v>1.0367229021183957</v>
      </c>
      <c r="AM24" s="9">
        <f ca="1">(0.5*(AC24+LOG(I24)*4/3+N24)+ 0.3*(AD24+LOG(I24)*4/3+N24))/10</f>
        <v>0.16093783216947166</v>
      </c>
      <c r="AN24" s="9">
        <f ca="1">(0.4*(Y24+LOG(I24)*4/3+N24)+0.3*(AD24+LOG(I24)*4/3+N24))/10</f>
        <v>0.20957060314828771</v>
      </c>
      <c r="AO24" s="22">
        <v>3</v>
      </c>
      <c r="AP24" s="22">
        <v>1</v>
      </c>
      <c r="AQ24" s="22">
        <v>2</v>
      </c>
      <c r="AR24" s="145">
        <f t="shared" ref="AR24" si="73">IF(AP24=4,IF(AQ24=0,0.137+0.0697,0.137+0.02),IF(AP24=3,IF(AQ24=0,0.0958+0.0697,0.0958+0.02),IF(AP24=2,IF(AQ24=0,0.0415+0.0697,0.0415+0.02),IF(AP24=1,IF(AQ24=0,0.0294+0.0697,0.0294+0.02),IF(AP24=0,IF(AQ24=0,0.0063+0.0697,0.0063+0.02))))))</f>
        <v>4.9399999999999999E-2</v>
      </c>
      <c r="AS24">
        <v>820</v>
      </c>
    </row>
    <row r="25" spans="1:45" x14ac:dyDescent="0.25">
      <c r="A25" s="16" t="s">
        <v>410</v>
      </c>
      <c r="B25" s="16" t="s">
        <v>75</v>
      </c>
      <c r="C25" s="132">
        <f t="shared" ref="C25" ca="1" si="74">((33*112)-(E25*112)-(F25))/112</f>
        <v>15.75</v>
      </c>
      <c r="D25" s="31" t="s">
        <v>413</v>
      </c>
      <c r="E25" s="18">
        <v>17</v>
      </c>
      <c r="F25" s="3">
        <f ca="1">8-159+16-570-5+D2-D1-2-12-49+9</f>
        <v>28</v>
      </c>
      <c r="G25" s="20" t="s">
        <v>45</v>
      </c>
      <c r="H25" s="5">
        <v>3</v>
      </c>
      <c r="I25" s="30">
        <v>0.5</v>
      </c>
      <c r="J25" s="24">
        <f t="shared" ref="J25" si="75">LOG(I25)*4/3</f>
        <v>-0.40137332755197491</v>
      </c>
      <c r="K25" s="7">
        <f t="shared" ref="K25" si="76">(H25)*(H25)*(I25)</f>
        <v>4.5</v>
      </c>
      <c r="L25" s="7">
        <f t="shared" ref="L25" si="77">(H25+1)*(H25+1)*I25</f>
        <v>8</v>
      </c>
      <c r="M25" s="146">
        <v>43046</v>
      </c>
      <c r="N25" s="147">
        <f t="shared" ref="N25" ca="1" si="78">IF((TODAY()-M25)&gt;335,1,((TODAY()-M25)^0.64)/(336^0.64))</f>
        <v>0.13081718674960124</v>
      </c>
      <c r="O25" s="21">
        <v>5</v>
      </c>
      <c r="P25" s="22">
        <f t="shared" ref="P25" si="79">O25*10+19</f>
        <v>69</v>
      </c>
      <c r="Q25" s="28">
        <v>4</v>
      </c>
      <c r="R25" s="126">
        <f t="shared" ref="R25" si="80">(Q25/7)^0.5</f>
        <v>0.7559289460184544</v>
      </c>
      <c r="S25" s="126">
        <f t="shared" ref="S25" si="81">IF(Q25=7,1,((Q25+0.99)/7)^0.5)</f>
        <v>0.84430867747355465</v>
      </c>
      <c r="T25" s="32">
        <v>510</v>
      </c>
      <c r="U25" s="32">
        <f t="shared" ref="U25" si="82">T25-AS25</f>
        <v>50</v>
      </c>
      <c r="V25" s="32">
        <v>270</v>
      </c>
      <c r="W25" s="9">
        <f t="shared" ref="W25" si="83">T25/V25</f>
        <v>1.8888888888888888</v>
      </c>
      <c r="X25" s="23">
        <v>0</v>
      </c>
      <c r="Y25" s="24">
        <v>4</v>
      </c>
      <c r="Z25" s="23">
        <v>2</v>
      </c>
      <c r="AA25" s="24">
        <v>5</v>
      </c>
      <c r="AB25" s="23">
        <f>3+(0.25*0.16)+0.25</f>
        <v>3.29</v>
      </c>
      <c r="AC25" s="24">
        <v>4</v>
      </c>
      <c r="AD25" s="23">
        <v>1</v>
      </c>
      <c r="AE25" s="10">
        <v>356</v>
      </c>
      <c r="AF25" s="10">
        <v>1977</v>
      </c>
      <c r="AG25" s="25">
        <f t="shared" ref="AG25" ca="1" si="84">(AD25+1+(LOG(I25)*4/3)+N25)*(Q25/7)^0.5</f>
        <v>1.3073366736813501</v>
      </c>
      <c r="AH25" s="25">
        <f t="shared" ref="AH25" ca="1" si="85">(AD25+1+N25+(LOG(I25)*4/3))*(IF(Q25=7, (Q25/7)^0.5, ((Q25+1)/7)^0.5))</f>
        <v>1.4616468359149792</v>
      </c>
      <c r="AI25" s="131">
        <f t="shared" ref="AI25" ca="1" si="86">(Z25+N25+(LOG(I25)*4/3))*(Q25/7)^0.5</f>
        <v>1.3073366736813499</v>
      </c>
      <c r="AJ25" s="131">
        <f t="shared" ref="AJ25" ca="1" si="87">(Z25+N25+(LOG(I25)*4/3))*(IF(Q25=7, (Q25/7)^0.5, ((Q25+1)/7)^0.5))</f>
        <v>1.4616468359149792</v>
      </c>
      <c r="AK25" s="9">
        <f t="shared" ref="AK25" ca="1" si="88">(((Y25+LOG(I25)*4/3+N25)+(AB25+LOG(I25)*4/3+N25)*2)/8)*(Q25/7)^0.5</f>
        <v>0.92302057422607131</v>
      </c>
      <c r="AL25" s="9">
        <f t="shared" ref="AL25" ca="1" si="89">(AD25+LOG(I25)*4/3+N25)*0.7+(AC25+LOG(I25)*4/3+N25)*0.3</f>
        <v>1.6294438591976264</v>
      </c>
      <c r="AM25" s="9">
        <f t="shared" ref="AM25" ca="1" si="90">(0.5*(AC25+LOG(I25)*4/3+N25)+ 0.3*(AD25+LOG(I25)*4/3+N25))/10</f>
        <v>0.20835550873581013</v>
      </c>
      <c r="AN25" s="9">
        <f t="shared" ref="AN25" ca="1" si="91">(0.4*(Y25+LOG(I25)*4/3+N25)+0.3*(AD25+LOG(I25)*4/3+N25))/10</f>
        <v>0.17106107014383384</v>
      </c>
      <c r="AO25" s="22">
        <v>3</v>
      </c>
      <c r="AP25" s="22">
        <v>4</v>
      </c>
      <c r="AQ25" s="22">
        <v>3</v>
      </c>
      <c r="AR25" s="145">
        <f t="shared" ref="AR25" si="92">IF(AP25=4,IF(AQ25=0,0.137+0.0697,0.137+0.02),IF(AP25=3,IF(AQ25=0,0.0958+0.0697,0.0958+0.02),IF(AP25=2,IF(AQ25=0,0.0415+0.0697,0.0415+0.02),IF(AP25=1,IF(AQ25=0,0.0294+0.0697,0.0294+0.02),IF(AP25=0,IF(AQ25=0,0.0063+0.0697,0.0063+0.02))))))</f>
        <v>0.157</v>
      </c>
      <c r="AS25">
        <v>460</v>
      </c>
    </row>
    <row r="26" spans="1:45" x14ac:dyDescent="0.25">
      <c r="A26" s="16" t="s">
        <v>420</v>
      </c>
      <c r="B26" s="16" t="s">
        <v>44</v>
      </c>
      <c r="C26" s="132">
        <f t="shared" ref="C26" ca="1" si="93">((33*112)-(E26*112)-(F26))/112</f>
        <v>15.455357142857142</v>
      </c>
      <c r="D26" s="31" t="s">
        <v>415</v>
      </c>
      <c r="E26" s="18">
        <v>17</v>
      </c>
      <c r="F26" s="3">
        <f ca="1">8-159+16-570-5+D2-D1-2-12-49+9-11+44</f>
        <v>61</v>
      </c>
      <c r="G26" s="20" t="s">
        <v>74</v>
      </c>
      <c r="H26" s="5">
        <v>3</v>
      </c>
      <c r="I26" s="30">
        <v>0.5</v>
      </c>
      <c r="J26" s="24">
        <f t="shared" ref="J26" si="94">LOG(I26)*4/3</f>
        <v>-0.40137332755197491</v>
      </c>
      <c r="K26" s="7">
        <f t="shared" ref="K26" si="95">(H26)*(H26)*(I26)</f>
        <v>4.5</v>
      </c>
      <c r="L26" s="7">
        <f t="shared" ref="L26" si="96">(H26+1)*(H26+1)*I26</f>
        <v>8</v>
      </c>
      <c r="M26" s="146">
        <v>43046</v>
      </c>
      <c r="N26" s="147">
        <f t="shared" ref="N26" ca="1" si="97">IF((TODAY()-M26)&gt;335,1,((TODAY()-M26)^0.64)/(336^0.64))</f>
        <v>0.13081718674960124</v>
      </c>
      <c r="O26" s="21">
        <v>5</v>
      </c>
      <c r="P26" s="22">
        <f t="shared" ref="P26" si="98">O26*10+19</f>
        <v>69</v>
      </c>
      <c r="Q26" s="28">
        <v>6</v>
      </c>
      <c r="R26" s="126">
        <f t="shared" ref="R26" si="99">(Q26/7)^0.5</f>
        <v>0.92582009977255142</v>
      </c>
      <c r="S26" s="126">
        <f t="shared" ref="S26" si="100">IF(Q26=7,1,((Q26+0.99)/7)^0.5)</f>
        <v>0.99928545900129484</v>
      </c>
      <c r="T26" s="32">
        <v>1710</v>
      </c>
      <c r="U26" s="32">
        <f t="shared" ref="U26" si="101">T26-AS26</f>
        <v>260</v>
      </c>
      <c r="V26" s="32">
        <v>370</v>
      </c>
      <c r="W26" s="9">
        <f t="shared" ref="W26" si="102">T26/V26</f>
        <v>4.6216216216216219</v>
      </c>
      <c r="X26" s="23">
        <v>0</v>
      </c>
      <c r="Y26" s="24">
        <v>5</v>
      </c>
      <c r="Z26" s="23">
        <v>2</v>
      </c>
      <c r="AA26" s="24">
        <v>3</v>
      </c>
      <c r="AB26" s="23">
        <f>4+0.25+0.25</f>
        <v>4.5</v>
      </c>
      <c r="AC26" s="24">
        <v>6</v>
      </c>
      <c r="AD26" s="23">
        <v>0</v>
      </c>
      <c r="AE26" s="10">
        <v>443</v>
      </c>
      <c r="AF26" s="10">
        <v>2017</v>
      </c>
      <c r="AG26" s="25">
        <f t="shared" ref="AG26" ca="1" si="103">(AD26+1+(LOG(I26)*4/3)+N26)*(Q26/7)^0.5</f>
        <v>0.67533378650082143</v>
      </c>
      <c r="AH26" s="25">
        <f t="shared" ref="AH26" ca="1" si="104">(AD26+1+N26+(LOG(I26)*4/3))*(IF(Q26=7, (Q26/7)^0.5, ((Q26+1)/7)^0.5))</f>
        <v>0.72944385919762644</v>
      </c>
      <c r="AI26" s="131">
        <f t="shared" ref="AI26" ca="1" si="105">(Z26+N26+(LOG(I26)*4/3))*(Q26/7)^0.5</f>
        <v>1.6011538862733727</v>
      </c>
      <c r="AJ26" s="131">
        <f t="shared" ref="AJ26" ca="1" si="106">(Z26+N26+(LOG(I26)*4/3))*(IF(Q26=7, (Q26/7)^0.5, ((Q26+1)/7)^0.5))</f>
        <v>1.7294438591976262</v>
      </c>
      <c r="AK26" s="9">
        <f t="shared" ref="AK26" ca="1" si="107">(((Y26+LOG(I26)*4/3+N26)+(AB26+LOG(I26)*4/3+N26)*2)/8)*(Q26/7)^0.5</f>
        <v>1.5262528071250658</v>
      </c>
      <c r="AL26" s="9">
        <f t="shared" ref="AL26" ca="1" si="108">(AD26+LOG(I26)*4/3+N26)*0.7+(AC26+LOG(I26)*4/3+N26)*0.3</f>
        <v>1.529443859197626</v>
      </c>
      <c r="AM26" s="9">
        <f t="shared" ref="AM26" ca="1" si="109">(0.5*(AC26+LOG(I26)*4/3+N26)+ 0.3*(AD26+LOG(I26)*4/3+N26))/10</f>
        <v>0.27835550873581011</v>
      </c>
      <c r="AN26" s="9">
        <f t="shared" ref="AN26" ca="1" si="110">(0.4*(Y26+LOG(I26)*4/3+N26)+0.3*(AD26+LOG(I26)*4/3+N26))/10</f>
        <v>0.18106107014383382</v>
      </c>
      <c r="AO26" s="22">
        <v>2</v>
      </c>
      <c r="AP26" s="22">
        <v>3</v>
      </c>
      <c r="AQ26" s="22">
        <v>1</v>
      </c>
      <c r="AR26" s="145">
        <f t="shared" ref="AR26" si="111">IF(AP26=4,IF(AQ26=0,0.137+0.0697,0.137+0.02),IF(AP26=3,IF(AQ26=0,0.0958+0.0697,0.0958+0.02),IF(AP26=2,IF(AQ26=0,0.0415+0.0697,0.0415+0.02),IF(AP26=1,IF(AQ26=0,0.0294+0.0697,0.0294+0.02),IF(AP26=0,IF(AQ26=0,0.0063+0.0697,0.0063+0.02))))))</f>
        <v>0.1158</v>
      </c>
      <c r="AS26">
        <v>1450</v>
      </c>
    </row>
    <row r="27" spans="1:45" x14ac:dyDescent="0.25">
      <c r="A27" s="16" t="s">
        <v>421</v>
      </c>
      <c r="B27" s="26" t="s">
        <v>30</v>
      </c>
      <c r="C27" s="132">
        <f ca="1">((33*112)-(E27*112)-(F27))/112</f>
        <v>15.392857142857142</v>
      </c>
      <c r="D27" s="1" t="s">
        <v>411</v>
      </c>
      <c r="E27" s="2">
        <v>17</v>
      </c>
      <c r="F27" s="3">
        <f ca="1">8-159+16-570-5+D2-D1-2-12</f>
        <v>68</v>
      </c>
      <c r="G27" s="4" t="s">
        <v>74</v>
      </c>
      <c r="H27" s="5">
        <v>2</v>
      </c>
      <c r="I27" s="6">
        <v>0.5</v>
      </c>
      <c r="J27" s="24">
        <f>LOG(I27)*4/3</f>
        <v>-0.40137332755197491</v>
      </c>
      <c r="K27" s="7">
        <f>(H27)*(H27)*(I27)</f>
        <v>2</v>
      </c>
      <c r="L27" s="7">
        <f>(H27+1)*(H27+1)*I27</f>
        <v>4.5</v>
      </c>
      <c r="M27" s="146">
        <v>43046</v>
      </c>
      <c r="N27" s="147">
        <f ca="1">IF((TODAY()-M27)&gt;335,1,((TODAY()-M27)^0.64)/(336^0.64))</f>
        <v>0.13081718674960124</v>
      </c>
      <c r="O27" s="27">
        <v>5.5</v>
      </c>
      <c r="P27" s="22">
        <f>O27*10+19</f>
        <v>74</v>
      </c>
      <c r="Q27" s="28">
        <v>5</v>
      </c>
      <c r="R27" s="126">
        <f>(Q27/7)^0.5</f>
        <v>0.84515425472851657</v>
      </c>
      <c r="S27" s="126">
        <f>IF(Q27=7,1,((Q27+0.99)/7)^0.5)</f>
        <v>0.92504826128926143</v>
      </c>
      <c r="T27" s="32">
        <v>1840</v>
      </c>
      <c r="U27" s="32">
        <f>T27-AS27</f>
        <v>70</v>
      </c>
      <c r="V27" s="8">
        <v>450</v>
      </c>
      <c r="W27" s="9">
        <f>T27/V27</f>
        <v>4.0888888888888886</v>
      </c>
      <c r="X27" s="23">
        <v>0</v>
      </c>
      <c r="Y27" s="24">
        <v>6</v>
      </c>
      <c r="Z27" s="23">
        <v>4</v>
      </c>
      <c r="AA27" s="24">
        <v>4</v>
      </c>
      <c r="AB27" s="23">
        <f>2.67+0.33+0.33*0.16</f>
        <v>3.0528</v>
      </c>
      <c r="AC27" s="24">
        <v>3</v>
      </c>
      <c r="AD27" s="23">
        <v>3</v>
      </c>
      <c r="AE27" s="10">
        <v>440</v>
      </c>
      <c r="AF27" s="10">
        <v>2000</v>
      </c>
      <c r="AG27" s="25">
        <f ca="1">(AD27+1+(LOG(I27)*4/3)+N27)*(Q27/7)^0.5</f>
        <v>3.1519553453720124</v>
      </c>
      <c r="AH27" s="25">
        <f ca="1">(AD27+1+N27+(LOG(I27)*4/3))*(IF(Q27=7, (Q27/7)^0.5, ((Q27+1)/7)^0.5))</f>
        <v>3.4527940858184754</v>
      </c>
      <c r="AI27" s="131">
        <f ca="1">(Z27+N27+(LOG(I27)*4/3))*(Q27/7)^0.5</f>
        <v>3.1519553453720124</v>
      </c>
      <c r="AJ27" s="131">
        <f ca="1">(Z27+N27+(LOG(I27)*4/3))*(IF(Q27=7, (Q27/7)^0.5, ((Q27+1)/7)^0.5))</f>
        <v>3.4527940858184754</v>
      </c>
      <c r="AK27" s="9">
        <f ca="1">(((Y27+LOG(I27)*4/3+N27)+(AB27+LOG(I27)*4/3+N27)*2)/8)*(Q27/7)^0.5</f>
        <v>1.1931392906769211</v>
      </c>
      <c r="AL27" s="9">
        <f ca="1">(AD27+LOG(I27)*4/3+N27)*0.7+(AC27+LOG(I27)*4/3+N27)*0.3</f>
        <v>2.7294438591976262</v>
      </c>
      <c r="AM27" s="9">
        <f ca="1">(0.5*(AC27+LOG(I27)*4/3+N27)+ 0.3*(AD27+LOG(I27)*4/3+N27))/10</f>
        <v>0.21835550873581008</v>
      </c>
      <c r="AN27" s="9">
        <f ca="1">(0.4*(Y27+LOG(I27)*4/3+N27)+0.3*(AD27+LOG(I27)*4/3+N27))/10</f>
        <v>0.31106107014383383</v>
      </c>
      <c r="AO27" s="22">
        <v>2</v>
      </c>
      <c r="AP27" s="22">
        <v>0</v>
      </c>
      <c r="AQ27" s="22">
        <v>3</v>
      </c>
      <c r="AR27" s="145">
        <f>IF(AP27=4,IF(AQ27=0,0.137+0.0697,0.137+0.02),IF(AP27=3,IF(AQ27=0,0.0958+0.0697,0.0958+0.02),IF(AP27=2,IF(AQ27=0,0.0415+0.0697,0.0415+0.02),IF(AP27=1,IF(AQ27=0,0.0294+0.0697,0.0294+0.02),IF(AP27=0,IF(AQ27=0,0.0063+0.0697,0.0063+0.02))))))</f>
        <v>2.63E-2</v>
      </c>
      <c r="AS27">
        <v>1770</v>
      </c>
    </row>
    <row r="28" spans="1:45" x14ac:dyDescent="0.25">
      <c r="A28" s="16" t="s">
        <v>422</v>
      </c>
      <c r="B28" s="26" t="s">
        <v>44</v>
      </c>
      <c r="C28" s="132">
        <f ca="1">((33*112)-(E28*112)-(F28))/112</f>
        <v>15.5625</v>
      </c>
      <c r="D28" s="1" t="s">
        <v>409</v>
      </c>
      <c r="E28" s="2">
        <v>17</v>
      </c>
      <c r="F28" s="3">
        <f ca="1">8-159+16-570-5+D2-D1-2-31</f>
        <v>49</v>
      </c>
      <c r="G28" s="4" t="s">
        <v>0</v>
      </c>
      <c r="H28" s="5">
        <v>4</v>
      </c>
      <c r="I28" s="6">
        <v>0.5</v>
      </c>
      <c r="J28" s="24">
        <f>LOG(I28)*4/3</f>
        <v>-0.40137332755197491</v>
      </c>
      <c r="K28" s="7">
        <f>(H28)*(H28)*(I28)</f>
        <v>8</v>
      </c>
      <c r="L28" s="7">
        <f>(H28+1)*(H28+1)*I28</f>
        <v>12.5</v>
      </c>
      <c r="M28" s="146">
        <v>43046</v>
      </c>
      <c r="N28" s="147">
        <f ca="1">IF((TODAY()-M28)&gt;335,1,((TODAY()-M28)^0.64)/(336^0.64))</f>
        <v>0.13081718674960124</v>
      </c>
      <c r="O28" s="27">
        <v>5</v>
      </c>
      <c r="P28" s="22">
        <f>O28*10+19</f>
        <v>69</v>
      </c>
      <c r="Q28" s="28">
        <v>5</v>
      </c>
      <c r="R28" s="126">
        <f>(Q28/7)^0.5</f>
        <v>0.84515425472851657</v>
      </c>
      <c r="S28" s="126">
        <f>IF(Q28=7,1,((Q28+0.99)/7)^0.5)</f>
        <v>0.92504826128926143</v>
      </c>
      <c r="T28" s="32">
        <v>930</v>
      </c>
      <c r="U28" s="32">
        <f>T28-AS28</f>
        <v>40</v>
      </c>
      <c r="V28" s="8">
        <v>330</v>
      </c>
      <c r="W28" s="9">
        <f>T28/V28</f>
        <v>2.8181818181818183</v>
      </c>
      <c r="X28" s="23">
        <v>0</v>
      </c>
      <c r="Y28" s="24">
        <v>2</v>
      </c>
      <c r="Z28" s="23">
        <v>5</v>
      </c>
      <c r="AA28" s="24">
        <v>3</v>
      </c>
      <c r="AB28" s="23">
        <f>2+(0.33*0.16)+(0.33*0.16)</f>
        <v>2.1055999999999999</v>
      </c>
      <c r="AC28" s="24">
        <v>5</v>
      </c>
      <c r="AD28" s="23">
        <v>2</v>
      </c>
      <c r="AE28" s="10">
        <v>351</v>
      </c>
      <c r="AF28" s="10">
        <v>1942</v>
      </c>
      <c r="AG28" s="25">
        <f ca="1">(AD28+1+(LOG(I28)*4/3)+N28)*(Q28/7)^0.5</f>
        <v>2.3068010906434959</v>
      </c>
      <c r="AH28" s="25">
        <f ca="1">(AD28+1+N28+(LOG(I28)*4/3))*(IF(Q28=7, (Q28/7)^0.5, ((Q28+1)/7)^0.5))</f>
        <v>2.5269739860459239</v>
      </c>
      <c r="AI28" s="131">
        <f ca="1">(Z28+N28+(LOG(I28)*4/3))*(Q28/7)^0.5</f>
        <v>3.9971096001005288</v>
      </c>
      <c r="AJ28" s="131">
        <f ca="1">(Z28+N28+(LOG(I28)*4/3))*(IF(Q28=7, (Q28/7)^0.5, ((Q28+1)/7)^0.5))</f>
        <v>4.3786141855910268</v>
      </c>
      <c r="AK28" s="9">
        <f ca="1">(((Y28+LOG(I28)*4/3+N28)+(AB28+LOG(I28)*4/3+N28)*2)/8)*(Q28/7)^0.5</f>
        <v>0.57042963579295014</v>
      </c>
      <c r="AL28" s="9">
        <f ca="1">(AD28+LOG(I28)*4/3+N28)*0.7+(AC28+LOG(I28)*4/3+N28)*0.3</f>
        <v>2.6294438591976261</v>
      </c>
      <c r="AM28" s="9">
        <f ca="1">(0.5*(AC28+LOG(I28)*4/3+N28)+ 0.3*(AD28+LOG(I28)*4/3+N28))/10</f>
        <v>0.28835550873581006</v>
      </c>
      <c r="AN28" s="9">
        <f ca="1">(0.4*(Y28+LOG(I28)*4/3+N28)+0.3*(AD28+LOG(I28)*4/3+N28))/10</f>
        <v>0.12106107014383385</v>
      </c>
      <c r="AO28" s="22">
        <v>4</v>
      </c>
      <c r="AP28" s="22">
        <v>2</v>
      </c>
      <c r="AQ28" s="22">
        <v>2</v>
      </c>
      <c r="AR28" s="145">
        <f>IF(AP28=4,IF(AQ28=0,0.137+0.0697,0.137+0.02),IF(AP28=3,IF(AQ28=0,0.0958+0.0697,0.0958+0.02),IF(AP28=2,IF(AQ28=0,0.0415+0.0697,0.0415+0.02),IF(AP28=1,IF(AQ28=0,0.0294+0.0697,0.0294+0.02),IF(AP28=0,IF(AQ28=0,0.0063+0.0697,0.0063+0.02))))))</f>
        <v>6.1499999999999999E-2</v>
      </c>
      <c r="AS28">
        <v>890</v>
      </c>
    </row>
    <row r="29" spans="1:45" x14ac:dyDescent="0.25">
      <c r="A29" s="16" t="s">
        <v>423</v>
      </c>
      <c r="B29" s="16" t="s">
        <v>44</v>
      </c>
      <c r="C29" s="132">
        <f t="shared" ref="C29" ca="1" si="112">((33*112)-(E29*112)-(F29))/112</f>
        <v>15.848214285714286</v>
      </c>
      <c r="D29" s="31" t="s">
        <v>414</v>
      </c>
      <c r="E29" s="18">
        <v>17</v>
      </c>
      <c r="F29" s="3">
        <f ca="1">8-159+16-570-5+D2-D1-2-12-49+9-11</f>
        <v>17</v>
      </c>
      <c r="G29" s="20" t="s">
        <v>402</v>
      </c>
      <c r="H29" s="5">
        <v>4</v>
      </c>
      <c r="I29" s="30">
        <v>0.5</v>
      </c>
      <c r="J29" s="24">
        <f t="shared" ref="J29" si="113">LOG(I29)*4/3</f>
        <v>-0.40137332755197491</v>
      </c>
      <c r="K29" s="7">
        <f t="shared" ref="K29" si="114">(H29)*(H29)*(I29)</f>
        <v>8</v>
      </c>
      <c r="L29" s="7">
        <f t="shared" ref="L29" si="115">(H29+1)*(H29+1)*I29</f>
        <v>12.5</v>
      </c>
      <c r="M29" s="146">
        <v>43046</v>
      </c>
      <c r="N29" s="147">
        <f t="shared" ref="N29" ca="1" si="116">IF((TODAY()-M29)&gt;335,1,((TODAY()-M29)^0.64)/(336^0.64))</f>
        <v>0.13081718674960124</v>
      </c>
      <c r="O29" s="21">
        <v>4.2</v>
      </c>
      <c r="P29" s="22">
        <f t="shared" ref="P29" si="117">O29*10+19</f>
        <v>61</v>
      </c>
      <c r="Q29" s="28">
        <v>5</v>
      </c>
      <c r="R29" s="126">
        <f t="shared" ref="R29" si="118">(Q29/7)^0.5</f>
        <v>0.84515425472851657</v>
      </c>
      <c r="S29" s="126">
        <f t="shared" ref="S29" si="119">IF(Q29=7,1,((Q29+0.99)/7)^0.5)</f>
        <v>0.92504826128926143</v>
      </c>
      <c r="T29" s="32">
        <v>540</v>
      </c>
      <c r="U29" s="32">
        <f t="shared" ref="U29" si="120">T29-AS29</f>
        <v>20</v>
      </c>
      <c r="V29" s="32">
        <v>290</v>
      </c>
      <c r="W29" s="9">
        <f t="shared" ref="W29" si="121">T29/V29</f>
        <v>1.8620689655172413</v>
      </c>
      <c r="X29" s="23">
        <v>0</v>
      </c>
      <c r="Y29" s="24">
        <v>4</v>
      </c>
      <c r="Z29" s="23">
        <v>2</v>
      </c>
      <c r="AA29" s="24">
        <v>2</v>
      </c>
      <c r="AB29" s="23">
        <f>3+(0.25*0.16)+(0.25*0.16*3/90)</f>
        <v>3.0413333333333332</v>
      </c>
      <c r="AC29" s="24">
        <v>5</v>
      </c>
      <c r="AD29" s="23">
        <v>1</v>
      </c>
      <c r="AE29" s="10">
        <v>356</v>
      </c>
      <c r="AF29" s="10">
        <v>1977</v>
      </c>
      <c r="AG29" s="25">
        <f t="shared" ref="AG29" ca="1" si="122">(AD29+1+(LOG(I29)*4/3)+N29)*(Q29/7)^0.5</f>
        <v>1.4616468359149795</v>
      </c>
      <c r="AH29" s="25">
        <f t="shared" ref="AH29" ca="1" si="123">(AD29+1+N29+(LOG(I29)*4/3))*(IF(Q29=7, (Q29/7)^0.5, ((Q29+1)/7)^0.5))</f>
        <v>1.6011538862733727</v>
      </c>
      <c r="AI29" s="131">
        <f t="shared" ref="AI29" ca="1" si="124">(Z29+N29+(LOG(I29)*4/3))*(Q29/7)^0.5</f>
        <v>1.4616468359149792</v>
      </c>
      <c r="AJ29" s="131">
        <f t="shared" ref="AJ29" ca="1" si="125">(Z29+N29+(LOG(I29)*4/3))*(IF(Q29=7, (Q29/7)^0.5, ((Q29+1)/7)^0.5))</f>
        <v>1.6011538862733727</v>
      </c>
      <c r="AK29" s="9">
        <f t="shared" ref="AK29" ca="1" si="126">(((Y29+LOG(I29)*4/3+N29)+(AB29+LOG(I29)*4/3+N29)*2)/8)*(Q29/7)^0.5</f>
        <v>0.97942795146457018</v>
      </c>
      <c r="AL29" s="9">
        <f t="shared" ref="AL29" ca="1" si="127">(AD29+LOG(I29)*4/3+N29)*0.7+(AC29+LOG(I29)*4/3+N29)*0.3</f>
        <v>1.9294438591976262</v>
      </c>
      <c r="AM29" s="9">
        <f t="shared" ref="AM29" ca="1" si="128">(0.5*(AC29+LOG(I29)*4/3+N29)+ 0.3*(AD29+LOG(I29)*4/3+N29))/10</f>
        <v>0.25835550873581009</v>
      </c>
      <c r="AN29" s="9">
        <f t="shared" ref="AN29" ca="1" si="129">(0.4*(Y29+LOG(I29)*4/3+N29)+0.3*(AD29+LOG(I29)*4/3+N29))/10</f>
        <v>0.17106107014383384</v>
      </c>
      <c r="AO29" s="22">
        <v>1</v>
      </c>
      <c r="AP29" s="22">
        <v>2</v>
      </c>
      <c r="AQ29" s="22">
        <v>1</v>
      </c>
      <c r="AR29" s="145">
        <f t="shared" ref="AR29" si="130">IF(AP29=4,IF(AQ29=0,0.137+0.0697,0.137+0.02),IF(AP29=3,IF(AQ29=0,0.0958+0.0697,0.0958+0.02),IF(AP29=2,IF(AQ29=0,0.0415+0.0697,0.0415+0.02),IF(AP29=1,IF(AQ29=0,0.0294+0.0697,0.0294+0.02),IF(AP29=0,IF(AQ29=0,0.0063+0.0697,0.0063+0.02))))))</f>
        <v>6.1499999999999999E-2</v>
      </c>
      <c r="AS29">
        <v>520</v>
      </c>
    </row>
    <row r="30" spans="1:45" x14ac:dyDescent="0.25">
      <c r="A30" s="16" t="s">
        <v>424</v>
      </c>
      <c r="B30" s="16" t="s">
        <v>44</v>
      </c>
      <c r="C30" s="132">
        <f t="shared" ref="C30" ca="1" si="131">((33*112)-(E30*112)-(F30))/112</f>
        <v>15.8125</v>
      </c>
      <c r="D30" s="31" t="s">
        <v>417</v>
      </c>
      <c r="E30" s="18">
        <v>17</v>
      </c>
      <c r="F30" s="3">
        <f ca="1">8-159+16-570-5+D2-D1-2-12-49+9-11+44-40</f>
        <v>21</v>
      </c>
      <c r="G30" s="20" t="s">
        <v>190</v>
      </c>
      <c r="H30" s="5">
        <v>3</v>
      </c>
      <c r="I30" s="30">
        <v>1</v>
      </c>
      <c r="J30" s="24">
        <f t="shared" ref="J30" si="132">LOG(I30)*4/3</f>
        <v>0</v>
      </c>
      <c r="K30" s="7">
        <f t="shared" ref="K30" si="133">(H30)*(H30)*(I30)</f>
        <v>9</v>
      </c>
      <c r="L30" s="7">
        <f t="shared" ref="L30" si="134">(H30+1)*(H30+1)*I30</f>
        <v>16</v>
      </c>
      <c r="M30" s="146">
        <v>43046</v>
      </c>
      <c r="N30" s="147">
        <f t="shared" ref="N30" ca="1" si="135">IF((TODAY()-M30)&gt;335,1,((TODAY()-M30)^0.64)/(336^0.64))</f>
        <v>0.13081718674960124</v>
      </c>
      <c r="O30" s="21">
        <v>4.2</v>
      </c>
      <c r="P30" s="22">
        <f t="shared" ref="P30" si="136">O30*10+19</f>
        <v>61</v>
      </c>
      <c r="Q30" s="28">
        <v>6</v>
      </c>
      <c r="R30" s="126">
        <f t="shared" ref="R30" si="137">(Q30/7)^0.5</f>
        <v>0.92582009977255142</v>
      </c>
      <c r="S30" s="126">
        <f t="shared" ref="S30" si="138">IF(Q30=7,1,((Q30+0.99)/7)^0.5)</f>
        <v>0.99928545900129484</v>
      </c>
      <c r="T30" s="32">
        <v>540</v>
      </c>
      <c r="U30" s="32">
        <f t="shared" ref="U30" si="139">T30-AS30</f>
        <v>50</v>
      </c>
      <c r="V30" s="32">
        <v>250</v>
      </c>
      <c r="W30" s="9">
        <f t="shared" ref="W30" si="140">T30/V30</f>
        <v>2.16</v>
      </c>
      <c r="X30" s="23">
        <v>0</v>
      </c>
      <c r="Y30" s="24">
        <v>4</v>
      </c>
      <c r="Z30" s="23">
        <v>4</v>
      </c>
      <c r="AA30" s="24">
        <v>3</v>
      </c>
      <c r="AB30" s="23">
        <f>4+0.25+(0.25*0.16*3/90)</f>
        <v>4.2513333333333332</v>
      </c>
      <c r="AC30" s="24">
        <v>3</v>
      </c>
      <c r="AD30" s="23">
        <v>0</v>
      </c>
      <c r="AE30" s="10">
        <v>360</v>
      </c>
      <c r="AF30" s="10">
        <v>1991</v>
      </c>
      <c r="AG30" s="25">
        <f t="shared" ref="AG30" ca="1" si="141">(AD30+1+(LOG(I30)*4/3)+N30)*(Q30/7)^0.5</f>
        <v>1.0469332806610319</v>
      </c>
      <c r="AH30" s="25">
        <f t="shared" ref="AH30" ca="1" si="142">(AD30+1+N30+(LOG(I30)*4/3))*(IF(Q30=7, (Q30/7)^0.5, ((Q30+1)/7)^0.5))</f>
        <v>1.1308171867496013</v>
      </c>
      <c r="AI30" s="131">
        <f t="shared" ref="AI30" ca="1" si="143">(Z30+N30+(LOG(I30)*4/3))*(Q30/7)^0.5</f>
        <v>3.8243935799786857</v>
      </c>
      <c r="AJ30" s="131">
        <f t="shared" ref="AJ30" ca="1" si="144">(Z30+N30+(LOG(I30)*4/3))*(IF(Q30=7, (Q30/7)^0.5, ((Q30+1)/7)^0.5))</f>
        <v>4.1308171867496011</v>
      </c>
      <c r="AK30" s="9">
        <f t="shared" ref="AK30" ca="1" si="145">(((Y30+LOG(I30)*4/3+N30)+(AB30+LOG(I30)*4/3+N30)*2)/8)*(Q30/7)^0.5</f>
        <v>1.4923199554277158</v>
      </c>
      <c r="AL30" s="9">
        <f t="shared" ref="AL30" ca="1" si="146">(AD30+LOG(I30)*4/3+N30)*0.7+(AC30+LOG(I30)*4/3+N30)*0.3</f>
        <v>1.030817186749601</v>
      </c>
      <c r="AM30" s="9">
        <f t="shared" ref="AM30" ca="1" si="147">(0.5*(AC30+LOG(I30)*4/3+N30)+ 0.3*(AD30+LOG(I30)*4/3+N30))/10</f>
        <v>0.1604653749399681</v>
      </c>
      <c r="AN30" s="9">
        <f t="shared" ref="AN30" ca="1" si="148">(0.4*(Y30+LOG(I30)*4/3+N30)+0.3*(AD30+LOG(I30)*4/3+N30))/10</f>
        <v>0.16915720307247209</v>
      </c>
      <c r="AO30" s="22">
        <v>1</v>
      </c>
      <c r="AP30" s="22">
        <v>1</v>
      </c>
      <c r="AQ30" s="22">
        <v>3</v>
      </c>
      <c r="AR30" s="145">
        <f t="shared" ref="AR30" si="149">IF(AP30=4,IF(AQ30=0,0.137+0.0697,0.137+0.02),IF(AP30=3,IF(AQ30=0,0.0958+0.0697,0.0958+0.02),IF(AP30=2,IF(AQ30=0,0.0415+0.0697,0.0415+0.02),IF(AP30=1,IF(AQ30=0,0.0294+0.0697,0.0294+0.02),IF(AP30=0,IF(AQ30=0,0.0063+0.0697,0.0063+0.02))))))</f>
        <v>4.9399999999999999E-2</v>
      </c>
      <c r="AS30">
        <v>490</v>
      </c>
    </row>
    <row r="31" spans="1:45" x14ac:dyDescent="0.25">
      <c r="A31" s="16" t="s">
        <v>425</v>
      </c>
      <c r="B31" s="16" t="s">
        <v>99</v>
      </c>
      <c r="C31" s="132">
        <f t="shared" ref="C31" ca="1" si="150">((33*112)-(E31*112)-(F31))/112</f>
        <v>15.830357142857142</v>
      </c>
      <c r="D31" s="31" t="s">
        <v>412</v>
      </c>
      <c r="E31" s="18">
        <v>17</v>
      </c>
      <c r="F31" s="3">
        <f ca="1">8-159+16-570-5+D2-D1-2-12-49</f>
        <v>19</v>
      </c>
      <c r="G31" s="20" t="s">
        <v>190</v>
      </c>
      <c r="H31" s="5">
        <v>3</v>
      </c>
      <c r="I31" s="30">
        <v>0.5</v>
      </c>
      <c r="J31" s="24">
        <f t="shared" ref="J31" si="151">LOG(I31)*4/3</f>
        <v>-0.40137332755197491</v>
      </c>
      <c r="K31" s="7">
        <f t="shared" ref="K31" si="152">(H31)*(H31)*(I31)</f>
        <v>4.5</v>
      </c>
      <c r="L31" s="7">
        <f t="shared" ref="L31" si="153">(H31+1)*(H31+1)*I31</f>
        <v>8</v>
      </c>
      <c r="M31" s="146">
        <v>43046</v>
      </c>
      <c r="N31" s="147">
        <f t="shared" ref="N31" ca="1" si="154">IF((TODAY()-M31)&gt;335,1,((TODAY()-M31)^0.64)/(336^0.64))</f>
        <v>0.13081718674960124</v>
      </c>
      <c r="O31" s="21">
        <v>4.2</v>
      </c>
      <c r="P31" s="22">
        <f t="shared" ref="P31" si="155">O31*10+19</f>
        <v>61</v>
      </c>
      <c r="Q31" s="28">
        <v>5</v>
      </c>
      <c r="R31" s="126">
        <f t="shared" ref="R31" si="156">(Q31/7)^0.5</f>
        <v>0.84515425472851657</v>
      </c>
      <c r="S31" s="126">
        <f t="shared" ref="S31" si="157">IF(Q31=7,1,((Q31+0.99)/7)^0.5)</f>
        <v>0.92504826128926143</v>
      </c>
      <c r="T31" s="32">
        <v>610</v>
      </c>
      <c r="U31" s="32">
        <f t="shared" ref="U31" si="158">T31-AS31</f>
        <v>130</v>
      </c>
      <c r="V31" s="32">
        <v>270</v>
      </c>
      <c r="W31" s="9">
        <f t="shared" ref="W31" si="159">T31/V31</f>
        <v>2.2592592592592591</v>
      </c>
      <c r="X31" s="23">
        <v>0</v>
      </c>
      <c r="Y31" s="24">
        <v>3</v>
      </c>
      <c r="Z31" s="23">
        <v>4</v>
      </c>
      <c r="AA31" s="24">
        <v>4</v>
      </c>
      <c r="AB31" s="23">
        <f>3+(0.25*0.16*31/90)+(0.25*0.16*3/90)</f>
        <v>3.0151111111111111</v>
      </c>
      <c r="AC31" s="24">
        <v>4</v>
      </c>
      <c r="AD31" s="23">
        <v>1</v>
      </c>
      <c r="AE31" s="10">
        <v>352</v>
      </c>
      <c r="AF31" s="10">
        <v>1986</v>
      </c>
      <c r="AG31" s="25">
        <f t="shared" ref="AG31" ca="1" si="160">(AD31+1+(LOG(I31)*4/3)+N31)*(Q31/7)^0.5</f>
        <v>1.4616468359149795</v>
      </c>
      <c r="AH31" s="25">
        <f t="shared" ref="AH31" ca="1" si="161">(AD31+1+N31+(LOG(I31)*4/3))*(IF(Q31=7, (Q31/7)^0.5, ((Q31+1)/7)^0.5))</f>
        <v>1.6011538862733727</v>
      </c>
      <c r="AI31" s="131">
        <f t="shared" ref="AI31" ca="1" si="162">(Z31+N31+(LOG(I31)*4/3))*(Q31/7)^0.5</f>
        <v>3.1519553453720124</v>
      </c>
      <c r="AJ31" s="131">
        <f t="shared" ref="AJ31" ca="1" si="163">(Z31+N31+(LOG(I31)*4/3))*(IF(Q31=7, (Q31/7)^0.5, ((Q31+1)/7)^0.5))</f>
        <v>3.4527940858184754</v>
      </c>
      <c r="AK31" s="9">
        <f t="shared" ref="AK31" ca="1" si="164">(((Y31+LOG(I31)*4/3+N31)+(AB31+LOG(I31)*4/3+N31)*2)/8)*(Q31/7)^0.5</f>
        <v>0.8682432139536187</v>
      </c>
      <c r="AL31" s="9">
        <f t="shared" ref="AL31" ca="1" si="165">(AD31+LOG(I31)*4/3+N31)*0.7+(AC31+LOG(I31)*4/3+N31)*0.3</f>
        <v>1.6294438591976264</v>
      </c>
      <c r="AM31" s="9">
        <f t="shared" ref="AM31" ca="1" si="166">(0.5*(AC31+LOG(I31)*4/3+N31)+ 0.3*(AD31+LOG(I31)*4/3+N31))/10</f>
        <v>0.20835550873581013</v>
      </c>
      <c r="AN31" s="9">
        <f t="shared" ref="AN31" ca="1" si="167">(0.4*(Y31+LOG(I31)*4/3+N31)+0.3*(AD31+LOG(I31)*4/3+N31))/10</f>
        <v>0.13106107014383384</v>
      </c>
      <c r="AO31" s="22">
        <v>1</v>
      </c>
      <c r="AP31" s="22">
        <v>3</v>
      </c>
      <c r="AQ31" s="22">
        <v>1</v>
      </c>
      <c r="AR31" s="145">
        <f t="shared" ref="AR31" si="168">IF(AP31=4,IF(AQ31=0,0.137+0.0697,0.137+0.02),IF(AP31=3,IF(AQ31=0,0.0958+0.0697,0.0958+0.02),IF(AP31=2,IF(AQ31=0,0.0415+0.0697,0.0415+0.02),IF(AP31=1,IF(AQ31=0,0.0294+0.0697,0.0294+0.02),IF(AP31=0,IF(AQ31=0,0.0063+0.0697,0.0063+0.02))))))</f>
        <v>0.1158</v>
      </c>
      <c r="AS31">
        <v>480</v>
      </c>
    </row>
    <row r="32" spans="1:45" x14ac:dyDescent="0.25">
      <c r="A32" s="16"/>
      <c r="B32" s="16"/>
      <c r="C32" s="132"/>
      <c r="D32" s="31" t="s">
        <v>196</v>
      </c>
      <c r="E32" s="18"/>
      <c r="F32" s="19"/>
      <c r="G32" s="20"/>
      <c r="H32" s="5"/>
      <c r="I32" s="30"/>
      <c r="J32" s="24"/>
      <c r="K32" s="7"/>
      <c r="L32" s="7"/>
      <c r="M32" s="146"/>
      <c r="N32" s="147"/>
      <c r="O32" s="21"/>
      <c r="P32" s="22"/>
      <c r="Q32" s="22"/>
      <c r="R32" s="126"/>
      <c r="S32" s="126"/>
      <c r="T32" s="32"/>
      <c r="U32" s="32"/>
      <c r="V32" s="32"/>
      <c r="W32" s="9"/>
      <c r="X32" s="23"/>
      <c r="Y32" s="24"/>
      <c r="Z32" s="23"/>
      <c r="AA32" s="24"/>
      <c r="AB32" s="23"/>
      <c r="AC32" s="24"/>
      <c r="AD32" s="23"/>
      <c r="AE32" s="10"/>
      <c r="AF32" s="10"/>
      <c r="AG32" s="25"/>
      <c r="AH32" s="25"/>
      <c r="AI32" s="131"/>
      <c r="AJ32" s="131"/>
      <c r="AK32" s="9"/>
      <c r="AL32" s="9"/>
      <c r="AM32" s="9"/>
      <c r="AN32" s="9"/>
      <c r="AO32" s="22">
        <v>0</v>
      </c>
      <c r="AP32" s="22">
        <v>4</v>
      </c>
      <c r="AQ32" s="22">
        <v>0</v>
      </c>
      <c r="AR32" s="145">
        <f>IF(AP32=4,IF(AQ32=0,0.137+0.0697,0.137+0.02),IF(AP32=3,IF(AQ32=0,0.0958+0.0697,0.0958+0.02),IF(AP32=2,IF(AQ32=0,0.0415+0.0697,0.0415+0.02),IF(AP32=1,IF(AQ32=0,0.0294+0.0697,0.0294+0.02),IF(AP32=0,IF(AQ32=0,0.0063+0.0697,0.0063+0.02))))))</f>
        <v>0.20669999999999999</v>
      </c>
    </row>
    <row r="33" spans="22:22" x14ac:dyDescent="0.25">
      <c r="V33" s="75"/>
    </row>
    <row r="35" spans="22:22" x14ac:dyDescent="0.25">
      <c r="V35" s="75"/>
    </row>
  </sheetData>
  <conditionalFormatting sqref="U2">
    <cfRule type="dataBar" priority="408">
      <dataBar>
        <cfvo type="min"/>
        <cfvo type="max"/>
        <color rgb="FF63C384"/>
      </dataBar>
      <extLst>
        <ext xmlns:x14="http://schemas.microsoft.com/office/spreadsheetml/2009/9/main" uri="{B025F937-C7B1-47D3-B67F-A62EFF666E3E}">
          <x14:id>{1A3317A4-2E15-4A61-81B2-0B5998394877}</x14:id>
        </ext>
      </extLst>
    </cfRule>
  </conditionalFormatting>
  <conditionalFormatting sqref="C4:C32">
    <cfRule type="colorScale" priority="38">
      <colorScale>
        <cfvo type="min"/>
        <cfvo type="max"/>
        <color rgb="FFFFEF9C"/>
        <color rgb="FF63BE7B"/>
      </colorScale>
    </cfRule>
  </conditionalFormatting>
  <conditionalFormatting sqref="I4:I32">
    <cfRule type="cellIs" dxfId="38" priority="37" operator="lessThan">
      <formula>6</formula>
    </cfRule>
  </conditionalFormatting>
  <conditionalFormatting sqref="N4:N32">
    <cfRule type="cellIs" dxfId="37" priority="36" operator="lessThan">
      <formula>0.75</formula>
    </cfRule>
  </conditionalFormatting>
  <conditionalFormatting sqref="P4:P32">
    <cfRule type="cellIs" dxfId="36" priority="34" operator="greaterThan">
      <formula>90</formula>
    </cfRule>
    <cfRule type="cellIs" dxfId="35" priority="35" operator="lessThan">
      <formula>85</formula>
    </cfRule>
  </conditionalFormatting>
  <conditionalFormatting sqref="R4:S32">
    <cfRule type="colorScale" priority="33">
      <colorScale>
        <cfvo type="min"/>
        <cfvo type="percentile" val="50"/>
        <cfvo type="max"/>
        <color rgb="FFF8696B"/>
        <color rgb="FFFFEB84"/>
        <color rgb="FF63BE7B"/>
      </colorScale>
    </cfRule>
  </conditionalFormatting>
  <conditionalFormatting sqref="T4:T32">
    <cfRule type="dataBar" priority="32">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32">
    <cfRule type="dataBar" priority="31">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32">
    <cfRule type="dataBar" priority="30">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32">
    <cfRule type="dataBar" priority="29">
      <dataBar>
        <cfvo type="min"/>
        <cfvo type="max"/>
        <color rgb="FFFFB628"/>
      </dataBar>
      <extLst>
        <ext xmlns:x14="http://schemas.microsoft.com/office/spreadsheetml/2009/9/main" uri="{B025F937-C7B1-47D3-B67F-A62EFF666E3E}">
          <x14:id>{BC0019C4-5DF2-4032-8F76-A8A2E8FCCC3F}</x14:id>
        </ext>
      </extLst>
    </cfRule>
  </conditionalFormatting>
  <conditionalFormatting sqref="X4:AD18">
    <cfRule type="cellIs" dxfId="34" priority="27" operator="greaterThan">
      <formula>10</formula>
    </cfRule>
    <cfRule type="colorScale" priority="28">
      <colorScale>
        <cfvo type="min"/>
        <cfvo type="max"/>
        <color rgb="FFFFEF9C"/>
        <color rgb="FF63BE7B"/>
      </colorScale>
    </cfRule>
  </conditionalFormatting>
  <conditionalFormatting sqref="AE4:AF32">
    <cfRule type="dataBar" priority="26">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4:AH32">
    <cfRule type="colorScale" priority="25">
      <colorScale>
        <cfvo type="min"/>
        <cfvo type="percentile" val="50"/>
        <cfvo type="max"/>
        <color rgb="FFF8696B"/>
        <color rgb="FFFFEB84"/>
        <color rgb="FF63BE7B"/>
      </colorScale>
    </cfRule>
  </conditionalFormatting>
  <conditionalFormatting sqref="AI4:AJ32">
    <cfRule type="colorScale" priority="24">
      <colorScale>
        <cfvo type="min"/>
        <cfvo type="percentile" val="50"/>
        <cfvo type="max"/>
        <color rgb="FFF8696B"/>
        <color rgb="FFFFEB84"/>
        <color rgb="FF63BE7B"/>
      </colorScale>
    </cfRule>
  </conditionalFormatting>
  <conditionalFormatting sqref="AK4:AK32">
    <cfRule type="colorScale" priority="23">
      <colorScale>
        <cfvo type="min"/>
        <cfvo type="percentile" val="50"/>
        <cfvo type="max"/>
        <color rgb="FFF8696B"/>
        <color rgb="FFFFEB84"/>
        <color rgb="FF63BE7B"/>
      </colorScale>
    </cfRule>
  </conditionalFormatting>
  <conditionalFormatting sqref="AL4:AL32">
    <cfRule type="colorScale" priority="22">
      <colorScale>
        <cfvo type="min"/>
        <cfvo type="percentile" val="50"/>
        <cfvo type="max"/>
        <color rgb="FFF8696B"/>
        <color rgb="FFFFEB84"/>
        <color rgb="FF63BE7B"/>
      </colorScale>
    </cfRule>
  </conditionalFormatting>
  <conditionalFormatting sqref="AM4:AN32">
    <cfRule type="colorScale" priority="21">
      <colorScale>
        <cfvo type="min"/>
        <cfvo type="percentile" val="50"/>
        <cfvo type="max"/>
        <color rgb="FFF8696B"/>
        <color rgb="FFFFEB84"/>
        <color rgb="FF63BE7B"/>
      </colorScale>
    </cfRule>
  </conditionalFormatting>
  <conditionalFormatting sqref="AR4:AR32">
    <cfRule type="colorScale" priority="20">
      <colorScale>
        <cfvo type="min"/>
        <cfvo type="percentile" val="50"/>
        <cfvo type="max"/>
        <color rgb="FF63BE7B"/>
        <color rgb="FFFFEB84"/>
        <color rgb="FFF8696B"/>
      </colorScale>
    </cfRule>
  </conditionalFormatting>
  <conditionalFormatting sqref="X19:AD32">
    <cfRule type="colorScale" priority="19">
      <colorScale>
        <cfvo type="min"/>
        <cfvo type="max"/>
        <color rgb="FFFCFCFF"/>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T4:T32</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V4:V32</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U4:U32</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W4:W32</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44"/>
  <sheetViews>
    <sheetView workbookViewId="0">
      <pane xSplit="8" ySplit="2" topLeftCell="I3" activePane="bottomRight" state="frozen"/>
      <selection pane="topRight" activeCell="I1" sqref="I1"/>
      <selection pane="bottomLeft" activeCell="A3" sqref="A3"/>
      <selection pane="bottomRight" activeCell="A22" sqref="A22"/>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9"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3"/>
      <c r="W1" t="s">
        <v>76</v>
      </c>
      <c r="Z1" t="s">
        <v>77</v>
      </c>
      <c r="AD1" t="s">
        <v>78</v>
      </c>
      <c r="AH1" t="s">
        <v>79</v>
      </c>
      <c r="AL1" t="s">
        <v>80</v>
      </c>
      <c r="AP1" t="s">
        <v>81</v>
      </c>
      <c r="AW1" t="s">
        <v>82</v>
      </c>
      <c r="BD1" t="s">
        <v>49</v>
      </c>
      <c r="BI1" t="s">
        <v>83</v>
      </c>
      <c r="BN1" t="s">
        <v>84</v>
      </c>
      <c r="BS1" t="s">
        <v>85</v>
      </c>
      <c r="BX1" t="s">
        <v>86</v>
      </c>
      <c r="CB1" t="s">
        <v>44</v>
      </c>
    </row>
    <row r="2" spans="1:83" x14ac:dyDescent="0.25">
      <c r="A2" s="44" t="s">
        <v>3</v>
      </c>
      <c r="B2" s="44" t="s">
        <v>87</v>
      </c>
      <c r="C2" s="44" t="s">
        <v>5</v>
      </c>
      <c r="D2" s="116" t="s">
        <v>88</v>
      </c>
      <c r="E2" s="44" t="s">
        <v>89</v>
      </c>
      <c r="F2" s="53" t="s">
        <v>90</v>
      </c>
      <c r="G2" s="53" t="s">
        <v>102</v>
      </c>
      <c r="H2" s="53" t="s">
        <v>103</v>
      </c>
      <c r="I2" s="54" t="s">
        <v>104</v>
      </c>
      <c r="J2" s="45" t="s">
        <v>91</v>
      </c>
      <c r="K2" s="45" t="s">
        <v>28</v>
      </c>
      <c r="L2" s="45" t="s">
        <v>30</v>
      </c>
      <c r="M2" s="45" t="s">
        <v>92</v>
      </c>
      <c r="N2" s="45" t="s">
        <v>75</v>
      </c>
      <c r="O2" s="45" t="s">
        <v>93</v>
      </c>
      <c r="P2" s="45" t="s">
        <v>94</v>
      </c>
      <c r="Q2" s="45" t="s">
        <v>48</v>
      </c>
      <c r="R2" s="46" t="s">
        <v>22</v>
      </c>
      <c r="S2" s="46" t="s">
        <v>95</v>
      </c>
      <c r="T2" s="46" t="s">
        <v>96</v>
      </c>
      <c r="U2" s="46" t="s">
        <v>26</v>
      </c>
      <c r="V2" s="46" t="s">
        <v>27</v>
      </c>
      <c r="W2" s="47" t="s">
        <v>97</v>
      </c>
      <c r="X2" s="47" t="s">
        <v>98</v>
      </c>
      <c r="Y2" s="47" t="s">
        <v>97</v>
      </c>
      <c r="Z2" s="48" t="s">
        <v>97</v>
      </c>
      <c r="AA2" s="48" t="s">
        <v>98</v>
      </c>
      <c r="AB2" s="48" t="s">
        <v>97</v>
      </c>
      <c r="AC2" s="48" t="s">
        <v>99</v>
      </c>
      <c r="AD2" s="48" t="s">
        <v>97</v>
      </c>
      <c r="AE2" s="48" t="s">
        <v>98</v>
      </c>
      <c r="AF2" s="48" t="s">
        <v>97</v>
      </c>
      <c r="AG2" s="48" t="s">
        <v>99</v>
      </c>
      <c r="AH2" s="47" t="s">
        <v>97</v>
      </c>
      <c r="AI2" s="47" t="s">
        <v>98</v>
      </c>
      <c r="AJ2" s="47" t="s">
        <v>99</v>
      </c>
      <c r="AK2" s="47" t="s">
        <v>100</v>
      </c>
      <c r="AL2" s="47" t="s">
        <v>97</v>
      </c>
      <c r="AM2" s="47" t="s">
        <v>98</v>
      </c>
      <c r="AN2" s="47" t="s">
        <v>99</v>
      </c>
      <c r="AO2" s="47" t="s">
        <v>100</v>
      </c>
      <c r="AP2" s="47" t="s">
        <v>97</v>
      </c>
      <c r="AQ2" s="47" t="s">
        <v>98</v>
      </c>
      <c r="AR2" s="47" t="s">
        <v>97</v>
      </c>
      <c r="AS2" s="47" t="s">
        <v>99</v>
      </c>
      <c r="AT2" s="47" t="s">
        <v>100</v>
      </c>
      <c r="AU2" s="47" t="s">
        <v>101</v>
      </c>
      <c r="AV2" s="47" t="s">
        <v>100</v>
      </c>
      <c r="AW2" s="47" t="s">
        <v>97</v>
      </c>
      <c r="AX2" s="47" t="s">
        <v>98</v>
      </c>
      <c r="AY2" s="47" t="s">
        <v>97</v>
      </c>
      <c r="AZ2" s="47" t="s">
        <v>99</v>
      </c>
      <c r="BA2" s="47" t="s">
        <v>100</v>
      </c>
      <c r="BB2" s="47" t="s">
        <v>101</v>
      </c>
      <c r="BC2" s="47" t="s">
        <v>100</v>
      </c>
      <c r="BD2" s="48" t="s">
        <v>97</v>
      </c>
      <c r="BE2" s="48" t="s">
        <v>98</v>
      </c>
      <c r="BF2" s="48" t="s">
        <v>99</v>
      </c>
      <c r="BG2" s="48" t="s">
        <v>100</v>
      </c>
      <c r="BH2" s="48" t="s">
        <v>101</v>
      </c>
      <c r="BI2" s="48" t="s">
        <v>97</v>
      </c>
      <c r="BJ2" s="48" t="s">
        <v>98</v>
      </c>
      <c r="BK2" s="48" t="s">
        <v>99</v>
      </c>
      <c r="BL2" s="48" t="s">
        <v>100</v>
      </c>
      <c r="BM2" s="48" t="s">
        <v>101</v>
      </c>
      <c r="BN2" s="47" t="s">
        <v>97</v>
      </c>
      <c r="BO2" s="47" t="s">
        <v>98</v>
      </c>
      <c r="BP2" s="47" t="s">
        <v>99</v>
      </c>
      <c r="BQ2" s="47" t="s">
        <v>100</v>
      </c>
      <c r="BR2" s="47" t="s">
        <v>101</v>
      </c>
      <c r="BS2" s="47" t="s">
        <v>97</v>
      </c>
      <c r="BT2" s="47" t="s">
        <v>98</v>
      </c>
      <c r="BU2" s="47" t="s">
        <v>99</v>
      </c>
      <c r="BV2" s="47" t="s">
        <v>100</v>
      </c>
      <c r="BW2" s="47" t="s">
        <v>101</v>
      </c>
      <c r="BX2" s="48" t="s">
        <v>99</v>
      </c>
      <c r="BY2" s="48" t="s">
        <v>100</v>
      </c>
      <c r="BZ2" s="48" t="s">
        <v>101</v>
      </c>
      <c r="CA2" s="48" t="s">
        <v>100</v>
      </c>
      <c r="CB2" s="47" t="s">
        <v>100</v>
      </c>
      <c r="CC2" s="47" t="s">
        <v>101</v>
      </c>
      <c r="CD2" s="47" t="s">
        <v>100</v>
      </c>
      <c r="CE2" s="47" t="s">
        <v>99</v>
      </c>
    </row>
    <row r="3" spans="1:83" x14ac:dyDescent="0.25">
      <c r="A3" t="str">
        <f>PLANTILLA!D4</f>
        <v>Damián Sala</v>
      </c>
      <c r="B3">
        <f>PLANTILLA!E4</f>
        <v>30</v>
      </c>
      <c r="C3" s="36">
        <f ca="1">PLANTILLA!F4</f>
        <v>25</v>
      </c>
      <c r="D3" s="69">
        <f>PLANTILLA!G4</f>
        <v>0</v>
      </c>
      <c r="E3" s="49">
        <v>42200</v>
      </c>
      <c r="F3" s="51">
        <f>PLANTILLA!Q4</f>
        <v>7</v>
      </c>
      <c r="G3" s="52">
        <f>(F3/7)^0.5</f>
        <v>1</v>
      </c>
      <c r="H3" s="52">
        <f>IF(F3=7,1,((F3+0.99)/7)^0.5)</f>
        <v>1</v>
      </c>
      <c r="I3" s="55">
        <f ca="1">IF(TODAY()-E3&gt;335,1,((TODAY()-E3)^0.5)/336^0.5)</f>
        <v>1</v>
      </c>
      <c r="J3" s="42">
        <f>PLANTILLA!I4</f>
        <v>10.6</v>
      </c>
      <c r="K3" s="50">
        <f>PLANTILLA!X4</f>
        <v>14</v>
      </c>
      <c r="L3" s="50">
        <f>PLANTILLA!Y4</f>
        <v>11.066666666666666</v>
      </c>
      <c r="M3" s="50">
        <f>PLANTILLA!Z4</f>
        <v>0.17999999999999997</v>
      </c>
      <c r="N3" s="50">
        <f>PLANTILLA!AA4</f>
        <v>0.01</v>
      </c>
      <c r="O3" s="50">
        <f>PLANTILLA!AB4</f>
        <v>2.3299999999999996</v>
      </c>
      <c r="P3" s="50">
        <f>PLANTILLA!AC4</f>
        <v>1.8100000000000005</v>
      </c>
      <c r="Q3" s="50">
        <f>PLANTILLA!AD4</f>
        <v>19.149999999999999</v>
      </c>
      <c r="R3" s="50">
        <f>((2*(O3+1))+(L3+1))/8</f>
        <v>2.3408333333333333</v>
      </c>
      <c r="S3" s="50">
        <f>(0.5*P3+ 0.3*Q3)/10</f>
        <v>0.66499999999999992</v>
      </c>
      <c r="T3" s="50">
        <f>(0.4*L3+0.3*Q3)/10</f>
        <v>1.0171666666666668</v>
      </c>
      <c r="U3" s="50">
        <f t="shared" ref="U3" ca="1" si="0">IF(TODAY()-E3&gt;335,(Q3+1+(LOG(J3)*4/3))*(F3/7)^0.5,(Q3+((TODAY()-E3)^0.5)/(336^0.5)+(LOG(J3)*4/3))*(F3/7)^0.5)</f>
        <v>21.517074487019691</v>
      </c>
      <c r="V3" s="50">
        <f t="shared" ref="V3" ca="1" si="1">IF(F3=7,U3,IF(TODAY()-E3&gt;335,(Q3+1+(LOG(J3)*4/3))*((F3+0.99)/7)^0.5,(Q3+((TODAY()-E3)^0.5)/(336^0.5)+(LOG(J3)*4/3))*((F3+0.99)/7)^0.5))</f>
        <v>21.517074487019691</v>
      </c>
      <c r="W3" s="40">
        <f ca="1">IF(TODAY()-E3&gt;335,((K3+1+(LOG(J3)*4/3))*0.597)+((L3+1+(LOG(J3)*4/3))*0.276),((K3+(((TODAY()-E3)^0.5)/(336^0.5))+(LOG(J3)*4/3))*0.597)+((L3+(((TODAY()-E3)^0.5)/(336^0.5))+(LOG(J3)*4/3))*0.276))</f>
        <v>13.478856027168192</v>
      </c>
      <c r="X3" s="40">
        <f ca="1">IF(TODAY()-E3&gt;335,((K3+1+(LOG(J3)*4/3))*0.866)+((L3+1+(LOG(J3)*4/3))*0.425),((K3+(((TODAY()-E3)^0.5)/(336^0.5))+(LOG(J3)*4/3))*0.866)+((L3+(((TODAY()-E3)^0.5)/(336^0.5))+(LOG(J3)*4/3))*0.425))</f>
        <v>19.883226496075757</v>
      </c>
      <c r="Y3" s="40">
        <f ca="1">W3</f>
        <v>13.478856027168192</v>
      </c>
      <c r="Z3" s="40">
        <f ca="1">IF(TODAY()-E3&gt;335,((L3+1+(LOG(J3)*4/3))*0.516),((L3+(((TODAY()-E3)^0.5)/(336^0.516))+(LOG(J3)*4/3))*0.516))</f>
        <v>6.9318104353021619</v>
      </c>
      <c r="AA3" s="40">
        <f t="shared" ref="AA3" ca="1" si="2">IF(TODAY()-E3&gt;335,((L3+1+(LOG(J3)*4/3))*1),((L3+(((TODAY()-E3)^0.5)/(336^0.5))+(LOG(J3)*4/3))*1))</f>
        <v>13.433741153686359</v>
      </c>
      <c r="AB3" s="40">
        <f ca="1">Z3/2</f>
        <v>3.4659052176510809</v>
      </c>
      <c r="AC3" s="40">
        <f ca="1">IF(TODAY()-E3&gt;335,((M3+1+(LOG(J3)*4/3))*0.238),((M3+(((TODAY()-E3)^0.5)/(336^0.238))+(LOG(J3)*4/3))*0.238))</f>
        <v>0.606203727910687</v>
      </c>
      <c r="AD3" s="40">
        <f ca="1">IF(TODAY()-E3&gt;335,((L3+1+(LOG(J3)*4/3))*0.378),((L3+(((TODAY()-E3)^0.5)/(336^0.516))+(LOG(J3)*4/3))*0.378))</f>
        <v>5.077954156093444</v>
      </c>
      <c r="AE3" s="40">
        <f ca="1">IF(TODAY()-E3&gt;335,((L3+1+(LOG(J3)*4/3))*0.723),((L3+(((TODAY()-E3)^0.5)/(336^0.5))+(LOG(J3)*4/3))*0.723))</f>
        <v>9.7125948541152365</v>
      </c>
      <c r="AF3" s="40">
        <f ca="1">AD3/2</f>
        <v>2.538977078046722</v>
      </c>
      <c r="AG3" s="40">
        <f ca="1">IF(TODAY()-E3&gt;335,((M3+1+(LOG(J3)*4/3))*0.385),((M3+(((TODAY()-E3)^0.5)/(336^0.238))+(LOG(J3)*4/3))*0.385))</f>
        <v>0.98062367750258195</v>
      </c>
      <c r="AH3" s="40">
        <f t="shared" ref="AH3" ca="1" si="3">IF(TODAY()-E3&gt;335,((L3+1+(LOG(J3)*4/3))*0.92),((L3+(((TODAY()-E3)^0.5)/(336^0.5))+(LOG(J3)*4/3))*0.92))</f>
        <v>12.35904186139145</v>
      </c>
      <c r="AI3" s="40">
        <f ca="1">IF(TODAY()-E3&gt;335,((L3+1+(LOG(J3)*4/3))*0.414),((L3+(((TODAY()-E3)^0.5)/(336^0.414))+(LOG(J3)*4/3))*0.414))</f>
        <v>5.5615688376261527</v>
      </c>
      <c r="AJ3" s="40">
        <f ca="1">IF(TODAY()-E3&gt;335,((M3+1+(LOG(J3)*4/3))*0.167),((M3+(((TODAY()-E3)^0.5)/(336^0.5))+(LOG(J3)*4/3))*0.167))</f>
        <v>0.42536143933228882</v>
      </c>
      <c r="AK3" s="40">
        <f ca="1">IF(TODAY()-E3&gt;335,((N3+1+(LOG(J3)*4/3))*0.588),((N3+(((TODAY()-E3)^0.5)/(336^0.5))+(LOG(J3)*4/3))*0.588))</f>
        <v>1.3977197983675795</v>
      </c>
      <c r="AL3" s="40">
        <f ca="1">IF(TODAY()-E3&gt;335,((L3+1+(LOG(J3)*4/3))*0.754),((L3+(((TODAY()-E3)^0.5)/(336^0.5))+(LOG(J3)*4/3))*0.754))</f>
        <v>10.129040829879514</v>
      </c>
      <c r="AM3" s="40">
        <f ca="1">IF(TODAY()-E3&gt;335,((L3+1+(LOG(J3)*4/3))*0.708),((L3+(((TODAY()-E3)^0.5)/(336^0.414))+(LOG(J3)*4/3))*0.708))</f>
        <v>9.5110887368099419</v>
      </c>
      <c r="AN3" s="40">
        <f ca="1">IF(TODAY()-E3&gt;335,((Q3+1+(LOG(J3)*4/3))*0.167),((Q3+(((TODAY()-E3)^0.5)/(336^0.5))+(LOG(J3)*4/3))*0.167))</f>
        <v>3.5933514393322885</v>
      </c>
      <c r="AO3" s="40">
        <f ca="1">IF(TODAY()-E3&gt;335,((R3+1+(LOG(J3)*4/3))*0.288),((R3+(((TODAY()-E3)^0.5)/(336^0.5))+(LOG(J3)*4/3))*0.288))</f>
        <v>1.3558774522616717</v>
      </c>
      <c r="AP3" s="40">
        <f ca="1">IF(TODAY()-E3&gt;335,((L3+1+(LOG(J3)*4/3))*0.27),((L3+(((TODAY()-E3)^0.5)/(336^0.5))+(LOG(J3)*4/3))*0.27))</f>
        <v>3.627110111495317</v>
      </c>
      <c r="AQ3" s="40">
        <f ca="1">IF(TODAY()-E3&gt;335,((L3+1+(LOG(J3)*4/3))*0.594),((L3+(((TODAY()-E3)^0.5)/(336^0.5))+(LOG(J3)*4/3))*0.594))</f>
        <v>7.9796422452896971</v>
      </c>
      <c r="AR3" s="40">
        <f ca="1">AP3/2</f>
        <v>1.8135550557476585</v>
      </c>
      <c r="AS3" s="40">
        <f ca="1">IF(TODAY()-E3&gt;335,((M3+1+(LOG(J3)*4/3))*0.944),((M3+(((TODAY()-E3)^0.5)/(336^0.5))+(LOG(J3)*4/3))*0.944))</f>
        <v>2.4044383157465905</v>
      </c>
      <c r="AT3" s="40">
        <f ca="1">IF(TODAY()-E3&gt;335,((O3+1+(LOG(J3)*4/3))*0.13),((O3+(((TODAY()-E3)^0.5)/(336^0.5))+(LOG(J3)*4/3))*0.13))</f>
        <v>0.61061968331256011</v>
      </c>
      <c r="AU3" s="40">
        <f ca="1">IF(TODAY()-E3&gt;335,((P3+1+(LOG(J3)*4/3))*0.173)+((O3+1+(LOG(J3)*4/3))*0.12),((P3+(((TODAY()-E3)^0.5)/(336^0.5))+(LOG(J3)*4/3))*0.173)+((O3+(((TODAY()-E3)^0.5)/(336^0.5))+(LOG(J3)*4/3))*0.12))</f>
        <v>1.2862828246967701</v>
      </c>
      <c r="AV3" s="40">
        <f ca="1">AT3/2</f>
        <v>0.30530984165628006</v>
      </c>
      <c r="AW3" s="40">
        <f ca="1">IF(TODAY()-E3&gt;335,((L3+1+(LOG(J3)*4/3))*0.189),((L3+(((TODAY()-E3)^0.5)/(336^0.5))+(LOG(J3)*4/3))*0.189))</f>
        <v>2.538977078046722</v>
      </c>
      <c r="AX3" s="40">
        <f ca="1">IF(TODAY()-E3&gt;335,((L3+1+(LOG(J3)*4/3))*0.4),((L3+(((TODAY()-E3)^0.5)/(336^0.5))+(LOG(J3)*4/3))*0.4))</f>
        <v>5.3734964614745442</v>
      </c>
      <c r="AY3" s="40">
        <f ca="1">AW3/2</f>
        <v>1.269488539023361</v>
      </c>
      <c r="AZ3" s="40">
        <f ca="1">IF(TODAY()-E3&gt;335,((M3+1+(LOG(J3)*4/3))*1),((M3+(((TODAY()-E3)^0.5)/(336^0.5))+(LOG(J3)*4/3))*1))</f>
        <v>2.5470744870196933</v>
      </c>
      <c r="BA3" s="40">
        <f ca="1">IF(TODAY()-E3&gt;335,((O3+1+(LOG(J3)*4/3))*0.253),((O3+(((TODAY()-E3)^0.5)/(336^0.5))+(LOG(J3)*4/3))*0.253))</f>
        <v>1.1883598452159823</v>
      </c>
      <c r="BB3" s="40">
        <f ca="1">IF(TODAY()-E3&gt;335,((P3+1+(LOG(J3)*4/3))*0.21)+((O3+1+(LOG(J3)*4/3))*0.341),((P3+(((TODAY()-E3)^0.5)/(336^0.5))+(LOG(J3)*4/3))*0.21)+((O3+(((TODAY()-E3)^0.5)/(336^0.5))+(LOG(J3)*4/3))*0.341))</f>
        <v>2.478888042347851</v>
      </c>
      <c r="BC3" s="40">
        <f ca="1">BA3/2</f>
        <v>0.59417992260799113</v>
      </c>
      <c r="BD3" s="40">
        <f ca="1">IF(TODAY()-E3&gt;335,((L3+1+(LOG(J3)*4/3))*0.291),((L3+(((TODAY()-E3)^0.5)/(336^0.5))+(LOG(J3)*4/3))*0.291))</f>
        <v>3.9092186757227303</v>
      </c>
      <c r="BE3" s="40">
        <f ca="1">IF(TODAY()-E3&gt;335,((L3+1+(LOG(J3)*4/3))*0.348),((L3+(((TODAY()-E3)^0.5)/(336^0.5))+(LOG(J3)*4/3))*0.348))</f>
        <v>4.6749419214828523</v>
      </c>
      <c r="BF3" s="40">
        <f ca="1">IF(TODAY()-E3&gt;335,((M3+1+(LOG(J3)*4/3))*0.881),((M3+(((TODAY()-E3)^0.5)/(336^0.5))+(LOG(J3)*4/3))*0.881))</f>
        <v>2.2439726230643497</v>
      </c>
      <c r="BG3" s="40">
        <f ca="1">IF(TODAY()-E3&gt;335,((N3+1+(LOG(J3)*4/3))*0.574)+((O3+1+(LOG(J3)*4/3))*0.315),((N3+(((TODAY()-E3)^0.5)/(336^0.5))+(LOG(J3)*4/3))*0.574)+((O3+(((TODAY()-E3)^0.5)/(336^0.5))+(LOG(J3)*4/3))*0.315))</f>
        <v>2.8440192189605069</v>
      </c>
      <c r="BH3" s="40">
        <f ca="1">IF(TODAY()-E3&gt;335,((O3+1+(LOG(J3)*4/3))*0.241),((O3+(((TODAY()-E3)^0.5)/(336^0.5))+(LOG(J3)*4/3))*0.241))</f>
        <v>1.131994951371746</v>
      </c>
      <c r="BI3" s="40">
        <f ca="1">IF(TODAY()-E3&gt;335,((L3+1+(LOG(J3)*4/3))*0.485),((L3+(((TODAY()-E3)^0.5)/(336^0.5))+(LOG(J3)*4/3))*0.485))</f>
        <v>6.5153644595378841</v>
      </c>
      <c r="BJ3" s="40">
        <f ca="1">IF(TODAY()-E3&gt;335,((L3+1+(LOG(J3)*4/3))*0.264),((L3+(((TODAY()-E3)^0.5)/(336^0.5))+(LOG(J3)*4/3))*0.264))</f>
        <v>3.5465076645731988</v>
      </c>
      <c r="BK3" s="40">
        <f ca="1">IF(TODAY()-E3&gt;335,((M3+1+(LOG(J3)*4/3))*0.381),((M3+(((TODAY()-E3)^0.5)/(336^0.5))+(LOG(J3)*4/3))*0.381))</f>
        <v>0.97043537955450321</v>
      </c>
      <c r="BL3" s="40">
        <f ca="1">IF(TODAY()-E3&gt;335,((N3+1+(LOG(J3)*4/3))*0.673)+((O3+1+(LOG(J3)*4/3))*0.201),((N3+(((TODAY()-E3)^0.5)/(336^0.5))+(LOG(J3)*4/3))*0.673)+((O3+(((TODAY()-E3)^0.5)/(336^0.5))+(LOG(J3)*4/3))*0.201))</f>
        <v>2.5438831016552124</v>
      </c>
      <c r="BM3" s="40">
        <f ca="1">IF(TODAY()-E3&gt;335,((O3+1+(LOG(J3)*4/3))*0.052),((O3+(((TODAY()-E3)^0.5)/(336^0.5))+(LOG(J3)*4/3))*0.052))</f>
        <v>0.24424787332502401</v>
      </c>
      <c r="BN3" s="40">
        <f ca="1">IF(TODAY()-E3&gt;335,((L3+1+(LOG(J3)*4/3))*0.18),((L3+(((TODAY()-E3)^0.5)/(336^0.5))+(LOG(J3)*4/3))*0.18))</f>
        <v>2.4180734076635444</v>
      </c>
      <c r="BO3" s="40">
        <f ca="1">IF(TODAY()-E3&gt;335,((L3+1+(LOG(J3)*4/3))*0.068),((L3+(((TODAY()-E3)^0.5)/(336^0.5))+(LOG(J3)*4/3))*0.068))</f>
        <v>0.91349439845067248</v>
      </c>
      <c r="BP3" s="40">
        <f ca="1">IF(TODAY()-E3&gt;335,((M3+1+(LOG(J3)*4/3))*0.305),((M3+(((TODAY()-E3)^0.5)/(336^0.5))+(LOG(J3)*4/3))*0.305))</f>
        <v>0.77685771854100649</v>
      </c>
      <c r="BQ3" s="40">
        <f ca="1">IF(TODAY()-E3&gt;335,((N3+1+(LOG(J3)*4/3))*1)+((O3+1+(LOG(J3)*4/3))*0.286),((N3+(((TODAY()-E3)^0.5)/(336^0.5))+(LOG(J3)*4/3))*1)+((O3+(((TODAY()-E3)^0.5)/(336^0.5))+(LOG(J3)*4/3))*0.286))</f>
        <v>3.7204377903073254</v>
      </c>
      <c r="BR3" s="40">
        <f ca="1">IF(TODAY()-E3&gt;335,((O3+1+(LOG(J3)*4/3))*0.135),((O3+(((TODAY()-E3)^0.5)/(336^0.5))+(LOG(J3)*4/3))*0.135))</f>
        <v>0.63410505574765852</v>
      </c>
      <c r="BS3" s="40">
        <f ca="1">IF(TODAY()-E3&gt;335,((L3+1+(LOG(J3)*4/3))*0.284),((L3+(((TODAY()-E3)^0.5)/(336^0.5))+(LOG(J3)*4/3))*0.284))</f>
        <v>3.8151824876469256</v>
      </c>
      <c r="BT3" s="40">
        <f ca="1">IF(TODAY()-E3&gt;335,((L3+1+(LOG(J3)*4/3))*0.244),((L3+(((TODAY()-E3)^0.5)/(336^0.5))+(LOG(J3)*4/3))*0.244))</f>
        <v>3.2778328414994715</v>
      </c>
      <c r="BU3" s="40">
        <f ca="1">IF(TODAY()-E3&gt;335,((M3+1+(LOG(J3)*4/3))*0.631),((M3+(((TODAY()-E3)^0.5)/(336^0.5))+(LOG(J3)*4/3))*0.631))</f>
        <v>1.6072040013094264</v>
      </c>
      <c r="BV3" s="40">
        <f ca="1">IF(TODAY()-E3&gt;335,((N3+1+(LOG(J3)*4/3))*0.702)+((O3+1+(LOG(J3)*4/3))*0.193),((N3+(((TODAY()-E3)^0.5)/(336^0.5))+(LOG(J3)*4/3))*0.702)+((O3+(((TODAY()-E3)^0.5)/(336^0.5))+(LOG(J3)*4/3))*0.193))</f>
        <v>2.5752416658826256</v>
      </c>
      <c r="BW3" s="40">
        <f ca="1">IF(TODAY()-E3&gt;335,((O3+1+(LOG(J3)*4/3))*0.148),((O3+(((TODAY()-E3)^0.5)/(336^0.5))+(LOG(J3)*4/3))*0.148))</f>
        <v>0.69516702407891451</v>
      </c>
      <c r="BX3" s="40">
        <f ca="1">IF(TODAY()-E3&gt;335,((M3+1+(LOG(J3)*4/3))*0.406),((M3+(((TODAY()-E3)^0.5)/(336^0.5))+(LOG(J3)*4/3))*0.406))</f>
        <v>1.0341122417299955</v>
      </c>
      <c r="BY3" s="40">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2.0470558077372605</v>
      </c>
      <c r="BZ3" s="40">
        <f ca="1">IF(D3="TEC",IF(TODAY()-E3&gt;335,((O3+1+(LOG(J3)*4/3))*0.543)+((P3+1+(LOG(J3)*4/3))*0.583),((O3+(((TODAY()-E3)^0.5)/(336^0.5))+(LOG(J3)*4/3))*0.543)+((P3+(((TODAY()-E3)^0.5)/(336^0.5))+(LOG(J3)*4/3))*0.583)),IF(TODAY()-E3&gt;335,((O3+1+(LOG(J3)*4/3))*0.543)+((P3+1+(LOG(J3)*4/3))*0.583),((O3+(((TODAY()-E3)^0.5)/(336^0.5))+(LOG(J3)*4/3))*0.543)+((P3+(((TODAY()-E3)^0.5)/(336^0.5))+(LOG(J3)*4/3))*0.583)))</f>
        <v>4.9857458723841752</v>
      </c>
      <c r="CA3" s="40">
        <f ca="1">BY3</f>
        <v>2.0470558077372605</v>
      </c>
      <c r="CB3" s="40">
        <f ca="1">IF(TODAY()-E3&gt;335,((P3+1+(LOG(J3)*4/3))*0.26)+((N3+1+(LOG(J3)*4/3))*0.221)+((O3+1+(LOG(J3)*4/3))*0.142),((P3+(((TODAY()-E3)^0.5)/(336^0.5))+(LOG(J3)*4/3))*0.26)+((N3+(((TODAY()-E3)^0.5)/(336^0.5))+(LOG(J3)*4/3))*0.221)+((P3+(((TODAY()-E3)^0.5)/(336^0.5))+(LOG(J3)*4/3))*0.142))</f>
        <v>2.2783574054132689</v>
      </c>
      <c r="CC3" s="40">
        <f ca="1">IF(TODAY()-E3&gt;335,((P3+1+(LOG(J3)*4/3))*1)+((O3+1+(LOG(J3)*4/3))*0.369),((P3+(((TODAY()-E3)^0.5)/(336^0.5))+(LOG(J3)*4/3))*1)+((O3+(((TODAY()-E3)^0.5)/(336^0.5))+(LOG(J3)*4/3))*0.369))</f>
        <v>5.910294972729961</v>
      </c>
      <c r="CD3" s="40">
        <f ca="1">CB3</f>
        <v>2.2783574054132689</v>
      </c>
      <c r="CE3" s="40">
        <f ca="1">IF(TODAY()-E3&gt;335,((M3+1+(LOG(J3)*4/3))*0.25),((M3+(((TODAY()-E3)^0.5)/(336^0.5))+(LOG(J3)*4/3))*0.25))</f>
        <v>0.63676862175492333</v>
      </c>
    </row>
    <row r="4" spans="1:83" x14ac:dyDescent="0.25">
      <c r="A4" t="str">
        <f>PLANTILLA!D5</f>
        <v>Mario Omarini</v>
      </c>
      <c r="B4">
        <f>PLANTILLA!E5</f>
        <v>31</v>
      </c>
      <c r="C4" s="36">
        <f ca="1">PLANTILLA!F5</f>
        <v>107</v>
      </c>
      <c r="D4" s="69" t="str">
        <f>PLANTILLA!G5</f>
        <v>TEC</v>
      </c>
      <c r="E4" s="33">
        <v>42107</v>
      </c>
      <c r="F4" s="51">
        <f>PLANTILLA!Q5</f>
        <v>5</v>
      </c>
      <c r="G4" s="52">
        <f t="shared" ref="G4:G7" si="4">(F4/7)^0.5</f>
        <v>0.84515425472851657</v>
      </c>
      <c r="H4" s="52">
        <f t="shared" ref="H4:H7" si="5">IF(F4=7,1,((F4+0.99)/7)^0.5)</f>
        <v>0.92504826128926143</v>
      </c>
      <c r="I4" s="55">
        <f t="shared" ref="I4:I16" ca="1" si="6">IF(TODAY()-E4&gt;335,1,((TODAY()-E4)^0.5)/336^0.5)</f>
        <v>1</v>
      </c>
      <c r="J4" s="42">
        <f>PLANTILLA!I5</f>
        <v>9.6999999999999993</v>
      </c>
      <c r="K4" s="50">
        <f>PLANTILLA!X5</f>
        <v>0</v>
      </c>
      <c r="L4" s="50">
        <f>PLANTILLA!Y5</f>
        <v>14</v>
      </c>
      <c r="M4" s="50">
        <f>PLANTILLA!Z5</f>
        <v>7.1099999999999994</v>
      </c>
      <c r="N4" s="50">
        <f>PLANTILLA!AA5</f>
        <v>11.035714285714286</v>
      </c>
      <c r="O4" s="50">
        <f>PLANTILLA!AB5</f>
        <v>7.0499999999999989</v>
      </c>
      <c r="P4" s="50">
        <f>PLANTILLA!AC5</f>
        <v>2.0099999999999998</v>
      </c>
      <c r="Q4" s="50">
        <f>PLANTILLA!AD5</f>
        <v>15.333333333333332</v>
      </c>
      <c r="R4" s="50">
        <f t="shared" ref="R4:R7" si="7">((2*(O4+1))+(L4+1))/8</f>
        <v>3.8874999999999997</v>
      </c>
      <c r="S4" s="50">
        <f t="shared" ref="S4:S7" si="8">(0.5*P4+ 0.3*Q4)/10</f>
        <v>0.5605</v>
      </c>
      <c r="T4" s="50">
        <f t="shared" ref="T4:T7" si="9">(0.4*L4+0.3*Q4)/10</f>
        <v>1.02</v>
      </c>
      <c r="U4" s="50">
        <f t="shared" ref="U4:U7" ca="1" si="10">IF(TODAY()-E4&gt;335,(Q4+1+(LOG(J4)*4/3))*(F4/7)^0.5,(Q4+((TODAY()-E4)^0.5)/(336^0.5)+(LOG(J4)*4/3))*(F4/7)^0.5)</f>
        <v>14.916151933447042</v>
      </c>
      <c r="V4" s="50">
        <f t="shared" ref="V4:V7" ca="1" si="11">IF(F4=7,U4,IF(TODAY()-E4&gt;335,(Q4+1+(LOG(J4)*4/3))*((F4+0.99)/7)^0.5,(Q4+((TODAY()-E4)^0.5)/(336^0.5)+(LOG(J4)*4/3))*((F4+0.99)/7)^0.5))</f>
        <v>16.326203570487774</v>
      </c>
      <c r="W4" s="40">
        <f t="shared" ref="W4:W7" ca="1" si="12">IF(TODAY()-E4&gt;335,((K4+1+(LOG(J4)*4/3))*0.597)+((L4+1+(LOG(J4)*4/3))*0.276),((K4+(((TODAY()-E4)^0.5)/(336^0.5))+(LOG(J4)*4/3))*0.597)+((L4+(((TODAY()-E4)^0.5)/(336^0.5))+(LOG(J4)*4/3))*0.276))</f>
        <v>5.8856022986859093</v>
      </c>
      <c r="X4" s="40">
        <f t="shared" ref="X4:X7" ca="1" si="13">IF(TODAY()-E4&gt;335,((K4+1+(LOG(J4)*4/3))*0.866)+((L4+1+(LOG(J4)*4/3))*0.425),((K4+(((TODAY()-E4)^0.5)/(336^0.5))+(LOG(J4)*4/3))*0.866)+((L4+(((TODAY()-E4)^0.5)/(336^0.5))+(LOG(J4)*4/3))*0.425))</f>
        <v>8.9395630785836282</v>
      </c>
      <c r="Y4" s="40">
        <f t="shared" ref="Y4:Y7" ca="1" si="14">W4</f>
        <v>5.8856022986859093</v>
      </c>
      <c r="Z4" s="40">
        <f t="shared" ref="Z4:Z7" ca="1" si="15">IF(TODAY()-E4&gt;335,((L4+1+(LOG(J4)*4/3))*0.516),((L4+(((TODAY()-E4)^0.5)/(336^0.516))+(LOG(J4)*4/3))*0.516))</f>
        <v>8.4188989531751766</v>
      </c>
      <c r="AA4" s="40">
        <f t="shared" ref="AA4:AA7" ca="1" si="16">IF(TODAY()-E4&gt;335,((L4+1+(LOG(J4)*4/3))*1),((L4+(((TODAY()-E4)^0.5)/(336^0.5))+(LOG(J4)*4/3))*1))</f>
        <v>16.315695645688326</v>
      </c>
      <c r="AB4" s="40">
        <f t="shared" ref="AB4:AB7" ca="1" si="17">Z4/2</f>
        <v>4.2094494765875883</v>
      </c>
      <c r="AC4" s="40">
        <f t="shared" ref="AC4:AC7" ca="1" si="18">IF(TODAY()-E4&gt;335,((M4+1+(LOG(J4)*4/3))*0.238),((M4+(((TODAY()-E4)^0.5)/(336^0.238))+(LOG(J4)*4/3))*0.238))</f>
        <v>2.2433155636738213</v>
      </c>
      <c r="AD4" s="40">
        <f t="shared" ref="AD4:AD7" ca="1" si="19">IF(TODAY()-E4&gt;335,((L4+1+(LOG(J4)*4/3))*0.378),((L4+(((TODAY()-E4)^0.5)/(336^0.516))+(LOG(J4)*4/3))*0.378))</f>
        <v>6.1673329540701873</v>
      </c>
      <c r="AE4" s="40">
        <f t="shared" ref="AE4:AE7" ca="1" si="20">IF(TODAY()-E4&gt;335,((L4+1+(LOG(J4)*4/3))*0.723),((L4+(((TODAY()-E4)^0.5)/(336^0.5))+(LOG(J4)*4/3))*0.723))</f>
        <v>11.79624795183266</v>
      </c>
      <c r="AF4" s="40">
        <f t="shared" ref="AF4:AF7" ca="1" si="21">AD4/2</f>
        <v>3.0836664770350937</v>
      </c>
      <c r="AG4" s="40">
        <f t="shared" ref="AG4:AG7" ca="1" si="22">IF(TODAY()-E4&gt;335,((M4+1+(LOG(J4)*4/3))*0.385),((M4+(((TODAY()-E4)^0.5)/(336^0.238))+(LOG(J4)*4/3))*0.385))</f>
        <v>3.6288928235900051</v>
      </c>
      <c r="AH4" s="40">
        <f t="shared" ref="AH4:AH7" ca="1" si="23">IF(TODAY()-E4&gt;335,((L4+1+(LOG(J4)*4/3))*0.92),((L4+(((TODAY()-E4)^0.5)/(336^0.5))+(LOG(J4)*4/3))*0.92))</f>
        <v>15.010439994033261</v>
      </c>
      <c r="AI4" s="40">
        <f t="shared" ref="AI4:AI7" ca="1" si="24">IF(TODAY()-E4&gt;335,((L4+1+(LOG(J4)*4/3))*0.414),((L4+(((TODAY()-E4)^0.5)/(336^0.414))+(LOG(J4)*4/3))*0.414))</f>
        <v>6.7546979973149668</v>
      </c>
      <c r="AJ4" s="40">
        <f t="shared" ref="AJ4:AJ7" ca="1" si="25">IF(TODAY()-E4&gt;335,((M4+1+(LOG(J4)*4/3))*0.167),((M4+(((TODAY()-E4)^0.5)/(336^0.5))+(LOG(J4)*4/3))*0.167))</f>
        <v>1.5740911728299505</v>
      </c>
      <c r="AK4" s="40">
        <f t="shared" ref="AK4:AK7" ca="1" si="26">IF(TODAY()-E4&gt;335,((N4+1+(LOG(J4)*4/3))*0.588),((N4+(((TODAY()-E4)^0.5)/(336^0.5))+(LOG(J4)*4/3))*0.588))</f>
        <v>7.8506290396647351</v>
      </c>
      <c r="AL4" s="40">
        <f t="shared" ref="AL4:AL7" ca="1" si="27">IF(TODAY()-E4&gt;335,((L4+1+(LOG(J4)*4/3))*0.754),((L4+(((TODAY()-E4)^0.5)/(336^0.5))+(LOG(J4)*4/3))*0.754))</f>
        <v>12.302034516848998</v>
      </c>
      <c r="AM4" s="40">
        <f t="shared" ref="AM4:AM7" ca="1" si="28">IF(TODAY()-E4&gt;335,((L4+1+(LOG(J4)*4/3))*0.708),((L4+(((TODAY()-E4)^0.5)/(336^0.414))+(LOG(J4)*4/3))*0.708))</f>
        <v>11.551512517147334</v>
      </c>
      <c r="AN4" s="40">
        <f t="shared" ref="AN4:AN7" ca="1" si="29">IF(TODAY()-E4&gt;335,((Q4+1+(LOG(J4)*4/3))*0.167),((Q4+(((TODAY()-E4)^0.5)/(336^0.5))+(LOG(J4)*4/3))*0.167))</f>
        <v>2.9473878394966171</v>
      </c>
      <c r="AO4" s="40">
        <f t="shared" ref="AO4:AO7" ca="1" si="30">IF(TODAY()-E4&gt;335,((R4+1+(LOG(J4)*4/3))*0.288),((R4+(((TODAY()-E4)^0.5)/(336^0.5))+(LOG(J4)*4/3))*0.288))</f>
        <v>1.7865203459582377</v>
      </c>
      <c r="AP4" s="40">
        <f t="shared" ref="AP4:AP7" ca="1" si="31">IF(TODAY()-E4&gt;335,((L4+1+(LOG(J4)*4/3))*0.27),((L4+(((TODAY()-E4)^0.5)/(336^0.5))+(LOG(J4)*4/3))*0.27))</f>
        <v>4.4052378243358481</v>
      </c>
      <c r="AQ4" s="40">
        <f t="shared" ref="AQ4:AQ7" ca="1" si="32">IF(TODAY()-E4&gt;335,((L4+1+(LOG(J4)*4/3))*0.594),((L4+(((TODAY()-E4)^0.5)/(336^0.5))+(LOG(J4)*4/3))*0.594))</f>
        <v>9.6915232135388649</v>
      </c>
      <c r="AR4" s="40">
        <f t="shared" ref="AR4:AR7" ca="1" si="33">AP4/2</f>
        <v>2.202618912167924</v>
      </c>
      <c r="AS4" s="40">
        <f t="shared" ref="AS4:AS7" ca="1" si="34">IF(TODAY()-E4&gt;335,((M4+1+(LOG(J4)*4/3))*0.944),((M4+(((TODAY()-E4)^0.5)/(336^0.5))+(LOG(J4)*4/3))*0.944))</f>
        <v>8.8978566895297782</v>
      </c>
      <c r="AT4" s="40">
        <f t="shared" ref="AT4:AT7" ca="1" si="35">IF(TODAY()-E4&gt;335,((O4+1+(LOG(J4)*4/3))*0.13),((O4+(((TODAY()-E4)^0.5)/(336^0.5))+(LOG(J4)*4/3))*0.13))</f>
        <v>1.2175404339394822</v>
      </c>
      <c r="AU4" s="40">
        <f t="shared" ref="AU4:AU7" ca="1" si="36">IF(TODAY()-E4&gt;335,((P4+1+(LOG(J4)*4/3))*0.173)+((O4+1+(LOG(J4)*4/3))*0.12),((P4+(((TODAY()-E4)^0.5)/(336^0.5))+(LOG(J4)*4/3))*0.173)+((O4+(((TODAY()-E4)^0.5)/(336^0.5))+(LOG(J4)*4/3))*0.12))</f>
        <v>1.8722288241866794</v>
      </c>
      <c r="AV4" s="40">
        <f t="shared" ref="AV4:AV7" ca="1" si="37">AT4/2</f>
        <v>0.6087702169697411</v>
      </c>
      <c r="AW4" s="40">
        <f t="shared" ref="AW4:AW7" ca="1" si="38">IF(TODAY()-E4&gt;335,((L4+1+(LOG(J4)*4/3))*0.189),((L4+(((TODAY()-E4)^0.5)/(336^0.5))+(LOG(J4)*4/3))*0.189))</f>
        <v>3.0836664770350937</v>
      </c>
      <c r="AX4" s="40">
        <f t="shared" ref="AX4:AX7" ca="1" si="39">IF(TODAY()-E4&gt;335,((L4+1+(LOG(J4)*4/3))*0.4),((L4+(((TODAY()-E4)^0.5)/(336^0.5))+(LOG(J4)*4/3))*0.4))</f>
        <v>6.5262782582753305</v>
      </c>
      <c r="AY4" s="40">
        <f t="shared" ref="AY4:AY7" ca="1" si="40">AW4/2</f>
        <v>1.5418332385175468</v>
      </c>
      <c r="AZ4" s="40">
        <f t="shared" ref="AZ4:AZ7" ca="1" si="41">IF(TODAY()-E4&gt;335,((M4+1+(LOG(J4)*4/3))*1),((M4+(((TODAY()-E4)^0.5)/(336^0.5))+(LOG(J4)*4/3))*1))</f>
        <v>9.4256956456883252</v>
      </c>
      <c r="BA4" s="40">
        <f t="shared" ref="BA4:BA7" ca="1" si="42">IF(TODAY()-E4&gt;335,((O4+1+(LOG(J4)*4/3))*0.253),((O4+(((TODAY()-E4)^0.5)/(336^0.5))+(LOG(J4)*4/3))*0.253))</f>
        <v>2.3695209983591461</v>
      </c>
      <c r="BB4" s="40">
        <f t="shared" ref="BB4:BB7" ca="1" si="43">IF(TODAY()-E4&gt;335,((P4+1+(LOG(J4)*4/3))*0.21)+((O4+1+(LOG(J4)*4/3))*0.341),((P4+(((TODAY()-E4)^0.5)/(336^0.5))+(LOG(J4)*4/3))*0.21)+((O4+(((TODAY()-E4)^0.5)/(336^0.5))+(LOG(J4)*4/3))*0.341))</f>
        <v>4.1020983007742675</v>
      </c>
      <c r="BC4" s="40">
        <f t="shared" ref="BC4:BC7" ca="1" si="44">BA4/2</f>
        <v>1.184760499179573</v>
      </c>
      <c r="BD4" s="40">
        <f t="shared" ref="BD4:BD7" ca="1" si="45">IF(TODAY()-E4&gt;335,((L4+1+(LOG(J4)*4/3))*0.291),((L4+(((TODAY()-E4)^0.5)/(336^0.5))+(LOG(J4)*4/3))*0.291))</f>
        <v>4.7478674328953021</v>
      </c>
      <c r="BE4" s="40">
        <f t="shared" ref="BE4:BE7" ca="1" si="46">IF(TODAY()-E4&gt;335,((L4+1+(LOG(J4)*4/3))*0.348),((L4+(((TODAY()-E4)^0.5)/(336^0.5))+(LOG(J4)*4/3))*0.348))</f>
        <v>5.6778620846995373</v>
      </c>
      <c r="BF4" s="40">
        <f t="shared" ref="BF4:BF7" ca="1" si="47">IF(TODAY()-E4&gt;335,((M4+1+(LOG(J4)*4/3))*0.881),((M4+(((TODAY()-E4)^0.5)/(336^0.5))+(LOG(J4)*4/3))*0.881))</f>
        <v>8.3040378638514145</v>
      </c>
      <c r="BG4" s="40">
        <f t="shared" ref="BG4:BG7" ca="1" si="48">IF(TODAY()-E4&gt;335,((N4+1+(LOG(J4)*4/3))*0.574)+((O4+1+(LOG(J4)*4/3))*0.315),((N4+(((TODAY()-E4)^0.5)/(336^0.5))+(LOG(J4)*4/3))*0.574)+((O4+(((TODAY()-E4)^0.5)/(336^0.5))+(LOG(J4)*4/3))*0.315))</f>
        <v>10.613903429016922</v>
      </c>
      <c r="BH4" s="40">
        <f t="shared" ref="BH4:BH7" ca="1" si="49">IF(TODAY()-E4&gt;335,((O4+1+(LOG(J4)*4/3))*0.241),((O4+(((TODAY()-E4)^0.5)/(336^0.5))+(LOG(J4)*4/3))*0.241))</f>
        <v>2.257132650610886</v>
      </c>
      <c r="BI4" s="40">
        <f t="shared" ref="BI4:BI7" ca="1" si="50">IF(TODAY()-E4&gt;335,((L4+1+(LOG(J4)*4/3))*0.485),((L4+(((TODAY()-E4)^0.5)/(336^0.5))+(LOG(J4)*4/3))*0.485))</f>
        <v>7.9131123881588374</v>
      </c>
      <c r="BJ4" s="40">
        <f t="shared" ref="BJ4:BJ7" ca="1" si="51">IF(TODAY()-E4&gt;335,((L4+1+(LOG(J4)*4/3))*0.264),((L4+(((TODAY()-E4)^0.5)/(336^0.5))+(LOG(J4)*4/3))*0.264))</f>
        <v>4.3073436504617186</v>
      </c>
      <c r="BK4" s="40">
        <f t="shared" ref="BK4:BK7" ca="1" si="52">IF(TODAY()-E4&gt;335,((M4+1+(LOG(J4)*4/3))*0.381),((M4+(((TODAY()-E4)^0.5)/(336^0.5))+(LOG(J4)*4/3))*0.381))</f>
        <v>3.5911900410072519</v>
      </c>
      <c r="BL4" s="40">
        <f t="shared" ref="BL4:BL7" ca="1" si="53">IF(TODAY()-E4&gt;335,((N4+1+(LOG(J4)*4/3))*0.673)+((O4+1+(LOG(J4)*4/3))*0.201),((N4+(((TODAY()-E4)^0.5)/(336^0.5))+(LOG(J4)*4/3))*0.673)+((O4+(((TODAY()-E4)^0.5)/(336^0.5))+(LOG(J4)*4/3))*0.201))</f>
        <v>10.868003708617312</v>
      </c>
      <c r="BM4" s="40">
        <f t="shared" ref="BM4:BM7" ca="1" si="54">IF(TODAY()-E4&gt;335,((O4+1+(LOG(J4)*4/3))*0.052),((O4+(((TODAY()-E4)^0.5)/(336^0.5))+(LOG(J4)*4/3))*0.052))</f>
        <v>0.48701617357579285</v>
      </c>
      <c r="BN4" s="40">
        <f t="shared" ref="BN4:BN7" ca="1" si="55">IF(TODAY()-E4&gt;335,((L4+1+(LOG(J4)*4/3))*0.18),((L4+(((TODAY()-E4)^0.5)/(336^0.5))+(LOG(J4)*4/3))*0.18))</f>
        <v>2.9368252162238986</v>
      </c>
      <c r="BO4" s="40">
        <f t="shared" ref="BO4:BO7" ca="1" si="56">IF(TODAY()-E4&gt;335,((L4+1+(LOG(J4)*4/3))*0.068),((L4+(((TODAY()-E4)^0.5)/(336^0.5))+(LOG(J4)*4/3))*0.068))</f>
        <v>1.1094673039068061</v>
      </c>
      <c r="BP4" s="40">
        <f t="shared" ref="BP4:BP7" ca="1" si="57">IF(TODAY()-E4&gt;335,((M4+1+(LOG(J4)*4/3))*0.305),((M4+(((TODAY()-E4)^0.5)/(336^0.5))+(LOG(J4)*4/3))*0.305))</f>
        <v>2.874837171934939</v>
      </c>
      <c r="BQ4" s="40">
        <f t="shared" ref="BQ4:BQ7" ca="1" si="58">IF(TODAY()-E4&gt;335,((N4+1+(LOG(J4)*4/3))*1)+((O4+1+(LOG(J4)*4/3))*0.286),((N4+(((TODAY()-E4)^0.5)/(336^0.5))+(LOG(J4)*4/3))*1)+((O4+(((TODAY()-E4)^0.5)/(336^0.5))+(LOG(J4)*4/3))*0.286))</f>
        <v>16.029998886069471</v>
      </c>
      <c r="BR4" s="40">
        <f t="shared" ref="BR4:BR7" ca="1" si="59">IF(TODAY()-E4&gt;335,((O4+1+(LOG(J4)*4/3))*0.135),((O4+(((TODAY()-E4)^0.5)/(336^0.5))+(LOG(J4)*4/3))*0.135))</f>
        <v>1.264368912167924</v>
      </c>
      <c r="BS4" s="40">
        <f t="shared" ref="BS4:BS7" ca="1" si="60">IF(TODAY()-E4&gt;335,((L4+1+(LOG(J4)*4/3))*0.284),((L4+(((TODAY()-E4)^0.5)/(336^0.5))+(LOG(J4)*4/3))*0.284))</f>
        <v>4.6336575633754844</v>
      </c>
      <c r="BT4" s="40">
        <f t="shared" ref="BT4:BT7" ca="1" si="61">IF(TODAY()-E4&gt;335,((L4+1+(LOG(J4)*4/3))*0.244),((L4+(((TODAY()-E4)^0.5)/(336^0.5))+(LOG(J4)*4/3))*0.244))</f>
        <v>3.9810297375479515</v>
      </c>
      <c r="BU4" s="40">
        <f t="shared" ref="BU4:BU7" ca="1" si="62">IF(TODAY()-E4&gt;335,((M4+1+(LOG(J4)*4/3))*0.631),((M4+(((TODAY()-E4)^0.5)/(336^0.5))+(LOG(J4)*4/3))*0.631))</f>
        <v>5.9476139524293332</v>
      </c>
      <c r="BV4" s="40">
        <f t="shared" ref="BV4:BV7" ca="1" si="63">IF(TODAY()-E4&gt;335,((N4+1+(LOG(J4)*4/3))*0.702)+((O4+1+(LOG(J4)*4/3))*0.193),((N4+(((TODAY()-E4)^0.5)/(336^0.5))+(LOG(J4)*4/3))*0.702)+((O4+(((TODAY()-E4)^0.5)/(336^0.5))+(LOG(J4)*4/3))*0.193))</f>
        <v>11.18026903146248</v>
      </c>
      <c r="BW4" s="40">
        <f t="shared" ref="BW4:BW7" ca="1" si="64">IF(TODAY()-E4&gt;335,((O4+1+(LOG(J4)*4/3))*0.148),((O4+(((TODAY()-E4)^0.5)/(336^0.5))+(LOG(J4)*4/3))*0.148))</f>
        <v>1.3861229555618719</v>
      </c>
      <c r="BX4" s="40">
        <f t="shared" ref="BX4:BX7" ca="1" si="65">IF(TODAY()-E4&gt;335,((M4+1+(LOG(J4)*4/3))*0.406),((M4+(((TODAY()-E4)^0.5)/(336^0.5))+(LOG(J4)*4/3))*0.406))</f>
        <v>3.8268324321494602</v>
      </c>
      <c r="BY4" s="40">
        <f t="shared" ref="BY4:BY7" ca="1" si="66">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5.5865602259158269</v>
      </c>
      <c r="BZ4" s="40">
        <f t="shared" ref="BZ4:BZ7" ca="1" si="67">IF(D4="TEC",IF(TODAY()-E4&gt;335,((O4+1+(LOG(J4)*4/3))*0.543)+((P4+1+(LOG(J4)*4/3))*0.583),((O4+(((TODAY()-E4)^0.5)/(336^0.5))+(LOG(J4)*4/3))*0.543)+((P4+(((TODAY()-E4)^0.5)/(336^0.5))+(LOG(J4)*4/3))*0.583)),IF(TODAY()-E4&gt;335,((O4+1+(LOG(J4)*4/3))*0.543)+((P4+1+(LOG(J4)*4/3))*0.583),((O4+(((TODAY()-E4)^0.5)/(336^0.5))+(LOG(J4)*4/3))*0.543)+((P4+(((TODAY()-E4)^0.5)/(336^0.5))+(LOG(J4)*4/3))*0.583)))</f>
        <v>7.6074532970450548</v>
      </c>
      <c r="CA4" s="40">
        <f t="shared" ref="CA4:CA7" ca="1" si="68">BY4</f>
        <v>5.5865602259158269</v>
      </c>
      <c r="CB4" s="40">
        <f t="shared" ref="CB4:CB7" ca="1" si="69">IF(TODAY()-E4&gt;335,((P4+1+(LOG(J4)*4/3))*0.26)+((N4+1+(LOG(J4)*4/3))*0.221)+((O4+1+(LOG(J4)*4/3))*0.142),((P4+(((TODAY()-E4)^0.5)/(336^0.5))+(LOG(J4)*4/3))*0.26)+((N4+(((TODAY()-E4)^0.5)/(336^0.5))+(LOG(J4)*4/3))*0.221)+((P4+(((TODAY()-E4)^0.5)/(336^0.5))+(LOG(J4)*4/3))*0.142))</f>
        <v>5.4052712444066842</v>
      </c>
      <c r="CC4" s="40">
        <f t="shared" ref="CC4:CC7" ca="1" si="70">IF(TODAY()-E4&gt;335,((P4+1+(LOG(J4)*4/3))*1)+((O4+1+(LOG(J4)*4/3))*0.369),((P4+(((TODAY()-E4)^0.5)/(336^0.5))+(LOG(J4)*4/3))*1)+((O4+(((TODAY()-E4)^0.5)/(336^0.5))+(LOG(J4)*4/3))*0.369))</f>
        <v>7.7816373389473181</v>
      </c>
      <c r="CD4" s="40">
        <f t="shared" ref="CD4:CD7" ca="1" si="71">CB4</f>
        <v>5.4052712444066842</v>
      </c>
      <c r="CE4" s="40">
        <f t="shared" ref="CE4:CE7" ca="1" si="72">IF(TODAY()-E4&gt;335,((M4+1+(LOG(J4)*4/3))*0.25),((M4+(((TODAY()-E4)^0.5)/(336^0.5))+(LOG(J4)*4/3))*0.25))</f>
        <v>2.3564239114220813</v>
      </c>
    </row>
    <row r="5" spans="1:83" x14ac:dyDescent="0.25">
      <c r="A5" t="str">
        <f>PLANTILLA!D6</f>
        <v>Csaba Mező</v>
      </c>
      <c r="B5">
        <f>PLANTILLA!E6</f>
        <v>31</v>
      </c>
      <c r="C5" s="36">
        <f ca="1">PLANTILLA!F6</f>
        <v>85</v>
      </c>
      <c r="D5" s="69">
        <f>PLANTILLA!G6</f>
        <v>0</v>
      </c>
      <c r="E5" s="33">
        <v>42266</v>
      </c>
      <c r="F5" s="51">
        <f>PLANTILLA!Q6</f>
        <v>6</v>
      </c>
      <c r="G5" s="52">
        <f t="shared" si="4"/>
        <v>0.92582009977255142</v>
      </c>
      <c r="H5" s="52">
        <f t="shared" si="5"/>
        <v>0.99928545900129484</v>
      </c>
      <c r="I5" s="55">
        <f t="shared" ca="1" si="6"/>
        <v>1</v>
      </c>
      <c r="J5" s="42">
        <f>PLANTILLA!I6</f>
        <v>9.1</v>
      </c>
      <c r="K5" s="50">
        <f>PLANTILLA!X6</f>
        <v>0</v>
      </c>
      <c r="L5" s="50">
        <f>PLANTILLA!Y6</f>
        <v>13.05</v>
      </c>
      <c r="M5" s="50">
        <f>PLANTILLA!Z6</f>
        <v>3.18</v>
      </c>
      <c r="N5" s="50">
        <f>PLANTILLA!AA6</f>
        <v>12.033333333333333</v>
      </c>
      <c r="O5" s="50">
        <f>PLANTILLA!AB6</f>
        <v>9.0399999999999991</v>
      </c>
      <c r="P5" s="50">
        <f>PLANTILLA!AC6</f>
        <v>4.01</v>
      </c>
      <c r="Q5" s="50">
        <f>PLANTILLA!AD6</f>
        <v>10</v>
      </c>
      <c r="R5" s="50">
        <f t="shared" si="7"/>
        <v>4.2662499999999994</v>
      </c>
      <c r="S5" s="50">
        <f t="shared" si="8"/>
        <v>0.50049999999999994</v>
      </c>
      <c r="T5" s="50">
        <f t="shared" si="9"/>
        <v>0.82200000000000006</v>
      </c>
      <c r="U5" s="50">
        <f t="shared" ca="1" si="10"/>
        <v>11.367887494197694</v>
      </c>
      <c r="V5" s="50">
        <f t="shared" ca="1" si="11"/>
        <v>12.269948206250008</v>
      </c>
      <c r="W5" s="40">
        <f t="shared" ca="1" si="12"/>
        <v>5.5911241806617529</v>
      </c>
      <c r="X5" s="40">
        <f t="shared" ca="1" si="13"/>
        <v>8.4880799166487098</v>
      </c>
      <c r="Y5" s="40">
        <f t="shared" ca="1" si="14"/>
        <v>5.5911241806617529</v>
      </c>
      <c r="Z5" s="40">
        <f t="shared" ca="1" si="15"/>
        <v>7.9096204779169126</v>
      </c>
      <c r="AA5" s="40">
        <f t="shared" ca="1" si="16"/>
        <v>15.328721856428125</v>
      </c>
      <c r="AB5" s="40">
        <f t="shared" ca="1" si="17"/>
        <v>3.9548102389584563</v>
      </c>
      <c r="AC5" s="40">
        <f t="shared" ca="1" si="18"/>
        <v>1.2991758018298936</v>
      </c>
      <c r="AD5" s="40">
        <f t="shared" ca="1" si="19"/>
        <v>5.7942568617298313</v>
      </c>
      <c r="AE5" s="40">
        <f t="shared" ca="1" si="20"/>
        <v>11.082665902197533</v>
      </c>
      <c r="AF5" s="40">
        <f t="shared" ca="1" si="21"/>
        <v>2.8971284308649157</v>
      </c>
      <c r="AG5" s="40">
        <f t="shared" ca="1" si="22"/>
        <v>2.1016079147248279</v>
      </c>
      <c r="AH5" s="40">
        <f t="shared" ca="1" si="23"/>
        <v>14.102424107913876</v>
      </c>
      <c r="AI5" s="40">
        <f t="shared" ca="1" si="24"/>
        <v>6.3460908485612437</v>
      </c>
      <c r="AJ5" s="40">
        <f t="shared" ca="1" si="25"/>
        <v>0.91160655002349689</v>
      </c>
      <c r="AK5" s="40">
        <f t="shared" ca="1" si="26"/>
        <v>8.415488451579737</v>
      </c>
      <c r="AL5" s="40">
        <f t="shared" ca="1" si="27"/>
        <v>11.557856279746806</v>
      </c>
      <c r="AM5" s="40">
        <f t="shared" ca="1" si="28"/>
        <v>10.852735074351111</v>
      </c>
      <c r="AN5" s="40">
        <f t="shared" ca="1" si="29"/>
        <v>2.0505465500234967</v>
      </c>
      <c r="AO5" s="40">
        <f t="shared" ca="1" si="30"/>
        <v>1.8849518946512998</v>
      </c>
      <c r="AP5" s="40">
        <f t="shared" ca="1" si="31"/>
        <v>4.1387549012355942</v>
      </c>
      <c r="AQ5" s="40">
        <f t="shared" ca="1" si="32"/>
        <v>9.1052607827183056</v>
      </c>
      <c r="AR5" s="40">
        <f t="shared" ca="1" si="33"/>
        <v>2.0693774506177971</v>
      </c>
      <c r="AS5" s="40">
        <f t="shared" ca="1" si="34"/>
        <v>5.153033432468149</v>
      </c>
      <c r="AT5" s="40">
        <f t="shared" ca="1" si="35"/>
        <v>1.471433841335656</v>
      </c>
      <c r="AU5" s="40">
        <f t="shared" ca="1" si="36"/>
        <v>2.4461955039334402</v>
      </c>
      <c r="AV5" s="40">
        <f t="shared" ca="1" si="37"/>
        <v>0.73571692066782801</v>
      </c>
      <c r="AW5" s="40">
        <f t="shared" ca="1" si="38"/>
        <v>2.8971284308649157</v>
      </c>
      <c r="AX5" s="40">
        <f t="shared" ca="1" si="39"/>
        <v>6.1314887425712499</v>
      </c>
      <c r="AY5" s="40">
        <f t="shared" ca="1" si="40"/>
        <v>1.4485642154324578</v>
      </c>
      <c r="AZ5" s="40">
        <f t="shared" ca="1" si="41"/>
        <v>5.4587218564281246</v>
      </c>
      <c r="BA5" s="40">
        <f t="shared" ca="1" si="42"/>
        <v>2.8636366296763152</v>
      </c>
      <c r="BB5" s="40">
        <f t="shared" ca="1" si="43"/>
        <v>5.1803157428918967</v>
      </c>
      <c r="BC5" s="40">
        <f t="shared" ca="1" si="44"/>
        <v>1.4318183148381576</v>
      </c>
      <c r="BD5" s="40">
        <f t="shared" ca="1" si="45"/>
        <v>4.4606580602205836</v>
      </c>
      <c r="BE5" s="40">
        <f t="shared" ca="1" si="46"/>
        <v>5.3343952060369872</v>
      </c>
      <c r="BF5" s="40">
        <f t="shared" ca="1" si="47"/>
        <v>4.809133955513178</v>
      </c>
      <c r="BG5" s="40">
        <f t="shared" ca="1" si="48"/>
        <v>11.780517063697935</v>
      </c>
      <c r="BH5" s="40">
        <f t="shared" ca="1" si="49"/>
        <v>2.7278119673991776</v>
      </c>
      <c r="BI5" s="40">
        <f t="shared" ca="1" si="50"/>
        <v>7.4344301003676403</v>
      </c>
      <c r="BJ5" s="40">
        <f t="shared" ca="1" si="51"/>
        <v>4.046782570097025</v>
      </c>
      <c r="BK5" s="40">
        <f t="shared" ca="1" si="52"/>
        <v>2.0797730272991153</v>
      </c>
      <c r="BL5" s="40">
        <f t="shared" ca="1" si="53"/>
        <v>11.907076235851514</v>
      </c>
      <c r="BM5" s="40">
        <f t="shared" ca="1" si="54"/>
        <v>0.58857353653426236</v>
      </c>
      <c r="BN5" s="40">
        <f t="shared" ca="1" si="55"/>
        <v>2.7591699341570624</v>
      </c>
      <c r="BO5" s="40">
        <f t="shared" ca="1" si="56"/>
        <v>1.0423530862371126</v>
      </c>
      <c r="BP5" s="40">
        <f t="shared" ca="1" si="57"/>
        <v>1.6649101662105779</v>
      </c>
      <c r="BQ5" s="40">
        <f t="shared" ca="1" si="58"/>
        <v>17.5492096406999</v>
      </c>
      <c r="BR5" s="40">
        <f t="shared" ca="1" si="59"/>
        <v>1.5280274506177967</v>
      </c>
      <c r="BS5" s="40">
        <f t="shared" ca="1" si="60"/>
        <v>4.3533570072255872</v>
      </c>
      <c r="BT5" s="40">
        <f t="shared" ca="1" si="61"/>
        <v>3.7402081329684624</v>
      </c>
      <c r="BU5" s="40">
        <f t="shared" ca="1" si="62"/>
        <v>3.4444534914061467</v>
      </c>
      <c r="BV5" s="40">
        <f t="shared" ca="1" si="63"/>
        <v>12.231576061503171</v>
      </c>
      <c r="BW5" s="40">
        <f t="shared" ca="1" si="64"/>
        <v>1.6751708347513621</v>
      </c>
      <c r="BX5" s="40">
        <f t="shared" ca="1" si="65"/>
        <v>2.2162410737098188</v>
      </c>
      <c r="BY5" s="40">
        <f t="shared" ca="1" si="66"/>
        <v>5.6892840871990522</v>
      </c>
      <c r="BZ5" s="40">
        <f t="shared" ca="1" si="67"/>
        <v>9.8123908103380675</v>
      </c>
      <c r="CA5" s="40">
        <f t="shared" ca="1" si="68"/>
        <v>5.6892840871990522</v>
      </c>
      <c r="CB5" s="40">
        <f t="shared" ca="1" si="69"/>
        <v>6.4052903832213879</v>
      </c>
      <c r="CC5" s="40">
        <f t="shared" ca="1" si="70"/>
        <v>10.465330221450102</v>
      </c>
      <c r="CD5" s="40">
        <f t="shared" ca="1" si="71"/>
        <v>6.4052903832213879</v>
      </c>
      <c r="CE5" s="40">
        <f t="shared" ca="1" si="72"/>
        <v>1.3646804641070311</v>
      </c>
    </row>
    <row r="6" spans="1:83" x14ac:dyDescent="0.25">
      <c r="A6" t="str">
        <f>PLANTILLA!D10</f>
        <v>Jorge W. Whitaker</v>
      </c>
      <c r="B6">
        <f>PLANTILLA!E10</f>
        <v>31</v>
      </c>
      <c r="C6" s="36">
        <f ca="1">PLANTILLA!F10</f>
        <v>99</v>
      </c>
      <c r="D6" s="69" t="str">
        <f>PLANTILLA!G10</f>
        <v>POT</v>
      </c>
      <c r="E6" s="33">
        <v>42633</v>
      </c>
      <c r="F6" s="51">
        <f>PLANTILLA!Q10</f>
        <v>6</v>
      </c>
      <c r="G6" s="52">
        <f t="shared" si="4"/>
        <v>0.92582009977255142</v>
      </c>
      <c r="H6" s="52">
        <f t="shared" si="5"/>
        <v>0.99928545900129484</v>
      </c>
      <c r="I6" s="55">
        <f t="shared" ca="1" si="6"/>
        <v>1</v>
      </c>
      <c r="J6" s="42">
        <f>PLANTILLA!I10</f>
        <v>9.1999999999999993</v>
      </c>
      <c r="K6" s="50">
        <f>PLANTILLA!X10</f>
        <v>0</v>
      </c>
      <c r="L6" s="50">
        <f>PLANTILLA!Y10</f>
        <v>12</v>
      </c>
      <c r="M6" s="50">
        <f>PLANTILLA!Z10</f>
        <v>15.04</v>
      </c>
      <c r="N6" s="50">
        <f>PLANTILLA!AA10</f>
        <v>2.0099999999999998</v>
      </c>
      <c r="O6" s="50">
        <f>PLANTILLA!AB10</f>
        <v>8.3488888888888884</v>
      </c>
      <c r="P6" s="50">
        <f>PLANTILLA!AC10</f>
        <v>2.1666666666666665</v>
      </c>
      <c r="Q6" s="50">
        <f>PLANTILLA!AD10</f>
        <v>8.4</v>
      </c>
      <c r="R6" s="50">
        <f t="shared" si="7"/>
        <v>3.9622222222222221</v>
      </c>
      <c r="S6" s="50">
        <f t="shared" si="8"/>
        <v>0.36033333333333334</v>
      </c>
      <c r="T6" s="50">
        <f t="shared" si="9"/>
        <v>0.73199999999999998</v>
      </c>
      <c r="U6" s="50">
        <f t="shared" ca="1" si="10"/>
        <v>9.8924344611588264</v>
      </c>
      <c r="V6" s="50">
        <f t="shared" ca="1" si="11"/>
        <v>10.677415529850656</v>
      </c>
      <c r="W6" s="40">
        <f t="shared" ca="1" si="12"/>
        <v>5.306849031030227</v>
      </c>
      <c r="X6" s="40">
        <f t="shared" ca="1" si="13"/>
        <v>8.0500001134708157</v>
      </c>
      <c r="Y6" s="40">
        <f t="shared" ca="1" si="14"/>
        <v>5.306849031030227</v>
      </c>
      <c r="Z6" s="40">
        <f t="shared" ca="1" si="15"/>
        <v>7.3710860252137422</v>
      </c>
      <c r="AA6" s="40">
        <f t="shared" ca="1" si="16"/>
        <v>14.28505043646074</v>
      </c>
      <c r="AB6" s="40">
        <f t="shared" ca="1" si="17"/>
        <v>3.6855430126068711</v>
      </c>
      <c r="AC6" s="40">
        <f t="shared" ca="1" si="18"/>
        <v>4.1233620038776557</v>
      </c>
      <c r="AD6" s="40">
        <f t="shared" ca="1" si="19"/>
        <v>5.39974906498216</v>
      </c>
      <c r="AE6" s="40">
        <f t="shared" ca="1" si="20"/>
        <v>10.328091465561114</v>
      </c>
      <c r="AF6" s="40">
        <f t="shared" ca="1" si="21"/>
        <v>2.69987453249108</v>
      </c>
      <c r="AG6" s="40">
        <f t="shared" ca="1" si="22"/>
        <v>6.6701444180373848</v>
      </c>
      <c r="AH6" s="40">
        <f t="shared" ca="1" si="23"/>
        <v>13.142246401543881</v>
      </c>
      <c r="AI6" s="40">
        <f t="shared" ca="1" si="24"/>
        <v>5.9140108806947458</v>
      </c>
      <c r="AJ6" s="40">
        <f t="shared" ca="1" si="25"/>
        <v>2.8932834228889437</v>
      </c>
      <c r="AK6" s="40">
        <f t="shared" ca="1" si="26"/>
        <v>2.5254896566389151</v>
      </c>
      <c r="AL6" s="40">
        <f t="shared" ca="1" si="27"/>
        <v>10.770928029091397</v>
      </c>
      <c r="AM6" s="40">
        <f t="shared" ca="1" si="28"/>
        <v>10.113815709014203</v>
      </c>
      <c r="AN6" s="40">
        <f t="shared" ca="1" si="29"/>
        <v>1.7844034228889436</v>
      </c>
      <c r="AO6" s="40">
        <f t="shared" ca="1" si="30"/>
        <v>1.7992145257006928</v>
      </c>
      <c r="AP6" s="40">
        <f t="shared" ca="1" si="31"/>
        <v>3.8569636178444</v>
      </c>
      <c r="AQ6" s="40">
        <f t="shared" ca="1" si="32"/>
        <v>8.4853199592576782</v>
      </c>
      <c r="AR6" s="40">
        <f t="shared" ca="1" si="33"/>
        <v>1.9284818089222</v>
      </c>
      <c r="AS6" s="40">
        <f t="shared" ca="1" si="34"/>
        <v>16.354847612018936</v>
      </c>
      <c r="AT6" s="40">
        <f t="shared" ca="1" si="35"/>
        <v>1.3824121122954516</v>
      </c>
      <c r="AU6" s="40">
        <f t="shared" ca="1" si="36"/>
        <v>2.0462197778829969</v>
      </c>
      <c r="AV6" s="40">
        <f t="shared" ca="1" si="37"/>
        <v>0.69120605614772579</v>
      </c>
      <c r="AW6" s="40">
        <f t="shared" ca="1" si="38"/>
        <v>2.69987453249108</v>
      </c>
      <c r="AX6" s="40">
        <f t="shared" ca="1" si="39"/>
        <v>5.714020174584296</v>
      </c>
      <c r="AY6" s="40">
        <f t="shared" ca="1" si="40"/>
        <v>1.34993726624554</v>
      </c>
      <c r="AZ6" s="40">
        <f t="shared" ca="1" si="41"/>
        <v>17.325050436460739</v>
      </c>
      <c r="BA6" s="40">
        <f t="shared" ca="1" si="42"/>
        <v>2.6903866493134561</v>
      </c>
      <c r="BB6" s="40">
        <f t="shared" ca="1" si="43"/>
        <v>4.5610339016009789</v>
      </c>
      <c r="BC6" s="40">
        <f t="shared" ca="1" si="44"/>
        <v>1.345193324656728</v>
      </c>
      <c r="BD6" s="40">
        <f t="shared" ca="1" si="45"/>
        <v>4.1569496770100747</v>
      </c>
      <c r="BE6" s="40">
        <f t="shared" ca="1" si="46"/>
        <v>4.9711975518883369</v>
      </c>
      <c r="BF6" s="40">
        <f t="shared" ca="1" si="47"/>
        <v>15.263369434521911</v>
      </c>
      <c r="BG6" s="40">
        <f t="shared" ca="1" si="48"/>
        <v>5.8150498380135973</v>
      </c>
      <c r="BH6" s="40">
        <f t="shared" ca="1" si="49"/>
        <v>2.5627793774092602</v>
      </c>
      <c r="BI6" s="40">
        <f t="shared" ca="1" si="50"/>
        <v>6.9282494616834587</v>
      </c>
      <c r="BJ6" s="40">
        <f t="shared" ca="1" si="51"/>
        <v>3.7712533152256356</v>
      </c>
      <c r="BK6" s="40">
        <f t="shared" ca="1" si="52"/>
        <v>6.6008442162915415</v>
      </c>
      <c r="BL6" s="40">
        <f t="shared" ca="1" si="53"/>
        <v>5.0279907481333534</v>
      </c>
      <c r="BM6" s="40">
        <f t="shared" ca="1" si="54"/>
        <v>0.55296484491818065</v>
      </c>
      <c r="BN6" s="40">
        <f t="shared" ca="1" si="55"/>
        <v>2.5713090785629329</v>
      </c>
      <c r="BO6" s="40">
        <f t="shared" ca="1" si="56"/>
        <v>0.97138342967933033</v>
      </c>
      <c r="BP6" s="40">
        <f t="shared" ca="1" si="57"/>
        <v>5.2841403831205254</v>
      </c>
      <c r="BQ6" s="40">
        <f t="shared" ca="1" si="58"/>
        <v>7.3363570835107339</v>
      </c>
      <c r="BR6" s="40">
        <f t="shared" ca="1" si="59"/>
        <v>1.4355818089221999</v>
      </c>
      <c r="BS6" s="40">
        <f t="shared" ca="1" si="60"/>
        <v>4.0569543239548498</v>
      </c>
      <c r="BT6" s="40">
        <f t="shared" ca="1" si="61"/>
        <v>3.4855523064964204</v>
      </c>
      <c r="BU6" s="40">
        <f t="shared" ca="1" si="62"/>
        <v>10.932106825406727</v>
      </c>
      <c r="BV6" s="40">
        <f t="shared" ca="1" si="63"/>
        <v>5.0674756961879179</v>
      </c>
      <c r="BW6" s="40">
        <f t="shared" ca="1" si="64"/>
        <v>1.5738230201517449</v>
      </c>
      <c r="BX6" s="40">
        <f t="shared" ca="1" si="65"/>
        <v>7.0339704772030602</v>
      </c>
      <c r="BY6" s="40">
        <f t="shared" ca="1" si="66"/>
        <v>3.8423401662849339</v>
      </c>
      <c r="BZ6" s="40">
        <f t="shared" ca="1" si="67"/>
        <v>8.3695801247881256</v>
      </c>
      <c r="CA6" s="40">
        <f t="shared" ca="1" si="68"/>
        <v>3.8423401662849339</v>
      </c>
      <c r="CB6" s="40">
        <f t="shared" ca="1" si="69"/>
        <v>3.6166719774705962</v>
      </c>
      <c r="CC6" s="40">
        <f t="shared" ca="1" si="70"/>
        <v>8.3756407141814186</v>
      </c>
      <c r="CD6" s="40">
        <f t="shared" ca="1" si="71"/>
        <v>3.6166719774705962</v>
      </c>
      <c r="CE6" s="40">
        <f t="shared" ca="1" si="72"/>
        <v>4.3312626091151847</v>
      </c>
    </row>
    <row r="7" spans="1:83" x14ac:dyDescent="0.25">
      <c r="A7" t="str">
        <f>PLANTILLA!D8</f>
        <v>Andrea Califano</v>
      </c>
      <c r="B7">
        <f>PLANTILLA!E8</f>
        <v>31</v>
      </c>
      <c r="C7" s="36">
        <f ca="1">PLANTILLA!F8</f>
        <v>12</v>
      </c>
      <c r="D7" s="69">
        <f>PLANTILLA!G8</f>
        <v>0</v>
      </c>
      <c r="E7" s="33">
        <v>42332</v>
      </c>
      <c r="F7" s="51">
        <f>PLANTILLA!Q8</f>
        <v>5</v>
      </c>
      <c r="G7" s="52">
        <f t="shared" si="4"/>
        <v>0.84515425472851657</v>
      </c>
      <c r="H7" s="52">
        <f t="shared" si="5"/>
        <v>0.92504826128926143</v>
      </c>
      <c r="I7" s="55">
        <f t="shared" ca="1" si="6"/>
        <v>1</v>
      </c>
      <c r="J7" s="42">
        <f>PLANTILLA!I8</f>
        <v>8.3000000000000007</v>
      </c>
      <c r="K7" s="50">
        <f>PLANTILLA!X8</f>
        <v>0</v>
      </c>
      <c r="L7" s="50">
        <f>PLANTILLA!Y8</f>
        <v>14</v>
      </c>
      <c r="M7" s="50">
        <f>PLANTILLA!Z8</f>
        <v>3.02</v>
      </c>
      <c r="N7" s="50">
        <f>PLANTILLA!AA8</f>
        <v>3.01</v>
      </c>
      <c r="O7" s="50">
        <f>PLANTILLA!AB8</f>
        <v>10.01</v>
      </c>
      <c r="P7" s="50">
        <f>PLANTILLA!AC8</f>
        <v>3</v>
      </c>
      <c r="Q7" s="50">
        <f>PLANTILLA!AD8</f>
        <v>17</v>
      </c>
      <c r="R7" s="50">
        <f t="shared" si="7"/>
        <v>4.6274999999999995</v>
      </c>
      <c r="S7" s="50">
        <f t="shared" si="8"/>
        <v>0.65999999999999992</v>
      </c>
      <c r="T7" s="50">
        <f t="shared" si="9"/>
        <v>1.0699999999999998</v>
      </c>
      <c r="U7" s="50">
        <f t="shared" ca="1" si="10"/>
        <v>16.248460265379176</v>
      </c>
      <c r="V7" s="50">
        <f t="shared" ca="1" si="11"/>
        <v>17.784457491662089</v>
      </c>
      <c r="W7" s="40">
        <f t="shared" ca="1" si="12"/>
        <v>5.8068068995257498</v>
      </c>
      <c r="X7" s="40">
        <f t="shared" ca="1" si="13"/>
        <v>8.8230397563433485</v>
      </c>
      <c r="Y7" s="40">
        <f t="shared" ca="1" si="14"/>
        <v>5.8068068995257498</v>
      </c>
      <c r="Z7" s="40">
        <f t="shared" ca="1" si="15"/>
        <v>8.3723257275547383</v>
      </c>
      <c r="AA7" s="40">
        <f t="shared" ca="1" si="16"/>
        <v>16.225437456501432</v>
      </c>
      <c r="AB7" s="40">
        <f t="shared" ca="1" si="17"/>
        <v>4.1861628637773691</v>
      </c>
      <c r="AC7" s="40">
        <f t="shared" ca="1" si="18"/>
        <v>1.2484141146473406</v>
      </c>
      <c r="AD7" s="40">
        <f t="shared" ca="1" si="19"/>
        <v>6.1332153585575409</v>
      </c>
      <c r="AE7" s="40">
        <f t="shared" ca="1" si="20"/>
        <v>11.730991281050535</v>
      </c>
      <c r="AF7" s="40">
        <f t="shared" ca="1" si="21"/>
        <v>3.0666076792787704</v>
      </c>
      <c r="AG7" s="40">
        <f t="shared" ca="1" si="22"/>
        <v>2.0194934207530513</v>
      </c>
      <c r="AH7" s="40">
        <f t="shared" ca="1" si="23"/>
        <v>14.927402459981318</v>
      </c>
      <c r="AI7" s="40">
        <f t="shared" ca="1" si="24"/>
        <v>6.7173311069915922</v>
      </c>
      <c r="AJ7" s="40">
        <f t="shared" ca="1" si="25"/>
        <v>0.87598805523573908</v>
      </c>
      <c r="AK7" s="40">
        <f t="shared" ca="1" si="26"/>
        <v>3.0784372244228417</v>
      </c>
      <c r="AL7" s="40">
        <f t="shared" ca="1" si="27"/>
        <v>12.23397984220208</v>
      </c>
      <c r="AM7" s="40">
        <f t="shared" ca="1" si="28"/>
        <v>11.487609719203013</v>
      </c>
      <c r="AN7" s="40">
        <f t="shared" ca="1" si="29"/>
        <v>3.2106480552357395</v>
      </c>
      <c r="AO7" s="40">
        <f t="shared" ca="1" si="30"/>
        <v>1.9736459874724119</v>
      </c>
      <c r="AP7" s="40">
        <f t="shared" ca="1" si="31"/>
        <v>4.3808681132553868</v>
      </c>
      <c r="AQ7" s="40">
        <f t="shared" ca="1" si="32"/>
        <v>9.6379098491618507</v>
      </c>
      <c r="AR7" s="40">
        <f t="shared" ca="1" si="33"/>
        <v>2.1904340566276934</v>
      </c>
      <c r="AS7" s="40">
        <f t="shared" ca="1" si="34"/>
        <v>4.9516929589373504</v>
      </c>
      <c r="AT7" s="40">
        <f t="shared" ca="1" si="35"/>
        <v>1.5906068693451862</v>
      </c>
      <c r="AU7" s="40">
        <f t="shared" ca="1" si="36"/>
        <v>2.3722531747549191</v>
      </c>
      <c r="AV7" s="40">
        <f t="shared" ca="1" si="37"/>
        <v>0.79530343467259312</v>
      </c>
      <c r="AW7" s="40">
        <f t="shared" ca="1" si="38"/>
        <v>3.0666076792787704</v>
      </c>
      <c r="AX7" s="40">
        <f t="shared" ca="1" si="39"/>
        <v>6.490174982600573</v>
      </c>
      <c r="AY7" s="40">
        <f t="shared" ca="1" si="40"/>
        <v>1.5333038396393852</v>
      </c>
      <c r="AZ7" s="40">
        <f t="shared" ca="1" si="41"/>
        <v>5.2454374565014312</v>
      </c>
      <c r="BA7" s="40">
        <f t="shared" ca="1" si="42"/>
        <v>3.095565676494862</v>
      </c>
      <c r="BB7" s="40">
        <f t="shared" ca="1" si="43"/>
        <v>5.2696260385322891</v>
      </c>
      <c r="BC7" s="40">
        <f t="shared" ca="1" si="44"/>
        <v>1.547782838247431</v>
      </c>
      <c r="BD7" s="40">
        <f t="shared" ca="1" si="45"/>
        <v>4.7216022998419165</v>
      </c>
      <c r="BE7" s="40">
        <f t="shared" ca="1" si="46"/>
        <v>5.6464522348624975</v>
      </c>
      <c r="BF7" s="40">
        <f t="shared" ca="1" si="47"/>
        <v>4.6212303991777608</v>
      </c>
      <c r="BG7" s="40">
        <f t="shared" ca="1" si="48"/>
        <v>6.8593038988297721</v>
      </c>
      <c r="BH7" s="40">
        <f t="shared" ca="1" si="49"/>
        <v>2.9487404270168449</v>
      </c>
      <c r="BI7" s="40">
        <f t="shared" ca="1" si="50"/>
        <v>7.8693371664031941</v>
      </c>
      <c r="BJ7" s="40">
        <f t="shared" ca="1" si="51"/>
        <v>4.283515488516378</v>
      </c>
      <c r="BK7" s="40">
        <f t="shared" ca="1" si="52"/>
        <v>1.9985116709270454</v>
      </c>
      <c r="BL7" s="40">
        <f t="shared" ca="1" si="53"/>
        <v>5.9827723369822507</v>
      </c>
      <c r="BM7" s="40">
        <f t="shared" ca="1" si="54"/>
        <v>0.63624274773807443</v>
      </c>
      <c r="BN7" s="40">
        <f t="shared" ca="1" si="55"/>
        <v>2.9205787421702576</v>
      </c>
      <c r="BO7" s="40">
        <f t="shared" ca="1" si="56"/>
        <v>1.1033297470420975</v>
      </c>
      <c r="BP7" s="40">
        <f t="shared" ca="1" si="57"/>
        <v>1.5998584242329366</v>
      </c>
      <c r="BQ7" s="40">
        <f t="shared" ca="1" si="58"/>
        <v>8.7347725690608407</v>
      </c>
      <c r="BR7" s="40">
        <f t="shared" ca="1" si="59"/>
        <v>1.6517840566276933</v>
      </c>
      <c r="BS7" s="40">
        <f t="shared" ca="1" si="60"/>
        <v>4.608024237646406</v>
      </c>
      <c r="BT7" s="40">
        <f t="shared" ca="1" si="61"/>
        <v>3.9590067393863491</v>
      </c>
      <c r="BU7" s="40">
        <f t="shared" ca="1" si="62"/>
        <v>3.309871035052403</v>
      </c>
      <c r="BV7" s="40">
        <f t="shared" ca="1" si="63"/>
        <v>6.0367165235687814</v>
      </c>
      <c r="BW7" s="40">
        <f t="shared" ca="1" si="64"/>
        <v>1.8108447435622117</v>
      </c>
      <c r="BX7" s="40">
        <f t="shared" ca="1" si="65"/>
        <v>2.1296476073395811</v>
      </c>
      <c r="BY7" s="40">
        <f t="shared" ca="1" si="66"/>
        <v>4.4763929148372457</v>
      </c>
      <c r="BZ7" s="40">
        <f t="shared" ca="1" si="67"/>
        <v>9.690272576020611</v>
      </c>
      <c r="CA7" s="40">
        <f t="shared" ca="1" si="68"/>
        <v>4.4763929148372457</v>
      </c>
      <c r="CB7" s="40">
        <f t="shared" ca="1" si="69"/>
        <v>4.2530775354003918</v>
      </c>
      <c r="CC7" s="40">
        <f t="shared" ca="1" si="70"/>
        <v>9.7403138779504594</v>
      </c>
      <c r="CD7" s="40">
        <f t="shared" ca="1" si="71"/>
        <v>4.2530775354003918</v>
      </c>
      <c r="CE7" s="40">
        <f t="shared" ca="1" si="72"/>
        <v>1.3113593641253578</v>
      </c>
    </row>
    <row r="8" spans="1:83" x14ac:dyDescent="0.25">
      <c r="A8" t="str">
        <f>PLANTILLA!D9</f>
        <v>Ibiur Altxakoa</v>
      </c>
      <c r="B8">
        <f>PLANTILLA!E9</f>
        <v>32</v>
      </c>
      <c r="C8" s="36">
        <f ca="1">PLANTILLA!F9</f>
        <v>64</v>
      </c>
      <c r="D8" s="69" t="str">
        <f>PLANTILLA!G9</f>
        <v>CAB</v>
      </c>
      <c r="E8" s="33">
        <v>42333</v>
      </c>
      <c r="F8" s="51">
        <f>PLANTILLA!Q9</f>
        <v>4</v>
      </c>
      <c r="G8" s="52">
        <f t="shared" ref="G8:G16" si="73">(F8/7)^0.5</f>
        <v>0.7559289460184544</v>
      </c>
      <c r="H8" s="52">
        <f t="shared" ref="H8:H16" si="74">IF(F8=7,1,((F8+0.99)/7)^0.5)</f>
        <v>0.84430867747355465</v>
      </c>
      <c r="I8" s="55">
        <f t="shared" ca="1" si="6"/>
        <v>1</v>
      </c>
      <c r="J8" s="42">
        <f>PLANTILLA!I9</f>
        <v>10.9</v>
      </c>
      <c r="K8" s="50">
        <f>PLANTILLA!X9</f>
        <v>0</v>
      </c>
      <c r="L8" s="50">
        <f>PLANTILLA!Y9</f>
        <v>15.028571428571428</v>
      </c>
      <c r="M8" s="50">
        <f>PLANTILLA!Z9</f>
        <v>12</v>
      </c>
      <c r="N8" s="50">
        <f>PLANTILLA!AA9</f>
        <v>2.0099999999999998</v>
      </c>
      <c r="O8" s="50">
        <f>PLANTILLA!AB9</f>
        <v>7.1828571428571424</v>
      </c>
      <c r="P8" s="50">
        <f>PLANTILLA!AC9</f>
        <v>3.99</v>
      </c>
      <c r="Q8" s="50">
        <f>PLANTILLA!AD9</f>
        <v>14.399999999999999</v>
      </c>
      <c r="R8" s="50">
        <f t="shared" ref="R8:R16" si="75">((2*(O8+1))+(L8+1))/8</f>
        <v>4.0492857142857144</v>
      </c>
      <c r="S8" s="50">
        <f t="shared" ref="S8:S16" si="76">(0.5*P8+ 0.3*Q8)/10</f>
        <v>0.63149999999999995</v>
      </c>
      <c r="T8" s="50">
        <f t="shared" ref="T8:T16" si="77">(0.4*L8+0.3*Q8)/10</f>
        <v>1.0331428571428571</v>
      </c>
      <c r="U8" s="50">
        <f t="shared" ref="U8:U16" ca="1" si="78">IF(TODAY()-E8&gt;335,(Q8+1+(LOG(J8)*4/3))*(F8/7)^0.5,(Q8+((TODAY()-E8)^0.5)/(336^0.5)+(LOG(J8)*4/3))*(F8/7)^0.5)</f>
        <v>12.686933394230694</v>
      </c>
      <c r="V8" s="50">
        <f t="shared" ref="V8:V16" ca="1" si="79">IF(F8=7,U8,IF(TODAY()-E8&gt;335,(Q8+1+(LOG(J8)*4/3))*((F8+0.99)/7)^0.5,(Q8+((TODAY()-E8)^0.5)/(336^0.5)+(LOG(J8)*4/3))*((F8+0.99)/7)^0.5))</f>
        <v>14.170231225695767</v>
      </c>
      <c r="W8" s="40">
        <f t="shared" ref="W8:W16" ca="1" si="80">IF(TODAY()-E8&gt;335,((K8+1+(LOG(J8)*4/3))*0.597)+((L8+1+(LOG(J8)*4/3))*0.276),((K8+(((TODAY()-E8)^0.5)/(336^0.5))+(LOG(J8)*4/3))*0.597)+((L8+(((TODAY()-E8)^0.5)/(336^0.5))+(LOG(J8)*4/3))*0.276))</f>
        <v>6.2284501578886005</v>
      </c>
      <c r="X8" s="40">
        <f t="shared" ref="X8:X16" ca="1" si="81">IF(TODAY()-E8&gt;335,((K8+1+(LOG(J8)*4/3))*0.866)+((L8+1+(LOG(J8)*4/3))*0.425),((K8+(((TODAY()-E8)^0.5)/(336^0.5))+(LOG(J8)*4/3))*0.866)+((L8+(((TODAY()-E8)^0.5)/(336^0.5))+(LOG(J8)*4/3))*0.425))</f>
        <v>9.4638996689313171</v>
      </c>
      <c r="Y8" s="40">
        <f t="shared" ref="Y8:Y16" ca="1" si="82">W8</f>
        <v>6.2284501578886005</v>
      </c>
      <c r="Z8" s="40">
        <f t="shared" ref="Z8:Z16" ca="1" si="83">IF(TODAY()-E8&gt;335,((L8+1+(LOG(J8)*4/3))*0.516),((L8+(((TODAY()-E8)^0.5)/(336^0.516))+(LOG(J8)*4/3))*0.516))</f>
        <v>8.9844922877260078</v>
      </c>
      <c r="AA8" s="40">
        <f t="shared" ref="AA8:AA16" ca="1" si="84">IF(TODAY()-E8&gt;335,((L8+1+(LOG(J8)*4/3))*1),((L8+(((TODAY()-E8)^0.5)/(336^0.5))+(LOG(J8)*4/3))*1))</f>
        <v>17.411806759158928</v>
      </c>
      <c r="AB8" s="40">
        <f t="shared" ref="AB8:AB16" ca="1" si="85">Z8/2</f>
        <v>4.4922461438630039</v>
      </c>
      <c r="AC8" s="40">
        <f t="shared" ref="AC8:AC16" ca="1" si="86">IF(TODAY()-E8&gt;335,((M8+1+(LOG(J8)*4/3))*0.238),((M8+(((TODAY()-E8)^0.5)/(336^0.238))+(LOG(J8)*4/3))*0.238))</f>
        <v>3.4232100086798245</v>
      </c>
      <c r="AD8" s="40">
        <f t="shared" ref="AD8:AD16" ca="1" si="87">IF(TODAY()-E8&gt;335,((L8+1+(LOG(J8)*4/3))*0.378),((L8+(((TODAY()-E8)^0.5)/(336^0.516))+(LOG(J8)*4/3))*0.378))</f>
        <v>6.5816629549620744</v>
      </c>
      <c r="AE8" s="40">
        <f t="shared" ref="AE8:AE16" ca="1" si="88">IF(TODAY()-E8&gt;335,((L8+1+(LOG(J8)*4/3))*0.723),((L8+(((TODAY()-E8)^0.5)/(336^0.5))+(LOG(J8)*4/3))*0.723))</f>
        <v>12.588736286871905</v>
      </c>
      <c r="AF8" s="40">
        <f t="shared" ref="AF8:AF16" ca="1" si="89">AD8/2</f>
        <v>3.2908314774810372</v>
      </c>
      <c r="AG8" s="40">
        <f t="shared" ref="AG8:AG16" ca="1" si="90">IF(TODAY()-E8&gt;335,((M8+1+(LOG(J8)*4/3))*0.385),((M8+(((TODAY()-E8)^0.5)/(336^0.238))+(LOG(J8)*4/3))*0.385))</f>
        <v>5.5375456022761869</v>
      </c>
      <c r="AH8" s="40">
        <f t="shared" ref="AH8:AH16" ca="1" si="91">IF(TODAY()-E8&gt;335,((L8+1+(LOG(J8)*4/3))*0.92),((L8+(((TODAY()-E8)^0.5)/(336^0.5))+(LOG(J8)*4/3))*0.92))</f>
        <v>16.018862218426214</v>
      </c>
      <c r="AI8" s="40">
        <f t="shared" ref="AI8:AI16" ca="1" si="92">IF(TODAY()-E8&gt;335,((L8+1+(LOG(J8)*4/3))*0.414),((L8+(((TODAY()-E8)^0.5)/(336^0.414))+(LOG(J8)*4/3))*0.414))</f>
        <v>7.2084879982917958</v>
      </c>
      <c r="AJ8" s="40">
        <f t="shared" ref="AJ8:AJ16" ca="1" si="93">IF(TODAY()-E8&gt;335,((M8+1+(LOG(J8)*4/3))*0.167),((M8+(((TODAY()-E8)^0.5)/(336^0.5))+(LOG(J8)*4/3))*0.167))</f>
        <v>2.4020003002081123</v>
      </c>
      <c r="AK8" s="40">
        <f t="shared" ref="AK8:AK16" ca="1" si="94">IF(TODAY()-E8&gt;335,((N8+1+(LOG(J8)*4/3))*0.588),((N8+(((TODAY()-E8)^0.5)/(336^0.5))+(LOG(J8)*4/3))*0.588))</f>
        <v>2.5832223743854485</v>
      </c>
      <c r="AL8" s="40">
        <f t="shared" ref="AL8:AL16" ca="1" si="95">IF(TODAY()-E8&gt;335,((L8+1+(LOG(J8)*4/3))*0.754),((L8+(((TODAY()-E8)^0.5)/(336^0.5))+(LOG(J8)*4/3))*0.754))</f>
        <v>13.128502296405832</v>
      </c>
      <c r="AM8" s="40">
        <f t="shared" ref="AM8:AM16" ca="1" si="96">IF(TODAY()-E8&gt;335,((L8+1+(LOG(J8)*4/3))*0.708),((L8+(((TODAY()-E8)^0.5)/(336^0.414))+(LOG(J8)*4/3))*0.708))</f>
        <v>12.327559185484521</v>
      </c>
      <c r="AN8" s="40">
        <f t="shared" ref="AN8:AN16" ca="1" si="97">IF(TODAY()-E8&gt;335,((Q8+1+(LOG(J8)*4/3))*0.167),((Q8+(((TODAY()-E8)^0.5)/(336^0.5))+(LOG(J8)*4/3))*0.167))</f>
        <v>2.8028003002081125</v>
      </c>
      <c r="AO8" s="40">
        <f t="shared" ref="AO8:AO16" ca="1" si="98">IF(TODAY()-E8&gt;335,((R8+1+(LOG(J8)*4/3))*0.288),((R8+(((TODAY()-E8)^0.5)/(336^0.5))+(LOG(J8)*4/3))*0.288))</f>
        <v>1.8525660609234851</v>
      </c>
      <c r="AP8" s="40">
        <f t="shared" ref="AP8:AP16" ca="1" si="99">IF(TODAY()-E8&gt;335,((L8+1+(LOG(J8)*4/3))*0.27),((L8+(((TODAY()-E8)^0.5)/(336^0.5))+(LOG(J8)*4/3))*0.27))</f>
        <v>4.7011878249729113</v>
      </c>
      <c r="AQ8" s="40">
        <f t="shared" ref="AQ8:AQ16" ca="1" si="100">IF(TODAY()-E8&gt;335,((L8+1+(LOG(J8)*4/3))*0.594),((L8+(((TODAY()-E8)^0.5)/(336^0.5))+(LOG(J8)*4/3))*0.594))</f>
        <v>10.342613214940403</v>
      </c>
      <c r="AR8" s="40">
        <f t="shared" ref="AR8:AR16" ca="1" si="101">AP8/2</f>
        <v>2.3505939124864557</v>
      </c>
      <c r="AS8" s="40">
        <f t="shared" ref="AS8:AS16" ca="1" si="102">IF(TODAY()-E8&gt;335,((M8+1+(LOG(J8)*4/3))*0.944),((M8+(((TODAY()-E8)^0.5)/(336^0.5))+(LOG(J8)*4/3))*0.944))</f>
        <v>13.577774152074598</v>
      </c>
      <c r="AT8" s="40">
        <f t="shared" ref="AT8:AT16" ca="1" si="103">IF(TODAY()-E8&gt;335,((O8+1+(LOG(J8)*4/3))*0.13),((O8+(((TODAY()-E8)^0.5)/(336^0.5))+(LOG(J8)*4/3))*0.13))</f>
        <v>1.2435920215478031</v>
      </c>
      <c r="AU8" s="40">
        <f t="shared" ref="AU8:AU16" ca="1" si="104">IF(TODAY()-E8&gt;335,((P8+1+(LOG(J8)*4/3))*0.173)+((O8+1+(LOG(J8)*4/3))*0.12),((P8+(((TODAY()-E8)^0.5)/(336^0.5))+(LOG(J8)*4/3))*0.173)+((O8+(((TODAY()-E8)^0.5)/(336^0.5))+(LOG(J8)*4/3))*0.12))</f>
        <v>2.2505008090049938</v>
      </c>
      <c r="AV8" s="40">
        <f t="shared" ref="AV8:AV16" ca="1" si="105">AT8/2</f>
        <v>0.62179601077390156</v>
      </c>
      <c r="AW8" s="40">
        <f t="shared" ref="AW8:AW16" ca="1" si="106">IF(TODAY()-E8&gt;335,((L8+1+(LOG(J8)*4/3))*0.189),((L8+(((TODAY()-E8)^0.5)/(336^0.5))+(LOG(J8)*4/3))*0.189))</f>
        <v>3.2908314774810372</v>
      </c>
      <c r="AX8" s="40">
        <f t="shared" ref="AX8:AX16" ca="1" si="107">IF(TODAY()-E8&gt;335,((L8+1+(LOG(J8)*4/3))*0.4),((L8+(((TODAY()-E8)^0.5)/(336^0.5))+(LOG(J8)*4/3))*0.4))</f>
        <v>6.9647227036635719</v>
      </c>
      <c r="AY8" s="40">
        <f t="shared" ref="AY8:AY16" ca="1" si="108">AW8/2</f>
        <v>1.6454157387405186</v>
      </c>
      <c r="AZ8" s="40">
        <f t="shared" ref="AZ8:AZ16" ca="1" si="109">IF(TODAY()-E8&gt;335,((M8+1+(LOG(J8)*4/3))*1),((M8+(((TODAY()-E8)^0.5)/(336^0.5))+(LOG(J8)*4/3))*1))</f>
        <v>14.383235330587498</v>
      </c>
      <c r="BA8" s="40">
        <f t="shared" ref="BA8:BA16" ca="1" si="110">IF(TODAY()-E8&gt;335,((O8+1+(LOG(J8)*4/3))*0.253),((O8+(((TODAY()-E8)^0.5)/(336^0.5))+(LOG(J8)*4/3))*0.253))</f>
        <v>2.420221395781494</v>
      </c>
      <c r="BB8" s="40">
        <f t="shared" ref="BB8:BB16" ca="1" si="111">IF(TODAY()-E8&gt;335,((P8+1+(LOG(J8)*4/3))*0.21)+((O8+1+(LOG(J8)*4/3))*0.341),((P8+(((TODAY()-E8)^0.5)/(336^0.5))+(LOG(J8)*4/3))*0.21)+((O8+(((TODAY()-E8)^0.5)/(336^0.5))+(LOG(J8)*4/3))*0.341))</f>
        <v>4.600416952867997</v>
      </c>
      <c r="BC8" s="40">
        <f t="shared" ref="BC8:BC16" ca="1" si="112">BA8/2</f>
        <v>1.210110697890747</v>
      </c>
      <c r="BD8" s="40">
        <f t="shared" ref="BD8:BD16" ca="1" si="113">IF(TODAY()-E8&gt;335,((L8+1+(LOG(J8)*4/3))*0.291),((L8+(((TODAY()-E8)^0.5)/(336^0.5))+(LOG(J8)*4/3))*0.291))</f>
        <v>5.066835766915248</v>
      </c>
      <c r="BE8" s="40">
        <f t="shared" ref="BE8:BE16" ca="1" si="114">IF(TODAY()-E8&gt;335,((L8+1+(LOG(J8)*4/3))*0.348),((L8+(((TODAY()-E8)^0.5)/(336^0.5))+(LOG(J8)*4/3))*0.348))</f>
        <v>6.0593087521873068</v>
      </c>
      <c r="BF8" s="40">
        <f t="shared" ref="BF8:BF16" ca="1" si="115">IF(TODAY()-E8&gt;335,((M8+1+(LOG(J8)*4/3))*0.881),((M8+(((TODAY()-E8)^0.5)/(336^0.5))+(LOG(J8)*4/3))*0.881))</f>
        <v>12.671630326247586</v>
      </c>
      <c r="BG8" s="40">
        <f t="shared" ref="BG8:BG16" ca="1" si="116">IF(TODAY()-E8&gt;335,((N8+1+(LOG(J8)*4/3))*0.574)+((O8+1+(LOG(J8)*4/3))*0.315),((N8+(((TODAY()-E8)^0.5)/(336^0.5))+(LOG(J8)*4/3))*0.574)+((O8+(((TODAY()-E8)^0.5)/(336^0.5))+(LOG(J8)*4/3))*0.315))</f>
        <v>5.5350362088922846</v>
      </c>
      <c r="BH8" s="40">
        <f t="shared" ref="BH8:BH16" ca="1" si="117">IF(TODAY()-E8&gt;335,((O8+1+(LOG(J8)*4/3))*0.241),((O8+(((TODAY()-E8)^0.5)/(336^0.5))+(LOG(J8)*4/3))*0.241))</f>
        <v>2.3054282861001578</v>
      </c>
      <c r="BI8" s="40">
        <f t="shared" ref="BI8:BI16" ca="1" si="118">IF(TODAY()-E8&gt;335,((L8+1+(LOG(J8)*4/3))*0.485),((L8+(((TODAY()-E8)^0.5)/(336^0.5))+(LOG(J8)*4/3))*0.485))</f>
        <v>8.4447262781920802</v>
      </c>
      <c r="BJ8" s="40">
        <f t="shared" ref="BJ8:BJ16" ca="1" si="119">IF(TODAY()-E8&gt;335,((L8+1+(LOG(J8)*4/3))*0.264),((L8+(((TODAY()-E8)^0.5)/(336^0.5))+(LOG(J8)*4/3))*0.264))</f>
        <v>4.5967169844179576</v>
      </c>
      <c r="BK8" s="40">
        <f t="shared" ref="BK8:BK16" ca="1" si="120">IF(TODAY()-E8&gt;335,((M8+1+(LOG(J8)*4/3))*0.381),((M8+(((TODAY()-E8)^0.5)/(336^0.5))+(LOG(J8)*4/3))*0.381))</f>
        <v>5.4800126609538369</v>
      </c>
      <c r="BL8" s="40">
        <f t="shared" ref="BL8:BL16" ca="1" si="121">IF(TODAY()-E8&gt;335,((N8+1+(LOG(J8)*4/3))*0.673)+((O8+1+(LOG(J8)*4/3))*0.201),((N8+(((TODAY()-E8)^0.5)/(336^0.5))+(LOG(J8)*4/3))*0.673)+((O8+(((TODAY()-E8)^0.5)/(336^0.5))+(LOG(J8)*4/3))*0.201))</f>
        <v>4.8794319646477584</v>
      </c>
      <c r="BM8" s="40">
        <f t="shared" ref="BM8:BM16" ca="1" si="122">IF(TODAY()-E8&gt;335,((O8+1+(LOG(J8)*4/3))*0.052),((O8+(((TODAY()-E8)^0.5)/(336^0.5))+(LOG(J8)*4/3))*0.052))</f>
        <v>0.49743680861912121</v>
      </c>
      <c r="BN8" s="40">
        <f t="shared" ref="BN8:BN16" ca="1" si="123">IF(TODAY()-E8&gt;335,((L8+1+(LOG(J8)*4/3))*0.18),((L8+(((TODAY()-E8)^0.5)/(336^0.5))+(LOG(J8)*4/3))*0.18))</f>
        <v>3.1341252166486071</v>
      </c>
      <c r="BO8" s="40">
        <f t="shared" ref="BO8:BO16" ca="1" si="124">IF(TODAY()-E8&gt;335,((L8+1+(LOG(J8)*4/3))*0.068),((L8+(((TODAY()-E8)^0.5)/(336^0.5))+(LOG(J8)*4/3))*0.068))</f>
        <v>1.1840028596228072</v>
      </c>
      <c r="BP8" s="40">
        <f t="shared" ref="BP8:BP16" ca="1" si="125">IF(TODAY()-E8&gt;335,((M8+1+(LOG(J8)*4/3))*0.305),((M8+(((TODAY()-E8)^0.5)/(336^0.5))+(LOG(J8)*4/3))*0.305))</f>
        <v>4.3868867758291872</v>
      </c>
      <c r="BQ8" s="40">
        <f t="shared" ref="BQ8:BQ16" ca="1" si="126">IF(TODAY()-E8&gt;335,((N8+1+(LOG(J8)*4/3))*1)+((O8+1+(LOG(J8)*4/3))*0.286),((N8+(((TODAY()-E8)^0.5)/(336^0.5))+(LOG(J8)*4/3))*1)+((O8+(((TODAY()-E8)^0.5)/(336^0.5))+(LOG(J8)*4/3))*0.286))</f>
        <v>7.1291377779926641</v>
      </c>
      <c r="BR8" s="40">
        <f t="shared" ref="BR8:BR16" ca="1" si="127">IF(TODAY()-E8&gt;335,((O8+1+(LOG(J8)*4/3))*0.135),((O8+(((TODAY()-E8)^0.5)/(336^0.5))+(LOG(J8)*4/3))*0.135))</f>
        <v>1.2914224839150263</v>
      </c>
      <c r="BS8" s="40">
        <f t="shared" ref="BS8:BS16" ca="1" si="128">IF(TODAY()-E8&gt;335,((L8+1+(LOG(J8)*4/3))*0.284),((L8+(((TODAY()-E8)^0.5)/(336^0.5))+(LOG(J8)*4/3))*0.284))</f>
        <v>4.9449531196011351</v>
      </c>
      <c r="BT8" s="40">
        <f t="shared" ref="BT8:BT16" ca="1" si="129">IF(TODAY()-E8&gt;335,((L8+1+(LOG(J8)*4/3))*0.244),((L8+(((TODAY()-E8)^0.5)/(336^0.5))+(LOG(J8)*4/3))*0.244))</f>
        <v>4.2484808492347783</v>
      </c>
      <c r="BU8" s="40">
        <f t="shared" ref="BU8:BU16" ca="1" si="130">IF(TODAY()-E8&gt;335,((M8+1+(LOG(J8)*4/3))*0.631),((M8+(((TODAY()-E8)^0.5)/(336^0.5))+(LOG(J8)*4/3))*0.631))</f>
        <v>9.0758214936007118</v>
      </c>
      <c r="BV8" s="40">
        <f t="shared" ref="BV8:BV16" ca="1" si="131">IF(TODAY()-E8&gt;335,((N8+1+(LOG(J8)*4/3))*0.702)+((O8+1+(LOG(J8)*4/3))*0.193),((N8+(((TODAY()-E8)^0.5)/(336^0.5))+(LOG(J8)*4/3))*0.702)+((O8+(((TODAY()-E8)^0.5)/(336^0.5))+(LOG(J8)*4/3))*0.193))</f>
        <v>4.9303070494472383</v>
      </c>
      <c r="BW8" s="40">
        <f t="shared" ref="BW8:BW16" ca="1" si="132">IF(TODAY()-E8&gt;335,((O8+1+(LOG(J8)*4/3))*0.148),((O8+(((TODAY()-E8)^0.5)/(336^0.5))+(LOG(J8)*4/3))*0.148))</f>
        <v>1.4157816860698065</v>
      </c>
      <c r="BX8" s="40">
        <f t="shared" ref="BX8:BX16" ca="1" si="133">IF(TODAY()-E8&gt;335,((M8+1+(LOG(J8)*4/3))*0.406),((M8+(((TODAY()-E8)^0.5)/(336^0.5))+(LOG(J8)*4/3))*0.406))</f>
        <v>5.8395935442185243</v>
      </c>
      <c r="BY8" s="40">
        <f t="shared" ref="BY8:BY16" ca="1" si="134">IF(D8="TEC",IF(TODAY()-E8&gt;335,((N8+1+(LOG(J8)*4/3))*0.15)+((O8+1+(LOG(J8)*4/3))*0.324)+((P8+1+(LOG(J8)*4/3))*0.127),((N8+(((TODAY()-E8)^0.5)/(336^0.5))+(LOG(J8)*4/3))*0.15)+((O8+(((TODAY()-E8)^0.5)/(336^0.5))+(LOG(J8)*4/3))*0.324)+((P8+(((TODAY()-E8)^0.5)/(336^0.5))+(LOG(J8)*4/3))*0.127)),IF(TODAY()-E8&gt;335,((N8+1+(LOG(J8)*4/3))*0.144)+((O8+1+(LOG(J8)*4/3))*0.25)+((P8+1+(LOG(J8)*4/3))*0.127),((N8+(((TODAY()-E8)^0.5)/(336^0.5))+(LOG(J8)*4/3))*0.144)+((O8+(((TODAY()-E8)^0.5)/(336^0.5))+(LOG(J8)*4/3))*0.25)+((P8+(((TODAY()-E8)^0.5)/(336^0.5))+(LOG(J8)*4/3))*0.127)))</f>
        <v>3.8335498929503715</v>
      </c>
      <c r="BZ8" s="40">
        <f t="shared" ref="BZ8:BZ16" ca="1" si="135">IF(D8="TEC",IF(TODAY()-E8&gt;335,((O8+1+(LOG(J8)*4/3))*0.543)+((P8+1+(LOG(J8)*4/3))*0.583),((O8+(((TODAY()-E8)^0.5)/(336^0.5))+(LOG(J8)*4/3))*0.543)+((P8+(((TODAY()-E8)^0.5)/(336^0.5))+(LOG(J8)*4/3))*0.583)),IF(TODAY()-E8&gt;335,((O8+1+(LOG(J8)*4/3))*0.543)+((P8+1+(LOG(J8)*4/3))*0.583),((O8+(((TODAY()-E8)^0.5)/(336^0.5))+(LOG(J8)*4/3))*0.543)+((P8+(((TODAY()-E8)^0.5)/(336^0.5))+(LOG(J8)*4/3))*0.583)))</f>
        <v>8.9099844108129496</v>
      </c>
      <c r="CA8" s="40">
        <f t="shared" ref="CA8:CA16" ca="1" si="136">BY8</f>
        <v>3.8335498929503715</v>
      </c>
      <c r="CB8" s="40">
        <f t="shared" ref="CB8:CB16" ca="1" si="137">IF(TODAY()-E8&gt;335,((P8+1+(LOG(J8)*4/3))*0.26)+((N8+1+(LOG(J8)*4/3))*0.221)+((O8+1+(LOG(J8)*4/3))*0.142),((P8+(((TODAY()-E8)^0.5)/(336^0.5))+(LOG(J8)*4/3))*0.26)+((N8+(((TODAY()-E8)^0.5)/(336^0.5))+(LOG(J8)*4/3))*0.221)+((P8+(((TODAY()-E8)^0.5)/(336^0.5))+(LOG(J8)*4/3))*0.142))</f>
        <v>3.986331325241725</v>
      </c>
      <c r="CC8" s="40">
        <f t="shared" ref="CC8:CC16" ca="1" si="138">IF(TODAY()-E8&gt;335,((P8+1+(LOG(J8)*4/3))*1)+((O8+1+(LOG(J8)*4/3))*0.369),((P8+(((TODAY()-E8)^0.5)/(336^0.5))+(LOG(J8)*4/3))*1)+((O8+(((TODAY()-E8)^0.5)/(336^0.5))+(LOG(J8)*4/3))*0.369))</f>
        <v>9.9031234532885701</v>
      </c>
      <c r="CD8" s="40">
        <f t="shared" ref="CD8:CD16" ca="1" si="139">CB8</f>
        <v>3.986331325241725</v>
      </c>
      <c r="CE8" s="40">
        <f t="shared" ref="CE8:CE16" ca="1" si="140">IF(TODAY()-E8&gt;335,((M8+1+(LOG(J8)*4/3))*0.25),((M8+(((TODAY()-E8)^0.5)/(336^0.5))+(LOG(J8)*4/3))*0.25))</f>
        <v>3.5958088326468745</v>
      </c>
    </row>
    <row r="9" spans="1:83" x14ac:dyDescent="0.25">
      <c r="A9" t="str">
        <f>PLANTILLA!D11</f>
        <v>Emilio Mochelato</v>
      </c>
      <c r="B9">
        <f>PLANTILLA!E11</f>
        <v>32</v>
      </c>
      <c r="C9" s="36">
        <f ca="1">PLANTILLA!F11</f>
        <v>16</v>
      </c>
      <c r="D9" s="69" t="str">
        <f>PLANTILLA!G11</f>
        <v>RAP</v>
      </c>
      <c r="E9" s="33">
        <v>42334</v>
      </c>
      <c r="F9" s="51">
        <f>PLANTILLA!Q11</f>
        <v>5</v>
      </c>
      <c r="G9" s="52">
        <f t="shared" si="73"/>
        <v>0.84515425472851657</v>
      </c>
      <c r="H9" s="52">
        <f t="shared" si="74"/>
        <v>0.92504826128926143</v>
      </c>
      <c r="I9" s="55">
        <f t="shared" ca="1" si="6"/>
        <v>1</v>
      </c>
      <c r="J9" s="42">
        <f>PLANTILLA!I11</f>
        <v>10.5</v>
      </c>
      <c r="K9" s="50">
        <f>PLANTILLA!X11</f>
        <v>0</v>
      </c>
      <c r="L9" s="50">
        <f>PLANTILLA!Y11</f>
        <v>5.0196078431372548</v>
      </c>
      <c r="M9" s="50">
        <f>PLANTILLA!Z11</f>
        <v>14.210000000000003</v>
      </c>
      <c r="N9" s="50">
        <f>PLANTILLA!AA11</f>
        <v>5</v>
      </c>
      <c r="O9" s="50">
        <f>PLANTILLA!AB11</f>
        <v>12.487301587301586</v>
      </c>
      <c r="P9" s="50">
        <f>PLANTILLA!AC11</f>
        <v>3.41</v>
      </c>
      <c r="Q9" s="50">
        <f>PLANTILLA!AD11</f>
        <v>15.333333333333332</v>
      </c>
      <c r="R9" s="50">
        <f t="shared" si="75"/>
        <v>4.1242763772175532</v>
      </c>
      <c r="S9" s="50">
        <f t="shared" si="76"/>
        <v>0.63049999999999995</v>
      </c>
      <c r="T9" s="50">
        <f t="shared" si="77"/>
        <v>0.66078431372549018</v>
      </c>
      <c r="U9" s="50">
        <f t="shared" ca="1" si="78"/>
        <v>14.954936135222022</v>
      </c>
      <c r="V9" s="50">
        <f t="shared" ca="1" si="79"/>
        <v>16.368654115127061</v>
      </c>
      <c r="W9" s="40">
        <f t="shared" ca="1" si="80"/>
        <v>3.4470761088232904</v>
      </c>
      <c r="X9" s="40">
        <f t="shared" ca="1" si="81"/>
        <v>5.1821405134657201</v>
      </c>
      <c r="Y9" s="40">
        <f t="shared" ca="1" si="82"/>
        <v>3.4470761088232904</v>
      </c>
      <c r="Z9" s="40">
        <f t="shared" ca="1" si="83"/>
        <v>3.8086958848189409</v>
      </c>
      <c r="AA9" s="40">
        <f t="shared" ca="1" si="84"/>
        <v>7.3811935752305056</v>
      </c>
      <c r="AB9" s="40">
        <f t="shared" ca="1" si="85"/>
        <v>1.9043479424094705</v>
      </c>
      <c r="AC9" s="40">
        <f t="shared" ca="1" si="86"/>
        <v>3.9440374042381943</v>
      </c>
      <c r="AD9" s="40">
        <f t="shared" ca="1" si="87"/>
        <v>2.790091171437131</v>
      </c>
      <c r="AE9" s="40">
        <f t="shared" ca="1" si="88"/>
        <v>5.3366029548916556</v>
      </c>
      <c r="AF9" s="40">
        <f t="shared" ca="1" si="89"/>
        <v>1.3950455857185655</v>
      </c>
      <c r="AG9" s="40">
        <f t="shared" ca="1" si="90"/>
        <v>6.3800605068559033</v>
      </c>
      <c r="AH9" s="40">
        <f t="shared" ca="1" si="91"/>
        <v>6.7906980892120652</v>
      </c>
      <c r="AI9" s="40">
        <f t="shared" ca="1" si="92"/>
        <v>3.0558141401454293</v>
      </c>
      <c r="AJ9" s="40">
        <f t="shared" ca="1" si="93"/>
        <v>2.7674548172595737</v>
      </c>
      <c r="AK9" s="40">
        <f t="shared" ca="1" si="94"/>
        <v>4.3286124104708312</v>
      </c>
      <c r="AL9" s="40">
        <f t="shared" ca="1" si="95"/>
        <v>5.5654199557238009</v>
      </c>
      <c r="AM9" s="40">
        <f t="shared" ca="1" si="96"/>
        <v>5.225885051263198</v>
      </c>
      <c r="AN9" s="40">
        <f t="shared" ca="1" si="97"/>
        <v>2.9550514839262392</v>
      </c>
      <c r="AO9" s="40">
        <f t="shared" ca="1" si="98"/>
        <v>1.8679282874815113</v>
      </c>
      <c r="AP9" s="40">
        <f t="shared" ca="1" si="99"/>
        <v>1.9929222653122367</v>
      </c>
      <c r="AQ9" s="40">
        <f t="shared" ca="1" si="100"/>
        <v>4.3844289836869201</v>
      </c>
      <c r="AR9" s="40">
        <f t="shared" ca="1" si="101"/>
        <v>0.99646113265611835</v>
      </c>
      <c r="AS9" s="40">
        <f t="shared" ca="1" si="102"/>
        <v>15.643576931096032</v>
      </c>
      <c r="AT9" s="40">
        <f t="shared" ca="1" si="103"/>
        <v>1.930355351521329</v>
      </c>
      <c r="AU9" s="40">
        <f t="shared" ca="1" si="104"/>
        <v>2.7803508099795127</v>
      </c>
      <c r="AV9" s="40">
        <f t="shared" ca="1" si="105"/>
        <v>0.96517767576066449</v>
      </c>
      <c r="AW9" s="40">
        <f t="shared" ca="1" si="106"/>
        <v>1.3950455857185655</v>
      </c>
      <c r="AX9" s="40">
        <f t="shared" ca="1" si="107"/>
        <v>2.9524774300922023</v>
      </c>
      <c r="AY9" s="40">
        <f t="shared" ca="1" si="108"/>
        <v>0.69752279285928276</v>
      </c>
      <c r="AZ9" s="40">
        <f t="shared" ca="1" si="109"/>
        <v>16.571585732093254</v>
      </c>
      <c r="BA9" s="40">
        <f t="shared" ca="1" si="110"/>
        <v>3.756768491806894</v>
      </c>
      <c r="BB9" s="40">
        <f t="shared" ca="1" si="111"/>
        <v>6.2755035796532228</v>
      </c>
      <c r="BC9" s="40">
        <f t="shared" ca="1" si="112"/>
        <v>1.878384245903447</v>
      </c>
      <c r="BD9" s="40">
        <f t="shared" ca="1" si="113"/>
        <v>2.147927330392077</v>
      </c>
      <c r="BE9" s="40">
        <f t="shared" ca="1" si="114"/>
        <v>2.5686553641802159</v>
      </c>
      <c r="BF9" s="40">
        <f t="shared" ca="1" si="115"/>
        <v>14.599567029974157</v>
      </c>
      <c r="BG9" s="40">
        <f t="shared" ca="1" si="116"/>
        <v>8.9029497158308999</v>
      </c>
      <c r="BH9" s="40">
        <f t="shared" ca="1" si="117"/>
        <v>3.5785818439741557</v>
      </c>
      <c r="BI9" s="40">
        <f t="shared" ca="1" si="118"/>
        <v>3.5798788839867952</v>
      </c>
      <c r="BJ9" s="40">
        <f t="shared" ca="1" si="119"/>
        <v>1.9486351038608536</v>
      </c>
      <c r="BK9" s="40">
        <f t="shared" ca="1" si="120"/>
        <v>6.3137741639275298</v>
      </c>
      <c r="BL9" s="40">
        <f t="shared" ca="1" si="121"/>
        <v>7.9389735488971205</v>
      </c>
      <c r="BM9" s="40">
        <f t="shared" ca="1" si="122"/>
        <v>0.77214214060853148</v>
      </c>
      <c r="BN9" s="40">
        <f t="shared" ca="1" si="123"/>
        <v>1.3286148435414908</v>
      </c>
      <c r="BO9" s="40">
        <f t="shared" ca="1" si="124"/>
        <v>0.50192116311567436</v>
      </c>
      <c r="BP9" s="40">
        <f t="shared" ca="1" si="125"/>
        <v>5.0543336482884422</v>
      </c>
      <c r="BQ9" s="40">
        <f t="shared" ca="1" si="126"/>
        <v>11.608367505440174</v>
      </c>
      <c r="BR9" s="40">
        <f t="shared" ca="1" si="127"/>
        <v>2.0045997881183033</v>
      </c>
      <c r="BS9" s="40">
        <f t="shared" ca="1" si="128"/>
        <v>2.0962589753654632</v>
      </c>
      <c r="BT9" s="40">
        <f t="shared" ca="1" si="129"/>
        <v>1.8010112323562433</v>
      </c>
      <c r="BU9" s="40">
        <f t="shared" ca="1" si="130"/>
        <v>10.456670596950843</v>
      </c>
      <c r="BV9" s="40">
        <f t="shared" ca="1" si="131"/>
        <v>8.0336684365726647</v>
      </c>
      <c r="BW9" s="40">
        <f t="shared" ca="1" si="132"/>
        <v>2.1976353232704358</v>
      </c>
      <c r="BX9" s="40">
        <f t="shared" ca="1" si="133"/>
        <v>6.7280638072298613</v>
      </c>
      <c r="BY9" s="40">
        <f t="shared" ca="1" si="134"/>
        <v>5.5052815632459797</v>
      </c>
      <c r="BZ9" s="40">
        <f t="shared" ca="1" si="135"/>
        <v>11.427780296241764</v>
      </c>
      <c r="CA9" s="40">
        <f t="shared" ca="1" si="136"/>
        <v>5.5052815632459797</v>
      </c>
      <c r="CB9" s="40">
        <f t="shared" ca="1" si="137"/>
        <v>5.2360647364909205</v>
      </c>
      <c r="CC9" s="40">
        <f t="shared" ca="1" si="138"/>
        <v>11.250825152949947</v>
      </c>
      <c r="CD9" s="40">
        <f t="shared" ca="1" si="139"/>
        <v>5.2360647364909205</v>
      </c>
      <c r="CE9" s="40">
        <f t="shared" ca="1" si="140"/>
        <v>4.1428964330233136</v>
      </c>
    </row>
    <row r="10" spans="1:83" x14ac:dyDescent="0.25">
      <c r="A10" t="str">
        <f>PLANTILLA!D13</f>
        <v>Iyad Chaabo</v>
      </c>
      <c r="B10">
        <f>PLANTILLA!E13</f>
        <v>31</v>
      </c>
      <c r="C10" s="36">
        <f ca="1">PLANTILLA!F13</f>
        <v>80</v>
      </c>
      <c r="D10" s="69">
        <f>PLANTILLA!G13</f>
        <v>0</v>
      </c>
      <c r="E10" s="33">
        <v>42335</v>
      </c>
      <c r="F10" s="51">
        <f>PLANTILLA!Q13</f>
        <v>7</v>
      </c>
      <c r="G10" s="52">
        <f t="shared" si="73"/>
        <v>1</v>
      </c>
      <c r="H10" s="52">
        <f t="shared" si="74"/>
        <v>1</v>
      </c>
      <c r="I10" s="55">
        <f t="shared" ca="1" si="6"/>
        <v>1</v>
      </c>
      <c r="J10" s="42">
        <f>PLANTILLA!I13</f>
        <v>8.6999999999999993</v>
      </c>
      <c r="K10" s="50">
        <f>PLANTILLA!X13</f>
        <v>0</v>
      </c>
      <c r="L10" s="50">
        <f>PLANTILLA!Y13</f>
        <v>4</v>
      </c>
      <c r="M10" s="50">
        <f>PLANTILLA!Z13</f>
        <v>12.022727272727273</v>
      </c>
      <c r="N10" s="50">
        <f>PLANTILLA!AA13</f>
        <v>14.066666666666666</v>
      </c>
      <c r="O10" s="50">
        <f>PLANTILLA!AB13</f>
        <v>8.5999999999999979</v>
      </c>
      <c r="P10" s="50">
        <f>PLANTILLA!AC13</f>
        <v>3.01</v>
      </c>
      <c r="Q10" s="50">
        <f>PLANTILLA!AD13</f>
        <v>5.5</v>
      </c>
      <c r="R10" s="50">
        <f t="shared" si="75"/>
        <v>3.0249999999999995</v>
      </c>
      <c r="S10" s="50">
        <f t="shared" si="76"/>
        <v>0.3155</v>
      </c>
      <c r="T10" s="50">
        <f t="shared" si="77"/>
        <v>0.32500000000000001</v>
      </c>
      <c r="U10" s="50">
        <f t="shared" ca="1" si="78"/>
        <v>7.7526923368248246</v>
      </c>
      <c r="V10" s="50">
        <f t="shared" ca="1" si="79"/>
        <v>7.7526923368248246</v>
      </c>
      <c r="W10" s="40">
        <f t="shared" ca="1" si="80"/>
        <v>3.0706004100480717</v>
      </c>
      <c r="X10" s="40">
        <f t="shared" ca="1" si="81"/>
        <v>4.6082258068408484</v>
      </c>
      <c r="Y10" s="40">
        <f t="shared" ca="1" si="82"/>
        <v>3.0706004100480717</v>
      </c>
      <c r="Z10" s="40">
        <f t="shared" ca="1" si="83"/>
        <v>3.2263892458016095</v>
      </c>
      <c r="AA10" s="40">
        <f t="shared" ca="1" si="84"/>
        <v>6.2526923368248246</v>
      </c>
      <c r="AB10" s="40">
        <f t="shared" ca="1" si="85"/>
        <v>1.6131946229008047</v>
      </c>
      <c r="AC10" s="40">
        <f t="shared" ca="1" si="86"/>
        <v>3.3975498670733995</v>
      </c>
      <c r="AD10" s="40">
        <f t="shared" ca="1" si="87"/>
        <v>2.3635177033197836</v>
      </c>
      <c r="AE10" s="40">
        <f t="shared" ca="1" si="88"/>
        <v>4.5206965595243478</v>
      </c>
      <c r="AF10" s="40">
        <f t="shared" ca="1" si="89"/>
        <v>1.1817588516598918</v>
      </c>
      <c r="AG10" s="40">
        <f t="shared" ca="1" si="90"/>
        <v>5.4960365496775578</v>
      </c>
      <c r="AH10" s="40">
        <f t="shared" ca="1" si="91"/>
        <v>5.7524769498788393</v>
      </c>
      <c r="AI10" s="40">
        <f t="shared" ca="1" si="92"/>
        <v>2.5886146274454771</v>
      </c>
      <c r="AJ10" s="40">
        <f t="shared" ca="1" si="93"/>
        <v>2.3839950747952008</v>
      </c>
      <c r="AK10" s="40">
        <f t="shared" ca="1" si="94"/>
        <v>9.5957830940529973</v>
      </c>
      <c r="AL10" s="40">
        <f t="shared" ca="1" si="95"/>
        <v>4.7145300219659179</v>
      </c>
      <c r="AM10" s="40">
        <f t="shared" ca="1" si="96"/>
        <v>4.4269061744719753</v>
      </c>
      <c r="AN10" s="40">
        <f t="shared" ca="1" si="97"/>
        <v>1.2946996202497458</v>
      </c>
      <c r="AO10" s="40">
        <f t="shared" ca="1" si="98"/>
        <v>1.5199753930055493</v>
      </c>
      <c r="AP10" s="40">
        <f t="shared" ca="1" si="99"/>
        <v>1.6882269309427027</v>
      </c>
      <c r="AQ10" s="40">
        <f t="shared" ca="1" si="100"/>
        <v>3.7140992480739459</v>
      </c>
      <c r="AR10" s="40">
        <f t="shared" ca="1" si="101"/>
        <v>0.84411346547135135</v>
      </c>
      <c r="AS10" s="40">
        <f t="shared" ca="1" si="102"/>
        <v>13.47599611141718</v>
      </c>
      <c r="AT10" s="40">
        <f t="shared" ca="1" si="103"/>
        <v>1.4108500037872271</v>
      </c>
      <c r="AU10" s="40">
        <f t="shared" ca="1" si="104"/>
        <v>2.2127688546896733</v>
      </c>
      <c r="AV10" s="40">
        <f t="shared" ca="1" si="105"/>
        <v>0.70542500189361357</v>
      </c>
      <c r="AW10" s="40">
        <f t="shared" ca="1" si="106"/>
        <v>1.1817588516598918</v>
      </c>
      <c r="AX10" s="40">
        <f t="shared" ca="1" si="107"/>
        <v>2.5010769347299302</v>
      </c>
      <c r="AY10" s="40">
        <f t="shared" ca="1" si="108"/>
        <v>0.5908794258299459</v>
      </c>
      <c r="AZ10" s="40">
        <f t="shared" ca="1" si="109"/>
        <v>14.275419609552099</v>
      </c>
      <c r="BA10" s="40">
        <f t="shared" ca="1" si="110"/>
        <v>2.7457311612166801</v>
      </c>
      <c r="BB10" s="40">
        <f t="shared" ca="1" si="111"/>
        <v>4.8059334775904778</v>
      </c>
      <c r="BC10" s="40">
        <f t="shared" ca="1" si="112"/>
        <v>1.3728655806083401</v>
      </c>
      <c r="BD10" s="40">
        <f t="shared" ca="1" si="113"/>
        <v>1.8195334700160239</v>
      </c>
      <c r="BE10" s="40">
        <f t="shared" ca="1" si="114"/>
        <v>2.1759369332150387</v>
      </c>
      <c r="BF10" s="40">
        <f t="shared" ca="1" si="115"/>
        <v>12.5766446760154</v>
      </c>
      <c r="BG10" s="40">
        <f t="shared" ca="1" si="116"/>
        <v>12.785910154103936</v>
      </c>
      <c r="BH10" s="40">
        <f t="shared" ca="1" si="117"/>
        <v>2.6154988531747825</v>
      </c>
      <c r="BI10" s="40">
        <f t="shared" ca="1" si="118"/>
        <v>3.0325557833600398</v>
      </c>
      <c r="BJ10" s="40">
        <f t="shared" ca="1" si="119"/>
        <v>1.6507107769217537</v>
      </c>
      <c r="BK10" s="40">
        <f t="shared" ca="1" si="120"/>
        <v>5.4389348712393497</v>
      </c>
      <c r="BL10" s="40">
        <f t="shared" ca="1" si="121"/>
        <v>13.164319769051565</v>
      </c>
      <c r="BM10" s="40">
        <f t="shared" ca="1" si="122"/>
        <v>0.56434000151489083</v>
      </c>
      <c r="BN10" s="40">
        <f t="shared" ca="1" si="123"/>
        <v>1.1254846206284683</v>
      </c>
      <c r="BO10" s="40">
        <f t="shared" ca="1" si="124"/>
        <v>0.42518307890408813</v>
      </c>
      <c r="BP10" s="40">
        <f t="shared" ca="1" si="125"/>
        <v>4.35400298091339</v>
      </c>
      <c r="BQ10" s="40">
        <f t="shared" ca="1" si="126"/>
        <v>19.423229011823391</v>
      </c>
      <c r="BR10" s="40">
        <f t="shared" ca="1" si="127"/>
        <v>1.4651134654713514</v>
      </c>
      <c r="BS10" s="40">
        <f t="shared" ca="1" si="128"/>
        <v>1.7757646236582501</v>
      </c>
      <c r="BT10" s="40">
        <f t="shared" ca="1" si="129"/>
        <v>1.5256569301852572</v>
      </c>
      <c r="BU10" s="40">
        <f t="shared" ca="1" si="130"/>
        <v>9.0077897736273744</v>
      </c>
      <c r="BV10" s="40">
        <f t="shared" ca="1" si="131"/>
        <v>13.550759641458217</v>
      </c>
      <c r="BW10" s="40">
        <f t="shared" ca="1" si="132"/>
        <v>1.6061984658500739</v>
      </c>
      <c r="BX10" s="40">
        <f t="shared" ca="1" si="133"/>
        <v>5.7958203614781523</v>
      </c>
      <c r="BY10" s="40">
        <f t="shared" ca="1" si="134"/>
        <v>5.7315227074857322</v>
      </c>
      <c r="BZ10" s="40">
        <f t="shared" ca="1" si="135"/>
        <v>8.9611615712647517</v>
      </c>
      <c r="CA10" s="40">
        <f t="shared" ca="1" si="136"/>
        <v>5.7315227074857322</v>
      </c>
      <c r="CB10" s="40">
        <f t="shared" ca="1" si="137"/>
        <v>6.5159606591751986</v>
      </c>
      <c r="CC10" s="40">
        <f t="shared" ca="1" si="138"/>
        <v>9.2673358091131846</v>
      </c>
      <c r="CD10" s="40">
        <f t="shared" ca="1" si="139"/>
        <v>6.5159606591751986</v>
      </c>
      <c r="CE10" s="40">
        <f t="shared" ca="1" si="140"/>
        <v>3.5688549023880247</v>
      </c>
    </row>
    <row r="11" spans="1:83" x14ac:dyDescent="0.25">
      <c r="A11" t="str">
        <f>PLANTILLA!D14</f>
        <v>Morgan Thomas</v>
      </c>
      <c r="B11">
        <f>PLANTILLA!E14</f>
        <v>32</v>
      </c>
      <c r="C11" s="36">
        <f ca="1">PLANTILLA!F14</f>
        <v>105</v>
      </c>
      <c r="D11" s="69" t="str">
        <f>PLANTILLA!G14</f>
        <v>CAB</v>
      </c>
      <c r="E11" s="33">
        <v>42336</v>
      </c>
      <c r="F11" s="51">
        <f>PLANTILLA!Q14</f>
        <v>4</v>
      </c>
      <c r="G11" s="52">
        <f t="shared" si="73"/>
        <v>0.7559289460184544</v>
      </c>
      <c r="H11" s="52">
        <f t="shared" si="74"/>
        <v>0.84430867747355465</v>
      </c>
      <c r="I11" s="55">
        <f t="shared" ca="1" si="6"/>
        <v>1</v>
      </c>
      <c r="J11" s="42">
        <f>PLANTILLA!I14</f>
        <v>10.199999999999999</v>
      </c>
      <c r="K11" s="50">
        <f>PLANTILLA!X14</f>
        <v>0</v>
      </c>
      <c r="L11" s="50">
        <f>PLANTILLA!Y14</f>
        <v>1.037037037037037</v>
      </c>
      <c r="M11" s="50">
        <f>PLANTILLA!Z14</f>
        <v>13.230909090909091</v>
      </c>
      <c r="N11" s="50">
        <f>PLANTILLA!AA14</f>
        <v>14.058518518518518</v>
      </c>
      <c r="O11" s="50">
        <f>PLANTILLA!AB14</f>
        <v>10.936666666666666</v>
      </c>
      <c r="P11" s="50">
        <f>PLANTILLA!AC14</f>
        <v>3.0399999999999996</v>
      </c>
      <c r="Q11" s="50">
        <f>PLANTILLA!AD14</f>
        <v>10</v>
      </c>
      <c r="R11" s="50">
        <f t="shared" si="75"/>
        <v>3.2387962962962962</v>
      </c>
      <c r="S11" s="50">
        <f t="shared" si="76"/>
        <v>0.45199999999999996</v>
      </c>
      <c r="T11" s="50">
        <f t="shared" si="77"/>
        <v>0.3414814814814815</v>
      </c>
      <c r="U11" s="50">
        <f t="shared" ca="1" si="78"/>
        <v>9.3317918259283559</v>
      </c>
      <c r="V11" s="50">
        <f t="shared" ca="1" si="79"/>
        <v>10.422821955035641</v>
      </c>
      <c r="W11" s="40">
        <f t="shared" ca="1" si="80"/>
        <v>2.3332328221530942</v>
      </c>
      <c r="X11" s="40">
        <f t="shared" ca="1" si="81"/>
        <v>3.4678778364002545</v>
      </c>
      <c r="Y11" s="40">
        <f t="shared" ca="1" si="82"/>
        <v>2.3332328221530942</v>
      </c>
      <c r="Z11" s="40">
        <f t="shared" ca="1" si="83"/>
        <v>1.7450280292833105</v>
      </c>
      <c r="AA11" s="40">
        <f t="shared" ca="1" si="84"/>
        <v>3.3818372660529272</v>
      </c>
      <c r="AB11" s="40">
        <f t="shared" ca="1" si="85"/>
        <v>0.87251401464165523</v>
      </c>
      <c r="AC11" s="40">
        <f t="shared" ca="1" si="86"/>
        <v>3.7070188181421453</v>
      </c>
      <c r="AD11" s="40">
        <f t="shared" ca="1" si="87"/>
        <v>1.2783344865680064</v>
      </c>
      <c r="AE11" s="40">
        <f t="shared" ca="1" si="88"/>
        <v>2.4450683433562661</v>
      </c>
      <c r="AF11" s="40">
        <f t="shared" ca="1" si="89"/>
        <v>0.63916724328400321</v>
      </c>
      <c r="AG11" s="40">
        <f t="shared" ca="1" si="90"/>
        <v>5.9966480881711179</v>
      </c>
      <c r="AH11" s="40">
        <f t="shared" ca="1" si="91"/>
        <v>3.1112902847686934</v>
      </c>
      <c r="AI11" s="40">
        <f t="shared" ca="1" si="92"/>
        <v>1.4000806281459117</v>
      </c>
      <c r="AJ11" s="40">
        <f t="shared" ca="1" si="93"/>
        <v>2.6011434564274718</v>
      </c>
      <c r="AK11" s="40">
        <f t="shared" ca="1" si="94"/>
        <v>9.6451514235502298</v>
      </c>
      <c r="AL11" s="40">
        <f t="shared" ca="1" si="95"/>
        <v>2.5499052986039072</v>
      </c>
      <c r="AM11" s="40">
        <f t="shared" ca="1" si="96"/>
        <v>2.3943407843654723</v>
      </c>
      <c r="AN11" s="40">
        <f t="shared" ca="1" si="97"/>
        <v>2.0615816382456535</v>
      </c>
      <c r="AO11" s="40">
        <f t="shared" ca="1" si="98"/>
        <v>1.6080757992899097</v>
      </c>
      <c r="AP11" s="40">
        <f t="shared" ca="1" si="99"/>
        <v>0.91309606183429037</v>
      </c>
      <c r="AQ11" s="40">
        <f t="shared" ca="1" si="100"/>
        <v>2.0088113360354387</v>
      </c>
      <c r="AR11" s="40">
        <f t="shared" ca="1" si="101"/>
        <v>0.45654803091714519</v>
      </c>
      <c r="AS11" s="40">
        <f t="shared" ca="1" si="102"/>
        <v>14.70346959800918</v>
      </c>
      <c r="AT11" s="40">
        <f t="shared" ca="1" si="103"/>
        <v>1.7265906964387323</v>
      </c>
      <c r="AU11" s="40">
        <f t="shared" ca="1" si="104"/>
        <v>2.5253464671016554</v>
      </c>
      <c r="AV11" s="40">
        <f t="shared" ca="1" si="105"/>
        <v>0.86329534821936615</v>
      </c>
      <c r="AW11" s="40">
        <f t="shared" ca="1" si="106"/>
        <v>0.63916724328400321</v>
      </c>
      <c r="AX11" s="40">
        <f t="shared" ca="1" si="107"/>
        <v>1.3527349064211709</v>
      </c>
      <c r="AY11" s="40">
        <f t="shared" ca="1" si="108"/>
        <v>0.3195836216420016</v>
      </c>
      <c r="AZ11" s="40">
        <f t="shared" ca="1" si="109"/>
        <v>15.575709319924981</v>
      </c>
      <c r="BA11" s="40">
        <f t="shared" ca="1" si="110"/>
        <v>3.3602111246076865</v>
      </c>
      <c r="BB11" s="40">
        <f t="shared" ca="1" si="111"/>
        <v>5.659788259521088</v>
      </c>
      <c r="BC11" s="40">
        <f t="shared" ca="1" si="112"/>
        <v>1.6801055623038432</v>
      </c>
      <c r="BD11" s="40">
        <f t="shared" ca="1" si="113"/>
        <v>0.98411464442140173</v>
      </c>
      <c r="BE11" s="40">
        <f t="shared" ca="1" si="114"/>
        <v>1.1768793685864185</v>
      </c>
      <c r="BF11" s="40">
        <f t="shared" ca="1" si="115"/>
        <v>13.722199910853908</v>
      </c>
      <c r="BG11" s="40">
        <f t="shared" ca="1" si="116"/>
        <v>13.599167033224752</v>
      </c>
      <c r="BH11" s="40">
        <f t="shared" ca="1" si="117"/>
        <v>3.2008335218594959</v>
      </c>
      <c r="BI11" s="40">
        <f t="shared" ca="1" si="118"/>
        <v>1.6401910740356695</v>
      </c>
      <c r="BJ11" s="40">
        <f t="shared" ca="1" si="119"/>
        <v>0.89280503823797286</v>
      </c>
      <c r="BK11" s="40">
        <f t="shared" ca="1" si="120"/>
        <v>5.9343452508914174</v>
      </c>
      <c r="BL11" s="40">
        <f t="shared" ca="1" si="121"/>
        <v>13.70900836312285</v>
      </c>
      <c r="BM11" s="40">
        <f t="shared" ca="1" si="122"/>
        <v>0.69063627857549281</v>
      </c>
      <c r="BN11" s="40">
        <f t="shared" ca="1" si="123"/>
        <v>0.60873070788952688</v>
      </c>
      <c r="BO11" s="40">
        <f t="shared" ca="1" si="124"/>
        <v>0.22996493409159907</v>
      </c>
      <c r="BP11" s="40">
        <f t="shared" ca="1" si="125"/>
        <v>4.7505913425771187</v>
      </c>
      <c r="BQ11" s="40">
        <f t="shared" ca="1" si="126"/>
        <v>20.201818279699616</v>
      </c>
      <c r="BR11" s="40">
        <f t="shared" ca="1" si="127"/>
        <v>1.7929980309171452</v>
      </c>
      <c r="BS11" s="40">
        <f t="shared" ca="1" si="128"/>
        <v>0.9604417835590312</v>
      </c>
      <c r="BT11" s="40">
        <f t="shared" ca="1" si="129"/>
        <v>0.82516829291691418</v>
      </c>
      <c r="BU11" s="40">
        <f t="shared" ca="1" si="130"/>
        <v>9.8282725808726621</v>
      </c>
      <c r="BV11" s="40">
        <f t="shared" ca="1" si="131"/>
        <v>14.078452871635886</v>
      </c>
      <c r="BW11" s="40">
        <f t="shared" ca="1" si="132"/>
        <v>1.9656571005610182</v>
      </c>
      <c r="BX11" s="40">
        <f t="shared" ca="1" si="133"/>
        <v>6.3237379838895427</v>
      </c>
      <c r="BY11" s="40">
        <f t="shared" ca="1" si="134"/>
        <v>6.3663142526506107</v>
      </c>
      <c r="BZ11" s="40">
        <f t="shared" ca="1" si="135"/>
        <v>10.351175057871892</v>
      </c>
      <c r="CA11" s="40">
        <f t="shared" ca="1" si="136"/>
        <v>6.3663142526506107</v>
      </c>
      <c r="CB11" s="40">
        <f t="shared" ca="1" si="137"/>
        <v>6.9111498019361575</v>
      </c>
      <c r="CC11" s="40">
        <f t="shared" ca="1" si="138"/>
        <v>10.285661513522752</v>
      </c>
      <c r="CD11" s="40">
        <f t="shared" ca="1" si="139"/>
        <v>6.9111498019361575</v>
      </c>
      <c r="CE11" s="40">
        <f t="shared" ca="1" si="140"/>
        <v>3.8939273299812451</v>
      </c>
    </row>
    <row r="12" spans="1:83" x14ac:dyDescent="0.25">
      <c r="A12" t="str">
        <f>PLANTILLA!D12</f>
        <v>Cezary Pauch</v>
      </c>
      <c r="B12">
        <f>PLANTILLA!E12</f>
        <v>29</v>
      </c>
      <c r="C12" s="36">
        <f ca="1">PLANTILLA!F12</f>
        <v>109</v>
      </c>
      <c r="D12" s="69" t="str">
        <f>PLANTILLA!G12</f>
        <v>RAP</v>
      </c>
      <c r="E12" s="33">
        <v>42630</v>
      </c>
      <c r="F12" s="51">
        <f>PLANTILLA!Q12</f>
        <v>5</v>
      </c>
      <c r="G12" s="52">
        <f>(F12/7)^0.5</f>
        <v>0.84515425472851657</v>
      </c>
      <c r="H12" s="52">
        <f>IF(F12=7,1,((F12+0.99)/7)^0.5)</f>
        <v>0.92504826128926143</v>
      </c>
      <c r="I12" s="55">
        <f ca="1">IF(TODAY()-E12&gt;335,1,((TODAY()-E12)^0.5)/336^0.5)</f>
        <v>1</v>
      </c>
      <c r="J12" s="42">
        <f>PLANTILLA!I12</f>
        <v>6.1</v>
      </c>
      <c r="K12" s="50">
        <f>PLANTILLA!X12</f>
        <v>0</v>
      </c>
      <c r="L12" s="50">
        <f>PLANTILLA!Y12</f>
        <v>2</v>
      </c>
      <c r="M12" s="50">
        <f>PLANTILLA!Z12</f>
        <v>13.022727272727273</v>
      </c>
      <c r="N12" s="50">
        <f>PLANTILLA!AA12</f>
        <v>14.00679012345679</v>
      </c>
      <c r="O12" s="50">
        <f>PLANTILLA!AB12</f>
        <v>6.9986111111111118</v>
      </c>
      <c r="P12" s="50">
        <f>PLANTILLA!AC12</f>
        <v>5.01</v>
      </c>
      <c r="Q12" s="50">
        <f>PLANTILLA!AD12</f>
        <v>0.14444444444444443</v>
      </c>
      <c r="R12" s="50">
        <f>((2*(O12+1))+(L12+1))/8</f>
        <v>2.3746527777777779</v>
      </c>
      <c r="S12" s="50">
        <f>(0.5*P12+ 0.3*Q12)/10</f>
        <v>0.25483333333333336</v>
      </c>
      <c r="T12" s="50">
        <f>(0.4*L12+0.3*Q12)/10</f>
        <v>8.4333333333333343E-2</v>
      </c>
      <c r="U12" s="50">
        <f ca="1">IF(TODAY()-E12&gt;335,(Q12+1+(LOG(J12)*4/3))*(F12/7)^0.5,(Q12+((TODAY()-E12)^0.5)/(336^0.5)+(LOG(J12)*4/3))*(F12/7)^0.5)</f>
        <v>1.8521985600887605</v>
      </c>
      <c r="V12" s="50">
        <f ca="1">IF(F12=7,U12,IF(TODAY()-E12&gt;335,(Q12+1+(LOG(J12)*4/3))*((F12+0.99)/7)^0.5,(Q12+((TODAY()-E12)^0.5)/(336^0.5)+(LOG(J12)*4/3))*((F12+0.99)/7)^0.5))</f>
        <v>2.0272903413625447</v>
      </c>
      <c r="W12" s="40">
        <f ca="1">IF(TODAY()-E12&gt;335,((K12+1+(LOG(J12)*4/3))*0.597)+((L12+1+(LOG(J12)*4/3))*0.276),((K12+(((TODAY()-E12)^0.5)/(336^0.5))+(LOG(J12)*4/3))*0.597)+((L12+(((TODAY()-E12)^0.5)/(336^0.5))+(LOG(J12)*4/3))*0.276))</f>
        <v>2.3391239279525324</v>
      </c>
      <c r="X12" s="40">
        <f ca="1">IF(TODAY()-E12&gt;335,((K12+1+(LOG(J12)*4/3))*0.866)+((L12+1+(LOG(J12)*4/3))*0.425),((K12+(((TODAY()-E12)^0.5)/(336^0.5))+(LOG(J12)*4/3))*0.866)+((L12+(((TODAY()-E12)^0.5)/(336^0.5))+(LOG(J12)*4/3))*0.425))</f>
        <v>3.4928144226651998</v>
      </c>
      <c r="Y12" s="40">
        <f ca="1">W12</f>
        <v>2.3391239279525324</v>
      </c>
      <c r="Z12" s="40">
        <f ca="1">IF(TODAY()-E12&gt;335,((L12+1+(LOG(J12)*4/3))*0.516),((L12+(((TODAY()-E12)^0.5)/(336^0.516))+(LOG(J12)*4/3))*0.516))</f>
        <v>2.0883069264874075</v>
      </c>
      <c r="AA12" s="40">
        <f ca="1">IF(TODAY()-E12&gt;335,((L12+1+(LOG(J12)*4/3))*1),((L12+(((TODAY()-E12)^0.5)/(336^0.5))+(LOG(J12)*4/3))*1))</f>
        <v>4.0471064466810223</v>
      </c>
      <c r="AB12" s="40">
        <f ca="1">Z12/2</f>
        <v>1.0441534632437037</v>
      </c>
      <c r="AC12" s="40">
        <f ca="1">IF(TODAY()-E12&gt;335,((M12+1+(LOG(J12)*4/3))*0.238),((M12+(((TODAY()-E12)^0.5)/(336^0.238))+(LOG(J12)*4/3))*0.238))</f>
        <v>3.586620425219174</v>
      </c>
      <c r="AD12" s="40">
        <f ca="1">IF(TODAY()-E12&gt;335,((L12+1+(LOG(J12)*4/3))*0.378),((L12+(((TODAY()-E12)^0.5)/(336^0.516))+(LOG(J12)*4/3))*0.378))</f>
        <v>1.5298062368454264</v>
      </c>
      <c r="AE12" s="40">
        <f ca="1">IF(TODAY()-E12&gt;335,((L12+1+(LOG(J12)*4/3))*0.723),((L12+(((TODAY()-E12)^0.5)/(336^0.5))+(LOG(J12)*4/3))*0.723))</f>
        <v>2.926057960950379</v>
      </c>
      <c r="AF12" s="40">
        <f ca="1">AD12/2</f>
        <v>0.76490311842271319</v>
      </c>
      <c r="AG12" s="40">
        <f ca="1">IF(TODAY()-E12&gt;335,((M12+1+(LOG(J12)*4/3))*0.385),((M12+(((TODAY()-E12)^0.5)/(336^0.238))+(LOG(J12)*4/3))*0.385))</f>
        <v>5.8018859819721937</v>
      </c>
      <c r="AH12" s="40">
        <f ca="1">IF(TODAY()-E12&gt;335,((L12+1+(LOG(J12)*4/3))*0.92),((L12+(((TODAY()-E12)^0.5)/(336^0.5))+(LOG(J12)*4/3))*0.92))</f>
        <v>3.7233379309465406</v>
      </c>
      <c r="AI12" s="40">
        <f ca="1">IF(TODAY()-E12&gt;335,((L12+1+(LOG(J12)*4/3))*0.414),((L12+(((TODAY()-E12)^0.5)/(336^0.414))+(LOG(J12)*4/3))*0.414))</f>
        <v>1.6755020689259432</v>
      </c>
      <c r="AJ12" s="40">
        <f ca="1">IF(TODAY()-E12&gt;335,((M12+1+(LOG(J12)*4/3))*0.167),((M12+(((TODAY()-E12)^0.5)/(336^0.5))+(LOG(J12)*4/3))*0.167))</f>
        <v>2.5166622311411855</v>
      </c>
      <c r="AK12" s="40">
        <f ca="1">IF(TODAY()-E12&gt;335,((N12+1+(LOG(J12)*4/3))*0.588),((N12+(((TODAY()-E12)^0.5)/(336^0.5))+(LOG(J12)*4/3))*0.588))</f>
        <v>9.4396911832410328</v>
      </c>
      <c r="AL12" s="40">
        <f ca="1">IF(TODAY()-E12&gt;335,((L12+1+(LOG(J12)*4/3))*0.754),((L12+(((TODAY()-E12)^0.5)/(336^0.5))+(LOG(J12)*4/3))*0.754))</f>
        <v>3.0515182607974909</v>
      </c>
      <c r="AM12" s="40">
        <f ca="1">IF(TODAY()-E12&gt;335,((L12+1+(LOG(J12)*4/3))*0.708),((L12+(((TODAY()-E12)^0.5)/(336^0.414))+(LOG(J12)*4/3))*0.708))</f>
        <v>2.8653513642501638</v>
      </c>
      <c r="AN12" s="40">
        <f ca="1">IF(TODAY()-E12&gt;335,((Q12+1+(LOG(J12)*4/3))*0.167),((Q12+(((TODAY()-E12)^0.5)/(336^0.5))+(LOG(J12)*4/3))*0.167))</f>
        <v>0.36598899881795305</v>
      </c>
      <c r="AO12" s="40">
        <f ca="1">IF(TODAY()-E12&gt;335,((R12+1+(LOG(J12)*4/3))*0.288),((R12+(((TODAY()-E12)^0.5)/(336^0.5))+(LOG(J12)*4/3))*0.288))</f>
        <v>1.2734666566441344</v>
      </c>
      <c r="AP12" s="40">
        <f ca="1">IF(TODAY()-E12&gt;335,((L12+1+(LOG(J12)*4/3))*0.27),((L12+(((TODAY()-E12)^0.5)/(336^0.5))+(LOG(J12)*4/3))*0.27))</f>
        <v>1.0927187406038761</v>
      </c>
      <c r="AQ12" s="40">
        <f ca="1">IF(TODAY()-E12&gt;335,((L12+1+(LOG(J12)*4/3))*0.594),((L12+(((TODAY()-E12)^0.5)/(336^0.5))+(LOG(J12)*4/3))*0.594))</f>
        <v>2.4039812293285272</v>
      </c>
      <c r="AR12" s="40">
        <f ca="1">AP12/2</f>
        <v>0.54635937030193804</v>
      </c>
      <c r="AS12" s="40">
        <f ca="1">IF(TODAY()-E12&gt;335,((M12+1+(LOG(J12)*4/3))*0.944),((M12+(((TODAY()-E12)^0.5)/(336^0.5))+(LOG(J12)*4/3))*0.944))</f>
        <v>14.225923031121431</v>
      </c>
      <c r="AT12" s="40">
        <f ca="1">IF(TODAY()-E12&gt;335,((O12+1+(LOG(J12)*4/3))*0.13),((O12+(((TODAY()-E12)^0.5)/(336^0.5))+(LOG(J12)*4/3))*0.13))</f>
        <v>1.1759432825129774</v>
      </c>
      <c r="AU12" s="40">
        <f ca="1">IF(TODAY()-E12&gt;335,((P12+1+(LOG(J12)*4/3))*0.173)+((O12+1+(LOG(J12)*4/3))*0.12),((P12+(((TODAY()-E12)^0.5)/(336^0.5))+(LOG(J12)*4/3))*0.173)+((O12+(((TODAY()-E12)^0.5)/(336^0.5))+(LOG(J12)*4/3))*0.12))</f>
        <v>2.3063655222108728</v>
      </c>
      <c r="AV12" s="40">
        <f ca="1">AT12/2</f>
        <v>0.58797164125648871</v>
      </c>
      <c r="AW12" s="40">
        <f ca="1">IF(TODAY()-E12&gt;335,((L12+1+(LOG(J12)*4/3))*0.189),((L12+(((TODAY()-E12)^0.5)/(336^0.5))+(LOG(J12)*4/3))*0.189))</f>
        <v>0.76490311842271319</v>
      </c>
      <c r="AX12" s="40">
        <f ca="1">IF(TODAY()-E12&gt;335,((L12+1+(LOG(J12)*4/3))*0.4),((L12+(((TODAY()-E12)^0.5)/(336^0.5))+(LOG(J12)*4/3))*0.4))</f>
        <v>1.618842578672409</v>
      </c>
      <c r="AY12" s="40">
        <f ca="1">AW12/2</f>
        <v>0.3824515592113566</v>
      </c>
      <c r="AZ12" s="40">
        <f ca="1">IF(TODAY()-E12&gt;335,((M12+1+(LOG(J12)*4/3))*1),((M12+(((TODAY()-E12)^0.5)/(336^0.5))+(LOG(J12)*4/3))*1))</f>
        <v>15.069833719408296</v>
      </c>
      <c r="BA12" s="40">
        <f ca="1">IF(TODAY()-E12&gt;335,((O12+1+(LOG(J12)*4/3))*0.253),((O12+(((TODAY()-E12)^0.5)/(336^0.5))+(LOG(J12)*4/3))*0.253))</f>
        <v>2.2885665421214099</v>
      </c>
      <c r="BB12" s="40">
        <f ca="1">IF(TODAY()-E12&gt;335,((P12+1+(LOG(J12)*4/3))*0.21)+((O12+1+(LOG(J12)*4/3))*0.341),((P12+(((TODAY()-E12)^0.5)/(336^0.5))+(LOG(J12)*4/3))*0.21)+((O12+(((TODAY()-E12)^0.5)/(336^0.5))+(LOG(J12)*4/3))*0.341))</f>
        <v>4.5665820410101325</v>
      </c>
      <c r="BC12" s="40">
        <f ca="1">BA12/2</f>
        <v>1.1442832710607049</v>
      </c>
      <c r="BD12" s="40">
        <f ca="1">IF(TODAY()-E12&gt;335,((L12+1+(LOG(J12)*4/3))*0.291),((L12+(((TODAY()-E12)^0.5)/(336^0.5))+(LOG(J12)*4/3))*0.291))</f>
        <v>1.1777079759841773</v>
      </c>
      <c r="BE12" s="40">
        <f ca="1">IF(TODAY()-E12&gt;335,((L12+1+(LOG(J12)*4/3))*0.348),((L12+(((TODAY()-E12)^0.5)/(336^0.5))+(LOG(J12)*4/3))*0.348))</f>
        <v>1.4083930434449956</v>
      </c>
      <c r="BF12" s="40">
        <f ca="1">IF(TODAY()-E12&gt;335,((M12+1+(LOG(J12)*4/3))*0.881),((M12+(((TODAY()-E12)^0.5)/(336^0.5))+(LOG(J12)*4/3))*0.881))</f>
        <v>13.276523506798709</v>
      </c>
      <c r="BG12" s="40">
        <f ca="1">IF(TODAY()-E12&gt;335,((N12+1+(LOG(J12)*4/3))*0.574)+((O12+1+(LOG(J12)*4/3))*0.315),((N12+(((TODAY()-E12)^0.5)/(336^0.5))+(LOG(J12)*4/3))*0.574)+((O12+(((TODAY()-E12)^0.5)/(336^0.5))+(LOG(J12)*4/3))*0.315))</f>
        <v>12.064337661963625</v>
      </c>
      <c r="BH12" s="40">
        <f ca="1">IF(TODAY()-E12&gt;335,((O12+1+(LOG(J12)*4/3))*0.241),((O12+(((TODAY()-E12)^0.5)/(336^0.5))+(LOG(J12)*4/3))*0.241))</f>
        <v>2.1800179314279045</v>
      </c>
      <c r="BI12" s="40">
        <f ca="1">IF(TODAY()-E12&gt;335,((L12+1+(LOG(J12)*4/3))*0.485),((L12+(((TODAY()-E12)^0.5)/(336^0.5))+(LOG(J12)*4/3))*0.485))</f>
        <v>1.9628466266402957</v>
      </c>
      <c r="BJ12" s="40">
        <f ca="1">IF(TODAY()-E12&gt;335,((L12+1+(LOG(J12)*4/3))*0.264),((L12+(((TODAY()-E12)^0.5)/(336^0.5))+(LOG(J12)*4/3))*0.264))</f>
        <v>1.06843610192379</v>
      </c>
      <c r="BK12" s="40">
        <f ca="1">IF(TODAY()-E12&gt;335,((M12+1+(LOG(J12)*4/3))*0.381),((M12+(((TODAY()-E12)^0.5)/(336^0.5))+(LOG(J12)*4/3))*0.381))</f>
        <v>5.741606647094561</v>
      </c>
      <c r="BL12" s="40">
        <f ca="1">IF(TODAY()-E12&gt;335,((N12+1+(LOG(J12)*4/3))*0.673)+((O12+1+(LOG(J12)*4/3))*0.201),((N12+(((TODAY()-E12)^0.5)/(336^0.5))+(LOG(J12)*4/3))*0.673)+((O12+(((TODAY()-E12)^0.5)/(336^0.5))+(LOG(J12)*4/3))*0.201))</f>
        <v>12.622461620818967</v>
      </c>
      <c r="BM12" s="40">
        <f ca="1">IF(TODAY()-E12&gt;335,((O12+1+(LOG(J12)*4/3))*0.052),((O12+(((TODAY()-E12)^0.5)/(336^0.5))+(LOG(J12)*4/3))*0.052))</f>
        <v>0.47037731300519092</v>
      </c>
      <c r="BN12" s="40">
        <f ca="1">IF(TODAY()-E12&gt;335,((L12+1+(LOG(J12)*4/3))*0.18),((L12+(((TODAY()-E12)^0.5)/(336^0.5))+(LOG(J12)*4/3))*0.18))</f>
        <v>0.72847916040258398</v>
      </c>
      <c r="BO12" s="40">
        <f ca="1">IF(TODAY()-E12&gt;335,((L12+1+(LOG(J12)*4/3))*0.068),((L12+(((TODAY()-E12)^0.5)/(336^0.5))+(LOG(J12)*4/3))*0.068))</f>
        <v>0.27520323837430954</v>
      </c>
      <c r="BP12" s="40">
        <f ca="1">IF(TODAY()-E12&gt;335,((M12+1+(LOG(J12)*4/3))*0.305),((M12+(((TODAY()-E12)^0.5)/(336^0.5))+(LOG(J12)*4/3))*0.305))</f>
        <v>4.5962992844195298</v>
      </c>
      <c r="BQ12" s="40">
        <f ca="1">IF(TODAY()-E12&gt;335,((N12+1+(LOG(J12)*4/3))*1)+((O12+1+(LOG(J12)*4/3))*0.286),((N12+(((TODAY()-E12)^0.5)/(336^0.5))+(LOG(J12)*4/3))*1)+((O12+(((TODAY()-E12)^0.5)/(336^0.5))+(LOG(J12)*4/3))*0.286))</f>
        <v>18.640971791666363</v>
      </c>
      <c r="BR12" s="40">
        <f ca="1">IF(TODAY()-E12&gt;335,((O12+1+(LOG(J12)*4/3))*0.135),((O12+(((TODAY()-E12)^0.5)/(336^0.5))+(LOG(J12)*4/3))*0.135))</f>
        <v>1.2211718703019381</v>
      </c>
      <c r="BS12" s="40">
        <f ca="1">IF(TODAY()-E12&gt;335,((L12+1+(LOG(J12)*4/3))*0.284),((L12+(((TODAY()-E12)^0.5)/(336^0.5))+(LOG(J12)*4/3))*0.284))</f>
        <v>1.1493782308574103</v>
      </c>
      <c r="BT12" s="40">
        <f ca="1">IF(TODAY()-E12&gt;335,((L12+1+(LOG(J12)*4/3))*0.244),((L12+(((TODAY()-E12)^0.5)/(336^0.5))+(LOG(J12)*4/3))*0.244))</f>
        <v>0.98749397299016939</v>
      </c>
      <c r="BU12" s="40">
        <f ca="1">IF(TODAY()-E12&gt;335,((M12+1+(LOG(J12)*4/3))*0.631),((M12+(((TODAY()-E12)^0.5)/(336^0.5))+(LOG(J12)*4/3))*0.631))</f>
        <v>9.5090650769466354</v>
      </c>
      <c r="BV12" s="40">
        <f ca="1">IF(TODAY()-E12&gt;335,((N12+1+(LOG(J12)*4/3))*0.702)+((O12+1+(LOG(J12)*4/3))*0.193),((N12+(((TODAY()-E12)^0.5)/(336^0.5))+(LOG(J12)*4/3))*0.702)+((O12+(((TODAY()-E12)^0.5)/(336^0.5))+(LOG(J12)*4/3))*0.193))</f>
        <v>13.015658880890625</v>
      </c>
      <c r="BW12" s="40">
        <f ca="1">IF(TODAY()-E12&gt;335,((O12+1+(LOG(J12)*4/3))*0.148),((O12+(((TODAY()-E12)^0.5)/(336^0.5))+(LOG(J12)*4/3))*0.148))</f>
        <v>1.3387661985532358</v>
      </c>
      <c r="BX12" s="40">
        <f ca="1">IF(TODAY()-E12&gt;335,((M12+1+(LOG(J12)*4/3))*0.406),((M12+(((TODAY()-E12)^0.5)/(336^0.5))+(LOG(J12)*4/3))*0.406))</f>
        <v>6.1183524900797686</v>
      </c>
      <c r="BY12" s="40">
        <f ca="1">IF(D12="TEC",IF(TODAY()-E12&gt;335,((N12+1+(LOG(J12)*4/3))*0.15)+((O12+1+(LOG(J12)*4/3))*0.324)+((P12+1+(LOG(J12)*4/3))*0.127),((N12+(((TODAY()-E12)^0.5)/(336^0.5))+(LOG(J12)*4/3))*0.15)+((O12+(((TODAY()-E12)^0.5)/(336^0.5))+(LOG(J12)*4/3))*0.324)+((P12+(((TODAY()-E12)^0.5)/(336^0.5))+(LOG(J12)*4/3))*0.127)),IF(TODAY()-E12&gt;335,((N12+1+(LOG(J12)*4/3))*0.144)+((O12+1+(LOG(J12)*4/3))*0.25)+((P12+1+(LOG(J12)*4/3))*0.127),((N12+(((TODAY()-E12)^0.5)/(336^0.5))+(LOG(J12)*4/3))*0.144)+((O12+(((TODAY()-E12)^0.5)/(336^0.5))+(LOG(J12)*4/3))*0.25)+((P12+(((TODAY()-E12)^0.5)/(336^0.5))+(LOG(J12)*4/3))*0.127)))</f>
        <v>5.4694430142763686</v>
      </c>
      <c r="BZ12" s="40">
        <f ca="1">IF(D12="TEC",IF(TODAY()-E12&gt;335,((O12+1+(LOG(J12)*4/3))*0.543)+((P12+1+(LOG(J12)*4/3))*0.583),((O12+(((TODAY()-E12)^0.5)/(336^0.5))+(LOG(J12)*4/3))*0.543)+((P12+(((TODAY()-E12)^0.5)/(336^0.5))+(LOG(J12)*4/3))*0.583)),IF(TODAY()-E12&gt;335,((O12+1+(LOG(J12)*4/3))*0.543)+((P12+1+(LOG(J12)*4/3))*0.583),((O12+(((TODAY()-E12)^0.5)/(336^0.5))+(LOG(J12)*4/3))*0.543)+((P12+(((TODAY()-E12)^0.5)/(336^0.5))+(LOG(J12)*4/3))*0.583)))</f>
        <v>9.0261176922961646</v>
      </c>
      <c r="CA12" s="40">
        <f ca="1">BY12</f>
        <v>5.4694430142763686</v>
      </c>
      <c r="CB12" s="40">
        <f ca="1">IF(TODAY()-E12&gt;335,((P12+1+(LOG(J12)*4/3))*0.26)+((N12+1+(LOG(J12)*4/3))*0.221)+((O12+1+(LOG(J12)*4/3))*0.142),((P12+(((TODAY()-E12)^0.5)/(336^0.5))+(LOG(J12)*4/3))*0.26)+((N12+(((TODAY()-E12)^0.5)/(336^0.5))+(LOG(J12)*4/3))*0.221)+((P12+(((TODAY()-E12)^0.5)/(336^0.5))+(LOG(J12)*4/3))*0.142))</f>
        <v>6.667250711344006</v>
      </c>
      <c r="CC12" s="40">
        <f ca="1">IF(TODAY()-E12&gt;335,((P12+1+(LOG(J12)*4/3))*1)+((O12+1+(LOG(J12)*4/3))*0.369),((P12+(((TODAY()-E12)^0.5)/(336^0.5))+(LOG(J12)*4/3))*1)+((O12+(((TODAY()-E12)^0.5)/(336^0.5))+(LOG(J12)*4/3))*0.369))</f>
        <v>10.394976225506319</v>
      </c>
      <c r="CD12" s="40">
        <f ca="1">CB12</f>
        <v>6.667250711344006</v>
      </c>
      <c r="CE12" s="40">
        <f ca="1">IF(TODAY()-E12&gt;335,((M12+1+(LOG(J12)*4/3))*0.25),((M12+(((TODAY()-E12)^0.5)/(336^0.5))+(LOG(J12)*4/3))*0.25))</f>
        <v>3.7674584298520739</v>
      </c>
    </row>
    <row r="13" spans="1:83" x14ac:dyDescent="0.25">
      <c r="A13" t="str">
        <f>PLANTILLA!D15</f>
        <v>Gianfranco Rezza</v>
      </c>
      <c r="B13">
        <f>PLANTILLA!E15</f>
        <v>30</v>
      </c>
      <c r="C13" s="36">
        <f ca="1">PLANTILLA!F15</f>
        <v>7</v>
      </c>
      <c r="D13" s="69" t="str">
        <f>PLANTILLA!G15</f>
        <v>CAB</v>
      </c>
      <c r="E13" s="33">
        <v>42337</v>
      </c>
      <c r="F13" s="51">
        <f>PLANTILLA!Q15</f>
        <v>5</v>
      </c>
      <c r="G13" s="52">
        <f t="shared" si="73"/>
        <v>0.84515425472851657</v>
      </c>
      <c r="H13" s="52">
        <f t="shared" si="74"/>
        <v>0.92504826128926143</v>
      </c>
      <c r="I13" s="55">
        <f t="shared" ca="1" si="6"/>
        <v>1</v>
      </c>
      <c r="J13" s="42">
        <f>PLANTILLA!I15</f>
        <v>9.3000000000000007</v>
      </c>
      <c r="K13" s="50">
        <f>PLANTILLA!X15</f>
        <v>0</v>
      </c>
      <c r="L13" s="50">
        <f>PLANTILLA!Y15</f>
        <v>2</v>
      </c>
      <c r="M13" s="50">
        <f>PLANTILLA!Z15</f>
        <v>14.066666666666666</v>
      </c>
      <c r="N13" s="50">
        <f>PLANTILLA!AA15</f>
        <v>2.125</v>
      </c>
      <c r="O13" s="50">
        <f>PLANTILLA!AB15</f>
        <v>14.460000000000004</v>
      </c>
      <c r="P13" s="50">
        <f>PLANTILLA!AC15</f>
        <v>8.1057777777777762</v>
      </c>
      <c r="Q13" s="50">
        <f>PLANTILLA!AD15</f>
        <v>14</v>
      </c>
      <c r="R13" s="50">
        <f t="shared" si="75"/>
        <v>4.2400000000000011</v>
      </c>
      <c r="S13" s="50">
        <f t="shared" si="76"/>
        <v>0.82528888888888885</v>
      </c>
      <c r="T13" s="50">
        <f t="shared" si="77"/>
        <v>0.5</v>
      </c>
      <c r="U13" s="50">
        <f t="shared" ca="1" si="78"/>
        <v>13.768670467064251</v>
      </c>
      <c r="V13" s="50">
        <f t="shared" ca="1" si="79"/>
        <v>15.070248542869741</v>
      </c>
      <c r="W13" s="40">
        <f t="shared" ca="1" si="80"/>
        <v>2.5523141521167805</v>
      </c>
      <c r="X13" s="40">
        <f t="shared" ca="1" si="81"/>
        <v>3.8080819821108403</v>
      </c>
      <c r="Y13" s="40">
        <f t="shared" ca="1" si="82"/>
        <v>2.5523141521167805</v>
      </c>
      <c r="Z13" s="40">
        <f t="shared" ca="1" si="83"/>
        <v>2.2143162686051072</v>
      </c>
      <c r="AA13" s="40">
        <f t="shared" ca="1" si="84"/>
        <v>4.2913105980719131</v>
      </c>
      <c r="AB13" s="40">
        <f t="shared" ca="1" si="85"/>
        <v>1.1071581343025536</v>
      </c>
      <c r="AC13" s="40">
        <f t="shared" ca="1" si="86"/>
        <v>3.8931985890077816</v>
      </c>
      <c r="AD13" s="40">
        <f t="shared" ca="1" si="87"/>
        <v>1.6221154060711831</v>
      </c>
      <c r="AE13" s="40">
        <f t="shared" ca="1" si="88"/>
        <v>3.1026175624059928</v>
      </c>
      <c r="AF13" s="40">
        <f t="shared" ca="1" si="89"/>
        <v>0.81105770303559155</v>
      </c>
      <c r="AG13" s="40">
        <f t="shared" ca="1" si="90"/>
        <v>6.2978212469243529</v>
      </c>
      <c r="AH13" s="40">
        <f t="shared" ca="1" si="91"/>
        <v>3.9480057502261601</v>
      </c>
      <c r="AI13" s="40">
        <f t="shared" ca="1" si="92"/>
        <v>1.7766025876017719</v>
      </c>
      <c r="AJ13" s="40">
        <f t="shared" ca="1" si="93"/>
        <v>2.7317822032113428</v>
      </c>
      <c r="AK13" s="40">
        <f t="shared" ca="1" si="94"/>
        <v>2.5967906316662845</v>
      </c>
      <c r="AL13" s="40">
        <f t="shared" ca="1" si="95"/>
        <v>3.2356481909462222</v>
      </c>
      <c r="AM13" s="40">
        <f t="shared" ca="1" si="96"/>
        <v>3.0382479034349141</v>
      </c>
      <c r="AN13" s="40">
        <f t="shared" ca="1" si="97"/>
        <v>2.7206488698780098</v>
      </c>
      <c r="AO13" s="40">
        <f t="shared" ca="1" si="98"/>
        <v>1.8810174522447114</v>
      </c>
      <c r="AP13" s="40">
        <f t="shared" ca="1" si="99"/>
        <v>1.1586538614794166</v>
      </c>
      <c r="AQ13" s="40">
        <f t="shared" ca="1" si="100"/>
        <v>2.5490384952547163</v>
      </c>
      <c r="AR13" s="40">
        <f t="shared" ca="1" si="101"/>
        <v>0.57932693073970831</v>
      </c>
      <c r="AS13" s="40">
        <f t="shared" ca="1" si="102"/>
        <v>15.441930537913219</v>
      </c>
      <c r="AT13" s="40">
        <f t="shared" ca="1" si="103"/>
        <v>2.1776703777493491</v>
      </c>
      <c r="AU13" s="40">
        <f t="shared" ca="1" si="104"/>
        <v>3.8088535607906264</v>
      </c>
      <c r="AV13" s="40">
        <f t="shared" ca="1" si="105"/>
        <v>1.0888351888746746</v>
      </c>
      <c r="AW13" s="40">
        <f t="shared" ca="1" si="106"/>
        <v>0.81105770303559155</v>
      </c>
      <c r="AX13" s="40">
        <f t="shared" ca="1" si="107"/>
        <v>1.7165242392287654</v>
      </c>
      <c r="AY13" s="40">
        <f t="shared" ca="1" si="108"/>
        <v>0.40552885151779577</v>
      </c>
      <c r="AZ13" s="40">
        <f t="shared" ca="1" si="109"/>
        <v>16.357977264738579</v>
      </c>
      <c r="BA13" s="40">
        <f t="shared" ca="1" si="110"/>
        <v>4.238081581312195</v>
      </c>
      <c r="BB13" s="40">
        <f t="shared" ca="1" si="111"/>
        <v>7.8955854728709589</v>
      </c>
      <c r="BC13" s="40">
        <f t="shared" ca="1" si="112"/>
        <v>2.1190407906560975</v>
      </c>
      <c r="BD13" s="40">
        <f t="shared" ca="1" si="113"/>
        <v>1.2487713840389265</v>
      </c>
      <c r="BE13" s="40">
        <f t="shared" ca="1" si="114"/>
        <v>1.4933760881290257</v>
      </c>
      <c r="BF13" s="40">
        <f t="shared" ca="1" si="115"/>
        <v>14.411377970234689</v>
      </c>
      <c r="BG13" s="40">
        <f t="shared" ca="1" si="116"/>
        <v>7.8116251216859318</v>
      </c>
      <c r="BH13" s="40">
        <f t="shared" ca="1" si="117"/>
        <v>4.0370658541353324</v>
      </c>
      <c r="BI13" s="40">
        <f t="shared" ca="1" si="118"/>
        <v>2.0812856400648778</v>
      </c>
      <c r="BJ13" s="40">
        <f t="shared" ca="1" si="119"/>
        <v>1.132905997890985</v>
      </c>
      <c r="BK13" s="40">
        <f t="shared" ca="1" si="120"/>
        <v>6.2323893378653992</v>
      </c>
      <c r="BL13" s="40">
        <f t="shared" ca="1" si="121"/>
        <v>6.3391904627148534</v>
      </c>
      <c r="BM13" s="40">
        <f t="shared" ca="1" si="122"/>
        <v>0.87106815109973967</v>
      </c>
      <c r="BN13" s="40">
        <f t="shared" ca="1" si="123"/>
        <v>0.77243590765294434</v>
      </c>
      <c r="BO13" s="40">
        <f t="shared" ca="1" si="124"/>
        <v>0.29180912066889009</v>
      </c>
      <c r="BP13" s="40">
        <f t="shared" ca="1" si="125"/>
        <v>4.9891830657452667</v>
      </c>
      <c r="BQ13" s="40">
        <f t="shared" ca="1" si="126"/>
        <v>9.2071854291204822</v>
      </c>
      <c r="BR13" s="40">
        <f t="shared" ca="1" si="127"/>
        <v>2.261426930739709</v>
      </c>
      <c r="BS13" s="40">
        <f t="shared" ca="1" si="128"/>
        <v>1.2187322098524231</v>
      </c>
      <c r="BT13" s="40">
        <f t="shared" ca="1" si="129"/>
        <v>1.0470797859295469</v>
      </c>
      <c r="BU13" s="40">
        <f t="shared" ca="1" si="130"/>
        <v>10.321883654050044</v>
      </c>
      <c r="BV13" s="40">
        <f t="shared" ca="1" si="131"/>
        <v>6.3332529852743633</v>
      </c>
      <c r="BW13" s="40">
        <f t="shared" ca="1" si="132"/>
        <v>2.4791939685146436</v>
      </c>
      <c r="BX13" s="40">
        <f t="shared" ca="1" si="133"/>
        <v>6.6413387694838635</v>
      </c>
      <c r="BY13" s="40">
        <f t="shared" ca="1" si="134"/>
        <v>6.1442065993732449</v>
      </c>
      <c r="BZ13" s="40">
        <f t="shared" ca="1" si="135"/>
        <v>15.157464177873422</v>
      </c>
      <c r="CA13" s="40">
        <f t="shared" ca="1" si="136"/>
        <v>6.1442065993732449</v>
      </c>
      <c r="CB13" s="40">
        <f t="shared" ca="1" si="137"/>
        <v>6.0579337248210248</v>
      </c>
      <c r="CC13" s="40">
        <f t="shared" ca="1" si="138"/>
        <v>16.578321986538228</v>
      </c>
      <c r="CD13" s="40">
        <f t="shared" ca="1" si="139"/>
        <v>6.0579337248210248</v>
      </c>
      <c r="CE13" s="40">
        <f t="shared" ca="1" si="140"/>
        <v>4.0894943161846449</v>
      </c>
    </row>
    <row r="14" spans="1:83" x14ac:dyDescent="0.25">
      <c r="A14" t="str">
        <f>PLANTILLA!D16</f>
        <v>Saul Piña</v>
      </c>
      <c r="B14">
        <f>PLANTILLA!E16</f>
        <v>29</v>
      </c>
      <c r="C14" s="36">
        <f ca="1">PLANTILLA!F16</f>
        <v>70</v>
      </c>
      <c r="D14" s="69" t="str">
        <f>PLANTILLA!G16</f>
        <v>TEC</v>
      </c>
      <c r="E14" s="33">
        <v>42338</v>
      </c>
      <c r="F14" s="51">
        <f>PLANTILLA!Q16</f>
        <v>7</v>
      </c>
      <c r="G14" s="52">
        <f t="shared" si="73"/>
        <v>1</v>
      </c>
      <c r="H14" s="52">
        <f t="shared" si="74"/>
        <v>1</v>
      </c>
      <c r="I14" s="55">
        <f t="shared" ca="1" si="6"/>
        <v>1</v>
      </c>
      <c r="J14" s="42">
        <f>PLANTILLA!I16</f>
        <v>8.4</v>
      </c>
      <c r="K14" s="50">
        <f>PLANTILLA!X16</f>
        <v>0</v>
      </c>
      <c r="L14" s="50">
        <f>PLANTILLA!Y16</f>
        <v>2.2000000000000002</v>
      </c>
      <c r="M14" s="50">
        <f>PLANTILLA!Z16</f>
        <v>14.399999999999999</v>
      </c>
      <c r="N14" s="50">
        <f>PLANTILLA!AA16</f>
        <v>1.33</v>
      </c>
      <c r="O14" s="50">
        <f>PLANTILLA!AB16</f>
        <v>14.142888888888882</v>
      </c>
      <c r="P14" s="50">
        <f>PLANTILLA!AC16</f>
        <v>9.3399999999999981</v>
      </c>
      <c r="Q14" s="50">
        <f>PLANTILLA!AD16</f>
        <v>15.2</v>
      </c>
      <c r="R14" s="50">
        <f t="shared" si="75"/>
        <v>4.1857222222222203</v>
      </c>
      <c r="S14" s="50">
        <f t="shared" si="76"/>
        <v>0.92299999999999982</v>
      </c>
      <c r="T14" s="50">
        <f t="shared" si="77"/>
        <v>0.54399999999999993</v>
      </c>
      <c r="U14" s="50">
        <f t="shared" ca="1" si="78"/>
        <v>17.432372381415842</v>
      </c>
      <c r="V14" s="50">
        <f t="shared" ca="1" si="79"/>
        <v>17.432372381415842</v>
      </c>
      <c r="W14" s="40">
        <f t="shared" ca="1" si="80"/>
        <v>2.5560610889760302</v>
      </c>
      <c r="X14" s="40">
        <f t="shared" ca="1" si="81"/>
        <v>3.8169927444078522</v>
      </c>
      <c r="Y14" s="40">
        <f t="shared" ca="1" si="82"/>
        <v>2.5560610889760302</v>
      </c>
      <c r="Z14" s="40">
        <f t="shared" ca="1" si="83"/>
        <v>2.2871041488105743</v>
      </c>
      <c r="AA14" s="40">
        <f t="shared" ca="1" si="84"/>
        <v>4.432372381415842</v>
      </c>
      <c r="AB14" s="40">
        <f t="shared" ca="1" si="85"/>
        <v>1.1435520744052872</v>
      </c>
      <c r="AC14" s="40">
        <f t="shared" ca="1" si="86"/>
        <v>3.9585046267769699</v>
      </c>
      <c r="AD14" s="40">
        <f t="shared" ca="1" si="87"/>
        <v>1.6754367601751883</v>
      </c>
      <c r="AE14" s="40">
        <f t="shared" ca="1" si="88"/>
        <v>3.2046052317636535</v>
      </c>
      <c r="AF14" s="40">
        <f t="shared" ca="1" si="89"/>
        <v>0.83771838008759414</v>
      </c>
      <c r="AG14" s="40">
        <f t="shared" ca="1" si="90"/>
        <v>6.4034633668450986</v>
      </c>
      <c r="AH14" s="40">
        <f t="shared" ca="1" si="91"/>
        <v>4.0777825909025749</v>
      </c>
      <c r="AI14" s="40">
        <f t="shared" ca="1" si="92"/>
        <v>1.8350021659061584</v>
      </c>
      <c r="AJ14" s="40">
        <f t="shared" ca="1" si="93"/>
        <v>2.7776061876964455</v>
      </c>
      <c r="AK14" s="40">
        <f t="shared" ca="1" si="94"/>
        <v>2.0946749602725152</v>
      </c>
      <c r="AL14" s="40">
        <f t="shared" ca="1" si="95"/>
        <v>3.3420087755875447</v>
      </c>
      <c r="AM14" s="40">
        <f t="shared" ca="1" si="96"/>
        <v>3.1381196460424161</v>
      </c>
      <c r="AN14" s="40">
        <f t="shared" ca="1" si="97"/>
        <v>2.9112061876964459</v>
      </c>
      <c r="AO14" s="40">
        <f t="shared" ca="1" si="98"/>
        <v>1.8484112458477617</v>
      </c>
      <c r="AP14" s="40">
        <f t="shared" ca="1" si="99"/>
        <v>1.1967405429822775</v>
      </c>
      <c r="AQ14" s="40">
        <f t="shared" ca="1" si="100"/>
        <v>2.6328291945610101</v>
      </c>
      <c r="AR14" s="40">
        <f t="shared" ca="1" si="101"/>
        <v>0.59837027149113875</v>
      </c>
      <c r="AS14" s="40">
        <f t="shared" ca="1" si="102"/>
        <v>15.700959528056554</v>
      </c>
      <c r="AT14" s="40">
        <f t="shared" ca="1" si="103"/>
        <v>2.1287839651396139</v>
      </c>
      <c r="AU14" s="40">
        <f t="shared" ca="1" si="104"/>
        <v>3.967051774421507</v>
      </c>
      <c r="AV14" s="40">
        <f t="shared" ca="1" si="105"/>
        <v>1.0643919825698069</v>
      </c>
      <c r="AW14" s="40">
        <f t="shared" ca="1" si="106"/>
        <v>0.83771838008759414</v>
      </c>
      <c r="AX14" s="40">
        <f t="shared" ca="1" si="107"/>
        <v>1.7729489525663369</v>
      </c>
      <c r="AY14" s="40">
        <f t="shared" ca="1" si="108"/>
        <v>0.41885919004379707</v>
      </c>
      <c r="AZ14" s="40">
        <f t="shared" ca="1" si="109"/>
        <v>16.632372381415841</v>
      </c>
      <c r="BA14" s="40">
        <f t="shared" ca="1" si="110"/>
        <v>4.1429411013870947</v>
      </c>
      <c r="BB14" s="40">
        <f t="shared" ca="1" si="111"/>
        <v>8.0141622932712373</v>
      </c>
      <c r="BC14" s="40">
        <f t="shared" ca="1" si="112"/>
        <v>2.0714705506935474</v>
      </c>
      <c r="BD14" s="40">
        <f t="shared" ca="1" si="113"/>
        <v>1.28982036299201</v>
      </c>
      <c r="BE14" s="40">
        <f t="shared" ca="1" si="114"/>
        <v>1.542465588732713</v>
      </c>
      <c r="BF14" s="40">
        <f t="shared" ca="1" si="115"/>
        <v>14.653120068027356</v>
      </c>
      <c r="BG14" s="40">
        <f t="shared" ca="1" si="116"/>
        <v>7.2030090470786812</v>
      </c>
      <c r="BH14" s="40">
        <f t="shared" ca="1" si="117"/>
        <v>3.9464379661434381</v>
      </c>
      <c r="BI14" s="40">
        <f t="shared" ca="1" si="118"/>
        <v>2.1497006049866831</v>
      </c>
      <c r="BJ14" s="40">
        <f t="shared" ca="1" si="119"/>
        <v>1.1701463086937824</v>
      </c>
      <c r="BK14" s="40">
        <f t="shared" ca="1" si="120"/>
        <v>6.3369338773194359</v>
      </c>
      <c r="BL14" s="40">
        <f t="shared" ca="1" si="121"/>
        <v>5.6889041280241113</v>
      </c>
      <c r="BM14" s="40">
        <f t="shared" ca="1" si="122"/>
        <v>0.85151358605584559</v>
      </c>
      <c r="BN14" s="40">
        <f t="shared" ca="1" si="123"/>
        <v>0.79782702865485156</v>
      </c>
      <c r="BO14" s="40">
        <f t="shared" ca="1" si="124"/>
        <v>0.30140132193627728</v>
      </c>
      <c r="BP14" s="40">
        <f t="shared" ca="1" si="125"/>
        <v>5.0728735763318316</v>
      </c>
      <c r="BQ14" s="40">
        <f t="shared" ca="1" si="126"/>
        <v>8.2456971047229928</v>
      </c>
      <c r="BR14" s="40">
        <f t="shared" ca="1" si="127"/>
        <v>2.2106602714911379</v>
      </c>
      <c r="BS14" s="40">
        <f t="shared" ca="1" si="128"/>
        <v>1.258793756322099</v>
      </c>
      <c r="BT14" s="40">
        <f t="shared" ca="1" si="129"/>
        <v>1.0814988610654654</v>
      </c>
      <c r="BU14" s="40">
        <f t="shared" ca="1" si="130"/>
        <v>10.495026972673395</v>
      </c>
      <c r="BV14" s="40">
        <f t="shared" ca="1" si="131"/>
        <v>5.6612108369227325</v>
      </c>
      <c r="BW14" s="40">
        <f t="shared" ca="1" si="132"/>
        <v>2.423538668005099</v>
      </c>
      <c r="BX14" s="40">
        <f t="shared" ca="1" si="133"/>
        <v>6.7527431868548318</v>
      </c>
      <c r="BY14" s="40">
        <f t="shared" ca="1" si="134"/>
        <v>7.3096318012309185</v>
      </c>
      <c r="BZ14" s="40">
        <f t="shared" ca="1" si="135"/>
        <v>15.6384599681409</v>
      </c>
      <c r="CA14" s="40">
        <f t="shared" ca="1" si="136"/>
        <v>7.3096318012309185</v>
      </c>
      <c r="CB14" s="40">
        <f t="shared" ca="1" si="137"/>
        <v>6.1213882158442896</v>
      </c>
      <c r="CC14" s="40">
        <f t="shared" ca="1" si="138"/>
        <v>17.614843790158282</v>
      </c>
      <c r="CD14" s="40">
        <f t="shared" ca="1" si="139"/>
        <v>6.1213882158442896</v>
      </c>
      <c r="CE14" s="40">
        <f t="shared" ca="1" si="140"/>
        <v>4.1580930953539603</v>
      </c>
    </row>
    <row r="15" spans="1:83" x14ac:dyDescent="0.25">
      <c r="A15" t="str">
        <f>PLANTILLA!D17</f>
        <v>Adam Moss</v>
      </c>
      <c r="B15">
        <f>PLANTILLA!E17</f>
        <v>30</v>
      </c>
      <c r="C15" s="36">
        <f ca="1">PLANTILLA!F17</f>
        <v>9</v>
      </c>
      <c r="D15" s="69" t="str">
        <f>PLANTILLA!G17</f>
        <v>RAP</v>
      </c>
      <c r="E15" s="33">
        <v>42339</v>
      </c>
      <c r="F15" s="51">
        <f>PLANTILLA!Q17</f>
        <v>6</v>
      </c>
      <c r="G15" s="52">
        <f t="shared" si="73"/>
        <v>0.92582009977255142</v>
      </c>
      <c r="H15" s="52">
        <f t="shared" si="74"/>
        <v>0.99928545900129484</v>
      </c>
      <c r="I15" s="55">
        <f t="shared" ca="1" si="6"/>
        <v>1</v>
      </c>
      <c r="J15" s="42">
        <f>PLANTILLA!I17</f>
        <v>9.8000000000000007</v>
      </c>
      <c r="K15" s="50">
        <f>PLANTILLA!X17</f>
        <v>0</v>
      </c>
      <c r="L15" s="50">
        <f>PLANTILLA!Y17</f>
        <v>3.2</v>
      </c>
      <c r="M15" s="50">
        <f>PLANTILLA!Z17</f>
        <v>14.399999999999999</v>
      </c>
      <c r="N15" s="50">
        <f>PLANTILLA!AA17</f>
        <v>2.2999999999999998</v>
      </c>
      <c r="O15" s="50">
        <f>PLANTILLA!AB17</f>
        <v>14.266</v>
      </c>
      <c r="P15" s="50">
        <f>PLANTILLA!AC17</f>
        <v>9.0999999999999961</v>
      </c>
      <c r="Q15" s="50">
        <f>PLANTILLA!AD17</f>
        <v>15.7</v>
      </c>
      <c r="R15" s="50">
        <f t="shared" si="75"/>
        <v>4.3414999999999999</v>
      </c>
      <c r="S15" s="50">
        <f t="shared" si="76"/>
        <v>0.92599999999999982</v>
      </c>
      <c r="T15" s="50">
        <f t="shared" si="77"/>
        <v>0.59899999999999998</v>
      </c>
      <c r="U15" s="50">
        <f t="shared" ca="1" si="78"/>
        <v>16.684791698594651</v>
      </c>
      <c r="V15" s="50">
        <f t="shared" ca="1" si="79"/>
        <v>18.00875757068486</v>
      </c>
      <c r="W15" s="40">
        <f t="shared" ca="1" si="80"/>
        <v>2.9099871521060638</v>
      </c>
      <c r="X15" s="40">
        <f t="shared" ca="1" si="81"/>
        <v>4.3572304849586807</v>
      </c>
      <c r="Y15" s="40">
        <f t="shared" ca="1" si="82"/>
        <v>2.9099871521060638</v>
      </c>
      <c r="Z15" s="40">
        <f t="shared" ca="1" si="83"/>
        <v>2.8491635400764364</v>
      </c>
      <c r="AA15" s="40">
        <f t="shared" ca="1" si="84"/>
        <v>5.5216347675899931</v>
      </c>
      <c r="AB15" s="40">
        <f t="shared" ca="1" si="85"/>
        <v>1.4245817700382182</v>
      </c>
      <c r="AC15" s="40">
        <f t="shared" ca="1" si="86"/>
        <v>3.9797490746864184</v>
      </c>
      <c r="AD15" s="40">
        <f t="shared" ca="1" si="87"/>
        <v>2.0871779421490175</v>
      </c>
      <c r="AE15" s="40">
        <f t="shared" ca="1" si="88"/>
        <v>3.992141936967565</v>
      </c>
      <c r="AF15" s="40">
        <f t="shared" ca="1" si="89"/>
        <v>1.0435889710745088</v>
      </c>
      <c r="AG15" s="40">
        <f t="shared" ca="1" si="90"/>
        <v>6.4378293855221473</v>
      </c>
      <c r="AH15" s="40">
        <f t="shared" ca="1" si="91"/>
        <v>5.0799039861827939</v>
      </c>
      <c r="AI15" s="40">
        <f t="shared" ca="1" si="92"/>
        <v>2.2859567937822569</v>
      </c>
      <c r="AJ15" s="40">
        <f t="shared" ca="1" si="93"/>
        <v>2.7925130061875292</v>
      </c>
      <c r="AK15" s="40">
        <f t="shared" ca="1" si="94"/>
        <v>2.7175212433429157</v>
      </c>
      <c r="AL15" s="40">
        <f t="shared" ca="1" si="95"/>
        <v>4.1633126147628552</v>
      </c>
      <c r="AM15" s="40">
        <f t="shared" ca="1" si="96"/>
        <v>3.9093174154537147</v>
      </c>
      <c r="AN15" s="40">
        <f t="shared" ca="1" si="97"/>
        <v>3.009613006187529</v>
      </c>
      <c r="AO15" s="40">
        <f t="shared" ca="1" si="98"/>
        <v>1.9189828130659177</v>
      </c>
      <c r="AP15" s="40">
        <f t="shared" ca="1" si="99"/>
        <v>1.4908413872492983</v>
      </c>
      <c r="AQ15" s="40">
        <f t="shared" ca="1" si="100"/>
        <v>3.2798510519484556</v>
      </c>
      <c r="AR15" s="40">
        <f t="shared" ca="1" si="101"/>
        <v>0.74542069362464913</v>
      </c>
      <c r="AS15" s="40">
        <f t="shared" ca="1" si="102"/>
        <v>15.785223220604953</v>
      </c>
      <c r="AT15" s="40">
        <f t="shared" ca="1" si="103"/>
        <v>2.1563925197866993</v>
      </c>
      <c r="AU15" s="40">
        <f t="shared" ca="1" si="104"/>
        <v>3.9664589869038673</v>
      </c>
      <c r="AV15" s="40">
        <f t="shared" ca="1" si="105"/>
        <v>1.0781962598933497</v>
      </c>
      <c r="AW15" s="40">
        <f t="shared" ca="1" si="106"/>
        <v>1.0435889710745088</v>
      </c>
      <c r="AX15" s="40">
        <f t="shared" ca="1" si="107"/>
        <v>2.2086539070359974</v>
      </c>
      <c r="AY15" s="40">
        <f t="shared" ca="1" si="108"/>
        <v>0.52179448553725438</v>
      </c>
      <c r="AZ15" s="40">
        <f t="shared" ca="1" si="109"/>
        <v>16.721634767589993</v>
      </c>
      <c r="BA15" s="40">
        <f t="shared" ca="1" si="110"/>
        <v>4.1966715962002681</v>
      </c>
      <c r="BB15" s="40">
        <f t="shared" ca="1" si="111"/>
        <v>8.0549267569420842</v>
      </c>
      <c r="BC15" s="40">
        <f t="shared" ca="1" si="112"/>
        <v>2.098335798100134</v>
      </c>
      <c r="BD15" s="40">
        <f t="shared" ca="1" si="113"/>
        <v>1.606795717368688</v>
      </c>
      <c r="BE15" s="40">
        <f t="shared" ca="1" si="114"/>
        <v>1.9215288991213175</v>
      </c>
      <c r="BF15" s="40">
        <f t="shared" ca="1" si="115"/>
        <v>14.731760230246785</v>
      </c>
      <c r="BG15" s="40">
        <f t="shared" ca="1" si="116"/>
        <v>7.8779233083875031</v>
      </c>
      <c r="BH15" s="40">
        <f t="shared" ca="1" si="117"/>
        <v>3.9976199789891882</v>
      </c>
      <c r="BI15" s="40">
        <f t="shared" ca="1" si="118"/>
        <v>2.6779928622811466</v>
      </c>
      <c r="BJ15" s="40">
        <f t="shared" ca="1" si="119"/>
        <v>1.4577115786437582</v>
      </c>
      <c r="BK15" s="40">
        <f t="shared" ca="1" si="120"/>
        <v>6.3709428464517872</v>
      </c>
      <c r="BL15" s="40">
        <f t="shared" ca="1" si="121"/>
        <v>6.4444747868736538</v>
      </c>
      <c r="BM15" s="40">
        <f t="shared" ca="1" si="122"/>
        <v>0.8625570079146796</v>
      </c>
      <c r="BN15" s="40">
        <f t="shared" ca="1" si="123"/>
        <v>0.9938942581661987</v>
      </c>
      <c r="BO15" s="40">
        <f t="shared" ca="1" si="124"/>
        <v>0.37547116419611953</v>
      </c>
      <c r="BP15" s="40">
        <f t="shared" ca="1" si="125"/>
        <v>5.1000986041149474</v>
      </c>
      <c r="BQ15" s="40">
        <f t="shared" ca="1" si="126"/>
        <v>9.365698311120731</v>
      </c>
      <c r="BR15" s="40">
        <f t="shared" ca="1" si="127"/>
        <v>2.2393306936246491</v>
      </c>
      <c r="BS15" s="40">
        <f t="shared" ca="1" si="128"/>
        <v>1.5681442739955578</v>
      </c>
      <c r="BT15" s="40">
        <f t="shared" ca="1" si="129"/>
        <v>1.3472788832919582</v>
      </c>
      <c r="BU15" s="40">
        <f t="shared" ca="1" si="130"/>
        <v>10.551351538349286</v>
      </c>
      <c r="BV15" s="40">
        <f t="shared" ca="1" si="131"/>
        <v>6.4458011169930431</v>
      </c>
      <c r="BW15" s="40">
        <f t="shared" ca="1" si="132"/>
        <v>2.4549699456033189</v>
      </c>
      <c r="BX15" s="40">
        <f t="shared" ca="1" si="133"/>
        <v>6.788983715641538</v>
      </c>
      <c r="BY15" s="40">
        <f t="shared" ca="1" si="134"/>
        <v>6.2629717139143857</v>
      </c>
      <c r="BZ15" s="40">
        <f t="shared" ca="1" si="135"/>
        <v>15.665898748306329</v>
      </c>
      <c r="CA15" s="40">
        <f t="shared" ca="1" si="136"/>
        <v>6.2629717139143857</v>
      </c>
      <c r="CB15" s="40">
        <f t="shared" ca="1" si="137"/>
        <v>6.3464504602085645</v>
      </c>
      <c r="CC15" s="40">
        <f t="shared" ca="1" si="138"/>
        <v>17.542471996830695</v>
      </c>
      <c r="CD15" s="40">
        <f t="shared" ca="1" si="139"/>
        <v>6.3464504602085645</v>
      </c>
      <c r="CE15" s="40">
        <f t="shared" ca="1" si="140"/>
        <v>4.1804086918974983</v>
      </c>
    </row>
    <row r="16" spans="1:83" x14ac:dyDescent="0.25">
      <c r="A16" t="str">
        <f>PLANTILLA!D18</f>
        <v>Rasheed Da'na</v>
      </c>
      <c r="B16">
        <f>PLANTILLA!E18</f>
        <v>29</v>
      </c>
      <c r="C16" s="36">
        <f ca="1">PLANTILLA!F18</f>
        <v>66</v>
      </c>
      <c r="D16" s="69" t="str">
        <f>PLANTILLA!G18</f>
        <v>RAP</v>
      </c>
      <c r="E16" s="33">
        <v>42341</v>
      </c>
      <c r="F16" s="51">
        <f>PLANTILLA!Q18</f>
        <v>5</v>
      </c>
      <c r="G16" s="52">
        <f t="shared" si="73"/>
        <v>0.84515425472851657</v>
      </c>
      <c r="H16" s="52">
        <f t="shared" si="74"/>
        <v>0.92504826128926143</v>
      </c>
      <c r="I16" s="55">
        <f t="shared" ca="1" si="6"/>
        <v>1</v>
      </c>
      <c r="J16" s="42">
        <f>PLANTILLA!I18</f>
        <v>9.5</v>
      </c>
      <c r="K16" s="50">
        <f>PLANTILLA!X18</f>
        <v>0</v>
      </c>
      <c r="L16" s="50">
        <f>PLANTILLA!Y18</f>
        <v>2.0384615384615383</v>
      </c>
      <c r="M16" s="50">
        <f>PLANTILLA!Z18</f>
        <v>13.499999999999998</v>
      </c>
      <c r="N16" s="50">
        <f>PLANTILLA!AA18</f>
        <v>4.0999999999999996</v>
      </c>
      <c r="O16" s="50">
        <f>PLANTILLA!AB18</f>
        <v>14.352222222222222</v>
      </c>
      <c r="P16" s="50">
        <f>PLANTILLA!AC18</f>
        <v>10.095333333333334</v>
      </c>
      <c r="Q16" s="50">
        <f>PLANTILLA!AD18</f>
        <v>14.599999999999998</v>
      </c>
      <c r="R16" s="50">
        <f t="shared" si="75"/>
        <v>4.2178632478632476</v>
      </c>
      <c r="S16" s="50">
        <f t="shared" si="76"/>
        <v>0.94276666666666675</v>
      </c>
      <c r="T16" s="50">
        <f t="shared" si="77"/>
        <v>0.51953846153846139</v>
      </c>
      <c r="U16" s="50">
        <f t="shared" ca="1" si="78"/>
        <v>14.286176060376023</v>
      </c>
      <c r="V16" s="50">
        <f t="shared" ca="1" si="79"/>
        <v>15.636674904237699</v>
      </c>
      <c r="W16" s="40">
        <f t="shared" ca="1" si="80"/>
        <v>2.5736856611716035</v>
      </c>
      <c r="X16" s="40">
        <f t="shared" ca="1" si="81"/>
        <v>3.8403343864166906</v>
      </c>
      <c r="Y16" s="40">
        <f t="shared" ca="1" si="82"/>
        <v>2.5736856611716035</v>
      </c>
      <c r="Z16" s="40">
        <f t="shared" ca="1" si="83"/>
        <v>2.240519994284881</v>
      </c>
      <c r="AA16" s="40">
        <f t="shared" ca="1" si="84"/>
        <v>4.3420930121800021</v>
      </c>
      <c r="AB16" s="40">
        <f t="shared" ca="1" si="85"/>
        <v>1.1202599971424405</v>
      </c>
      <c r="AC16" s="40">
        <f t="shared" ca="1" si="86"/>
        <v>3.7612642907449936</v>
      </c>
      <c r="AD16" s="40">
        <f t="shared" ca="1" si="87"/>
        <v>1.6413111586040408</v>
      </c>
      <c r="AE16" s="40">
        <f t="shared" ca="1" si="88"/>
        <v>3.1393332478061415</v>
      </c>
      <c r="AF16" s="40">
        <f t="shared" ca="1" si="89"/>
        <v>0.82065557930202038</v>
      </c>
      <c r="AG16" s="40">
        <f t="shared" ca="1" si="90"/>
        <v>6.0843981173816077</v>
      </c>
      <c r="AH16" s="40">
        <f t="shared" ca="1" si="91"/>
        <v>3.9947255712056022</v>
      </c>
      <c r="AI16" s="40">
        <f t="shared" ca="1" si="92"/>
        <v>1.7976265070425208</v>
      </c>
      <c r="AJ16" s="40">
        <f t="shared" ca="1" si="93"/>
        <v>2.6392064561109834</v>
      </c>
      <c r="AK16" s="40">
        <f t="shared" ca="1" si="94"/>
        <v>3.7653353065464561</v>
      </c>
      <c r="AL16" s="40">
        <f t="shared" ca="1" si="95"/>
        <v>3.2739381311837215</v>
      </c>
      <c r="AM16" s="40">
        <f t="shared" ca="1" si="96"/>
        <v>3.0742018526234411</v>
      </c>
      <c r="AN16" s="40">
        <f t="shared" ca="1" si="97"/>
        <v>2.8229064561109833</v>
      </c>
      <c r="AO16" s="40">
        <f t="shared" ca="1" si="98"/>
        <v>1.8781904798155327</v>
      </c>
      <c r="AP16" s="40">
        <f t="shared" ca="1" si="99"/>
        <v>1.1723651132886006</v>
      </c>
      <c r="AQ16" s="40">
        <f t="shared" ca="1" si="100"/>
        <v>2.5792032492349213</v>
      </c>
      <c r="AR16" s="40">
        <f t="shared" ca="1" si="101"/>
        <v>0.5861825566443003</v>
      </c>
      <c r="AS16" s="40">
        <f t="shared" ca="1" si="102"/>
        <v>14.918628111190227</v>
      </c>
      <c r="AT16" s="40">
        <f t="shared" ca="1" si="103"/>
        <v>2.1652609804722891</v>
      </c>
      <c r="AU16" s="40">
        <f t="shared" ca="1" si="104"/>
        <v>4.1437233551328427</v>
      </c>
      <c r="AV16" s="40">
        <f t="shared" ca="1" si="105"/>
        <v>1.0826304902361445</v>
      </c>
      <c r="AW16" s="40">
        <f t="shared" ca="1" si="106"/>
        <v>0.82065557930202038</v>
      </c>
      <c r="AX16" s="40">
        <f t="shared" ca="1" si="107"/>
        <v>1.7368372048720009</v>
      </c>
      <c r="AY16" s="40">
        <f t="shared" ca="1" si="108"/>
        <v>0.41032778965101019</v>
      </c>
      <c r="AZ16" s="40">
        <f t="shared" ca="1" si="109"/>
        <v>15.803631473718461</v>
      </c>
      <c r="BA16" s="40">
        <f t="shared" ca="1" si="110"/>
        <v>4.2139309850729934</v>
      </c>
      <c r="BB16" s="40">
        <f t="shared" ca="1" si="111"/>
        <v>8.2834287197966514</v>
      </c>
      <c r="BC16" s="40">
        <f t="shared" ca="1" si="112"/>
        <v>2.1069654925364967</v>
      </c>
      <c r="BD16" s="40">
        <f t="shared" ca="1" si="113"/>
        <v>1.2635490665443805</v>
      </c>
      <c r="BE16" s="40">
        <f t="shared" ca="1" si="114"/>
        <v>1.5110483682386406</v>
      </c>
      <c r="BF16" s="40">
        <f t="shared" ca="1" si="115"/>
        <v>13.922999328345965</v>
      </c>
      <c r="BG16" s="40">
        <f t="shared" ca="1" si="116"/>
        <v>8.9222783801357135</v>
      </c>
      <c r="BH16" s="40">
        <f t="shared" ca="1" si="117"/>
        <v>4.014060740721705</v>
      </c>
      <c r="BI16" s="40">
        <f t="shared" ca="1" si="118"/>
        <v>2.1059151109073011</v>
      </c>
      <c r="BJ16" s="40">
        <f t="shared" ca="1" si="119"/>
        <v>1.1463125552155207</v>
      </c>
      <c r="BK16" s="40">
        <f t="shared" ca="1" si="120"/>
        <v>6.021183591486734</v>
      </c>
      <c r="BL16" s="40">
        <f t="shared" ca="1" si="121"/>
        <v>7.6574705746966032</v>
      </c>
      <c r="BM16" s="40">
        <f t="shared" ca="1" si="122"/>
        <v>0.86610439218891555</v>
      </c>
      <c r="BN16" s="40">
        <f t="shared" ca="1" si="123"/>
        <v>0.78157674219240036</v>
      </c>
      <c r="BO16" s="40">
        <f t="shared" ca="1" si="124"/>
        <v>0.29526232482824016</v>
      </c>
      <c r="BP16" s="40">
        <f t="shared" ca="1" si="125"/>
        <v>4.8201075994841309</v>
      </c>
      <c r="BQ16" s="40">
        <f t="shared" ca="1" si="126"/>
        <v>11.167205630757499</v>
      </c>
      <c r="BR16" s="40">
        <f t="shared" ca="1" si="127"/>
        <v>2.2485402489519926</v>
      </c>
      <c r="BS16" s="40">
        <f t="shared" ca="1" si="128"/>
        <v>1.2331544154591205</v>
      </c>
      <c r="BT16" s="40">
        <f t="shared" ca="1" si="129"/>
        <v>1.0594706949719206</v>
      </c>
      <c r="BU16" s="40">
        <f t="shared" ca="1" si="130"/>
        <v>9.9720914599163493</v>
      </c>
      <c r="BV16" s="40">
        <f t="shared" ca="1" si="131"/>
        <v>7.7099290578669137</v>
      </c>
      <c r="BW16" s="40">
        <f t="shared" ca="1" si="132"/>
        <v>2.4650663469992211</v>
      </c>
      <c r="BX16" s="40">
        <f t="shared" ca="1" si="133"/>
        <v>6.416274378329696</v>
      </c>
      <c r="BY16" s="40">
        <f t="shared" ca="1" si="134"/>
        <v>6.6607548866962079</v>
      </c>
      <c r="BZ16" s="40">
        <f t="shared" ca="1" si="135"/>
        <v>16.272725039406989</v>
      </c>
      <c r="CA16" s="40">
        <f t="shared" ca="1" si="136"/>
        <v>6.6607548866962079</v>
      </c>
      <c r="CB16" s="40">
        <f t="shared" ca="1" si="137"/>
        <v>7.0040646303488252</v>
      </c>
      <c r="CC16" s="40">
        <f t="shared" ca="1" si="138"/>
        <v>18.544974820853909</v>
      </c>
      <c r="CD16" s="40">
        <f t="shared" ca="1" si="139"/>
        <v>7.0040646303488252</v>
      </c>
      <c r="CE16" s="40">
        <f t="shared" ca="1" si="140"/>
        <v>3.9509078684296153</v>
      </c>
    </row>
    <row r="17" spans="1:83" x14ac:dyDescent="0.25">
      <c r="A17" t="str">
        <f>PLANTILLA!D19</f>
        <v>Enrique Cubas</v>
      </c>
      <c r="B17">
        <f>PLANTILLA!E19</f>
        <v>17</v>
      </c>
      <c r="C17" s="36">
        <f ca="1">PLANTILLA!F19</f>
        <v>20</v>
      </c>
      <c r="D17" s="242" t="str">
        <f>PLANTILLA!G19</f>
        <v>RAP</v>
      </c>
      <c r="E17" s="33">
        <v>42342</v>
      </c>
      <c r="F17" s="51">
        <f>PLANTILLA!Q19</f>
        <v>5</v>
      </c>
      <c r="G17" s="52">
        <f t="shared" ref="G17:G28" si="141">(F17/7)^0.5</f>
        <v>0.84515425472851657</v>
      </c>
      <c r="H17" s="52">
        <f t="shared" ref="H17:H28" si="142">IF(F17=7,1,((F17+0.99)/7)^0.5)</f>
        <v>0.92504826128926143</v>
      </c>
      <c r="I17" s="55">
        <f t="shared" ref="I17:I28" ca="1" si="143">IF(TODAY()-E17&gt;335,1,((TODAY()-E17)^0.5)/336^0.5)</f>
        <v>1</v>
      </c>
      <c r="J17" s="42">
        <f>PLANTILLA!I19</f>
        <v>1</v>
      </c>
      <c r="K17" s="50">
        <f>PLANTILLA!X19</f>
        <v>0</v>
      </c>
      <c r="L17" s="50">
        <f>PLANTILLA!Y19</f>
        <v>2</v>
      </c>
      <c r="M17" s="50">
        <f>PLANTILLA!Z19</f>
        <v>5.7</v>
      </c>
      <c r="N17" s="50">
        <f>PLANTILLA!AA19</f>
        <v>5.5</v>
      </c>
      <c r="O17" s="50">
        <f>PLANTILLA!AB19</f>
        <v>5.25</v>
      </c>
      <c r="P17" s="50">
        <f>PLANTILLA!AC19</f>
        <v>3</v>
      </c>
      <c r="Q17" s="50">
        <f>PLANTILLA!AD19</f>
        <v>2</v>
      </c>
      <c r="R17" s="50">
        <f t="shared" ref="R17:R28" si="144">((2*(O17+1))+(L17+1))/8</f>
        <v>1.9375</v>
      </c>
      <c r="S17" s="50">
        <f t="shared" ref="S17:S28" si="145">(0.5*P17+ 0.3*Q17)/10</f>
        <v>0.21000000000000002</v>
      </c>
      <c r="T17" s="50">
        <f t="shared" ref="T17:T28" si="146">(0.4*L17+0.3*Q17)/10</f>
        <v>0.13999999999999999</v>
      </c>
      <c r="U17" s="50">
        <f t="shared" ref="U17:U28" ca="1" si="147">IF(TODAY()-E17&gt;335,(Q17+1+(LOG(J17)*4/3))*(F17/7)^0.5,(Q17+((TODAY()-E17)^0.5)/(336^0.5)+(LOG(J17)*4/3))*(F17/7)^0.5)</f>
        <v>2.5354627641855498</v>
      </c>
      <c r="V17" s="50">
        <f t="shared" ref="V17:V28" ca="1" si="148">IF(F17=7,U17,IF(TODAY()-E17&gt;335,(Q17+1+(LOG(J17)*4/3))*((F17+0.99)/7)^0.5,(Q17+((TODAY()-E17)^0.5)/(336^0.5)+(LOG(J17)*4/3))*((F17+0.99)/7)^0.5))</f>
        <v>2.7751447838677841</v>
      </c>
      <c r="W17" s="40">
        <f t="shared" ref="W17:W28" ca="1" si="149">IF(TODAY()-E17&gt;335,((K17+1+(LOG(J17)*4/3))*0.597)+((L17+1+(LOG(J17)*4/3))*0.276),((K17+(((TODAY()-E17)^0.5)/(336^0.5))+(LOG(J17)*4/3))*0.597)+((L17+(((TODAY()-E17)^0.5)/(336^0.5))+(LOG(J17)*4/3))*0.276))</f>
        <v>1.425</v>
      </c>
      <c r="X17" s="40">
        <f t="shared" ref="X17:X28" ca="1" si="150">IF(TODAY()-E17&gt;335,((K17+1+(LOG(J17)*4/3))*0.866)+((L17+1+(LOG(J17)*4/3))*0.425),((K17+(((TODAY()-E17)^0.5)/(336^0.5))+(LOG(J17)*4/3))*0.866)+((L17+(((TODAY()-E17)^0.5)/(336^0.5))+(LOG(J17)*4/3))*0.425))</f>
        <v>2.141</v>
      </c>
      <c r="Y17" s="40">
        <f t="shared" ref="Y17:Y28" ca="1" si="151">W17</f>
        <v>1.425</v>
      </c>
      <c r="Z17" s="40">
        <f t="shared" ref="Z17:Z28" ca="1" si="152">IF(TODAY()-E17&gt;335,((L17+1+(LOG(J17)*4/3))*0.516),((L17+(((TODAY()-E17)^0.5)/(336^0.516))+(LOG(J17)*4/3))*0.516))</f>
        <v>1.548</v>
      </c>
      <c r="AA17" s="40">
        <f t="shared" ref="AA17:AA28" ca="1" si="153">IF(TODAY()-E17&gt;335,((L17+1+(LOG(J17)*4/3))*1),((L17+(((TODAY()-E17)^0.5)/(336^0.5))+(LOG(J17)*4/3))*1))</f>
        <v>3</v>
      </c>
      <c r="AB17" s="40">
        <f t="shared" ref="AB17:AB28" ca="1" si="154">Z17/2</f>
        <v>0.77400000000000002</v>
      </c>
      <c r="AC17" s="40">
        <f t="shared" ref="AC17:AC28" ca="1" si="155">IF(TODAY()-E17&gt;335,((M17+1+(LOG(J17)*4/3))*0.238),((M17+(((TODAY()-E17)^0.5)/(336^0.238))+(LOG(J17)*4/3))*0.238))</f>
        <v>1.5946</v>
      </c>
      <c r="AD17" s="40">
        <f t="shared" ref="AD17:AD28" ca="1" si="156">IF(TODAY()-E17&gt;335,((L17+1+(LOG(J17)*4/3))*0.378),((L17+(((TODAY()-E17)^0.5)/(336^0.516))+(LOG(J17)*4/3))*0.378))</f>
        <v>1.1339999999999999</v>
      </c>
      <c r="AE17" s="40">
        <f t="shared" ref="AE17:AE28" ca="1" si="157">IF(TODAY()-E17&gt;335,((L17+1+(LOG(J17)*4/3))*0.723),((L17+(((TODAY()-E17)^0.5)/(336^0.5))+(LOG(J17)*4/3))*0.723))</f>
        <v>2.169</v>
      </c>
      <c r="AF17" s="40">
        <f t="shared" ref="AF17:AF28" ca="1" si="158">AD17/2</f>
        <v>0.56699999999999995</v>
      </c>
      <c r="AG17" s="40">
        <f t="shared" ref="AG17:AG28" ca="1" si="159">IF(TODAY()-E17&gt;335,((M17+1+(LOG(J17)*4/3))*0.385),((M17+(((TODAY()-E17)^0.5)/(336^0.238))+(LOG(J17)*4/3))*0.385))</f>
        <v>2.5795000000000003</v>
      </c>
      <c r="AH17" s="40">
        <f t="shared" ref="AH17:AH28" ca="1" si="160">IF(TODAY()-E17&gt;335,((L17+1+(LOG(J17)*4/3))*0.92),((L17+(((TODAY()-E17)^0.5)/(336^0.5))+(LOG(J17)*4/3))*0.92))</f>
        <v>2.7600000000000002</v>
      </c>
      <c r="AI17" s="40">
        <f t="shared" ref="AI17:AI28" ca="1" si="161">IF(TODAY()-E17&gt;335,((L17+1+(LOG(J17)*4/3))*0.414),((L17+(((TODAY()-E17)^0.5)/(336^0.414))+(LOG(J17)*4/3))*0.414))</f>
        <v>1.242</v>
      </c>
      <c r="AJ17" s="40">
        <f t="shared" ref="AJ17:AJ28" ca="1" si="162">IF(TODAY()-E17&gt;335,((M17+1+(LOG(J17)*4/3))*0.167),((M17+(((TODAY()-E17)^0.5)/(336^0.5))+(LOG(J17)*4/3))*0.167))</f>
        <v>1.1189</v>
      </c>
      <c r="AK17" s="40">
        <f t="shared" ref="AK17:AK28" ca="1" si="163">IF(TODAY()-E17&gt;335,((N17+1+(LOG(J17)*4/3))*0.588),((N17+(((TODAY()-E17)^0.5)/(336^0.5))+(LOG(J17)*4/3))*0.588))</f>
        <v>3.8219999999999996</v>
      </c>
      <c r="AL17" s="40">
        <f t="shared" ref="AL17:AL28" ca="1" si="164">IF(TODAY()-E17&gt;335,((L17+1+(LOG(J17)*4/3))*0.754),((L17+(((TODAY()-E17)^0.5)/(336^0.5))+(LOG(J17)*4/3))*0.754))</f>
        <v>2.262</v>
      </c>
      <c r="AM17" s="40">
        <f t="shared" ref="AM17:AM28" ca="1" si="165">IF(TODAY()-E17&gt;335,((L17+1+(LOG(J17)*4/3))*0.708),((L17+(((TODAY()-E17)^0.5)/(336^0.414))+(LOG(J17)*4/3))*0.708))</f>
        <v>2.1239999999999997</v>
      </c>
      <c r="AN17" s="40">
        <f t="shared" ref="AN17:AN28" ca="1" si="166">IF(TODAY()-E17&gt;335,((Q17+1+(LOG(J17)*4/3))*0.167),((Q17+(((TODAY()-E17)^0.5)/(336^0.5))+(LOG(J17)*4/3))*0.167))</f>
        <v>0.501</v>
      </c>
      <c r="AO17" s="40">
        <f t="shared" ref="AO17:AO28" ca="1" si="167">IF(TODAY()-E17&gt;335,((R17+1+(LOG(J17)*4/3))*0.288),((R17+(((TODAY()-E17)^0.5)/(336^0.5))+(LOG(J17)*4/3))*0.288))</f>
        <v>0.84599999999999997</v>
      </c>
      <c r="AP17" s="40">
        <f t="shared" ref="AP17:AP28" ca="1" si="168">IF(TODAY()-E17&gt;335,((L17+1+(LOG(J17)*4/3))*0.27),((L17+(((TODAY()-E17)^0.5)/(336^0.5))+(LOG(J17)*4/3))*0.27))</f>
        <v>0.81</v>
      </c>
      <c r="AQ17" s="40">
        <f t="shared" ref="AQ17:AQ28" ca="1" si="169">IF(TODAY()-E17&gt;335,((L17+1+(LOG(J17)*4/3))*0.594),((L17+(((TODAY()-E17)^0.5)/(336^0.5))+(LOG(J17)*4/3))*0.594))</f>
        <v>1.782</v>
      </c>
      <c r="AR17" s="40">
        <f t="shared" ref="AR17:AR28" ca="1" si="170">AP17/2</f>
        <v>0.40500000000000003</v>
      </c>
      <c r="AS17" s="40">
        <f t="shared" ref="AS17:AS28" ca="1" si="171">IF(TODAY()-E17&gt;335,((M17+1+(LOG(J17)*4/3))*0.944),((M17+(((TODAY()-E17)^0.5)/(336^0.5))+(LOG(J17)*4/3))*0.944))</f>
        <v>6.3247999999999998</v>
      </c>
      <c r="AT17" s="40">
        <f t="shared" ref="AT17:AT28" ca="1" si="172">IF(TODAY()-E17&gt;335,((O17+1+(LOG(J17)*4/3))*0.13),((O17+(((TODAY()-E17)^0.5)/(336^0.5))+(LOG(J17)*4/3))*0.13))</f>
        <v>0.8125</v>
      </c>
      <c r="AU17" s="40">
        <f t="shared" ref="AU17:AU28" ca="1" si="173">IF(TODAY()-E17&gt;335,((P17+1+(LOG(J17)*4/3))*0.173)+((O17+1+(LOG(J17)*4/3))*0.12),((P17+(((TODAY()-E17)^0.5)/(336^0.5))+(LOG(J17)*4/3))*0.173)+((O17+(((TODAY()-E17)^0.5)/(336^0.5))+(LOG(J17)*4/3))*0.12))</f>
        <v>1.4419999999999999</v>
      </c>
      <c r="AV17" s="40">
        <f t="shared" ref="AV17:AV28" ca="1" si="174">AT17/2</f>
        <v>0.40625</v>
      </c>
      <c r="AW17" s="40">
        <f t="shared" ref="AW17:AW28" ca="1" si="175">IF(TODAY()-E17&gt;335,((L17+1+(LOG(J17)*4/3))*0.189),((L17+(((TODAY()-E17)^0.5)/(336^0.5))+(LOG(J17)*4/3))*0.189))</f>
        <v>0.56699999999999995</v>
      </c>
      <c r="AX17" s="40">
        <f t="shared" ref="AX17:AX28" ca="1" si="176">IF(TODAY()-E17&gt;335,((L17+1+(LOG(J17)*4/3))*0.4),((L17+(((TODAY()-E17)^0.5)/(336^0.5))+(LOG(J17)*4/3))*0.4))</f>
        <v>1.2000000000000002</v>
      </c>
      <c r="AY17" s="40">
        <f t="shared" ref="AY17:AY28" ca="1" si="177">AW17/2</f>
        <v>0.28349999999999997</v>
      </c>
      <c r="AZ17" s="40">
        <f t="shared" ref="AZ17:AZ28" ca="1" si="178">IF(TODAY()-E17&gt;335,((M17+1+(LOG(J17)*4/3))*1),((M17+(((TODAY()-E17)^0.5)/(336^0.5))+(LOG(J17)*4/3))*1))</f>
        <v>6.7</v>
      </c>
      <c r="BA17" s="40">
        <f t="shared" ref="BA17:BA28" ca="1" si="179">IF(TODAY()-E17&gt;335,((O17+1+(LOG(J17)*4/3))*0.253),((O17+(((TODAY()-E17)^0.5)/(336^0.5))+(LOG(J17)*4/3))*0.253))</f>
        <v>1.58125</v>
      </c>
      <c r="BB17" s="40">
        <f t="shared" ref="BB17:BB28" ca="1" si="180">IF(TODAY()-E17&gt;335,((P17+1+(LOG(J17)*4/3))*0.21)+((O17+1+(LOG(J17)*4/3))*0.341),((P17+(((TODAY()-E17)^0.5)/(336^0.5))+(LOG(J17)*4/3))*0.21)+((O17+(((TODAY()-E17)^0.5)/(336^0.5))+(LOG(J17)*4/3))*0.341))</f>
        <v>2.9712499999999999</v>
      </c>
      <c r="BC17" s="40">
        <f t="shared" ref="BC17:BC28" ca="1" si="181">BA17/2</f>
        <v>0.79062500000000002</v>
      </c>
      <c r="BD17" s="40">
        <f t="shared" ref="BD17:BD28" ca="1" si="182">IF(TODAY()-E17&gt;335,((L17+1+(LOG(J17)*4/3))*0.291),((L17+(((TODAY()-E17)^0.5)/(336^0.5))+(LOG(J17)*4/3))*0.291))</f>
        <v>0.873</v>
      </c>
      <c r="BE17" s="40">
        <f t="shared" ref="BE17:BE28" ca="1" si="183">IF(TODAY()-E17&gt;335,((L17+1+(LOG(J17)*4/3))*0.348),((L17+(((TODAY()-E17)^0.5)/(336^0.5))+(LOG(J17)*4/3))*0.348))</f>
        <v>1.044</v>
      </c>
      <c r="BF17" s="40">
        <f t="shared" ref="BF17:BF28" ca="1" si="184">IF(TODAY()-E17&gt;335,((M17+1+(LOG(J17)*4/3))*0.881),((M17+(((TODAY()-E17)^0.5)/(336^0.5))+(LOG(J17)*4/3))*0.881))</f>
        <v>5.9027000000000003</v>
      </c>
      <c r="BG17" s="40">
        <f t="shared" ref="BG17:BG28" ca="1" si="185">IF(TODAY()-E17&gt;335,((N17+1+(LOG(J17)*4/3))*0.574)+((O17+1+(LOG(J17)*4/3))*0.315),((N17+(((TODAY()-E17)^0.5)/(336^0.5))+(LOG(J17)*4/3))*0.574)+((O17+(((TODAY()-E17)^0.5)/(336^0.5))+(LOG(J17)*4/3))*0.315))</f>
        <v>5.6997499999999999</v>
      </c>
      <c r="BH17" s="40">
        <f t="shared" ref="BH17:BH28" ca="1" si="186">IF(TODAY()-E17&gt;335,((O17+1+(LOG(J17)*4/3))*0.241),((O17+(((TODAY()-E17)^0.5)/(336^0.5))+(LOG(J17)*4/3))*0.241))</f>
        <v>1.5062499999999999</v>
      </c>
      <c r="BI17" s="40">
        <f t="shared" ref="BI17:BI28" ca="1" si="187">IF(TODAY()-E17&gt;335,((L17+1+(LOG(J17)*4/3))*0.485),((L17+(((TODAY()-E17)^0.5)/(336^0.5))+(LOG(J17)*4/3))*0.485))</f>
        <v>1.4550000000000001</v>
      </c>
      <c r="BJ17" s="40">
        <f t="shared" ref="BJ17:BJ28" ca="1" si="188">IF(TODAY()-E17&gt;335,((L17+1+(LOG(J17)*4/3))*0.264),((L17+(((TODAY()-E17)^0.5)/(336^0.5))+(LOG(J17)*4/3))*0.264))</f>
        <v>0.79200000000000004</v>
      </c>
      <c r="BK17" s="40">
        <f t="shared" ref="BK17:BK28" ca="1" si="189">IF(TODAY()-E17&gt;335,((M17+1+(LOG(J17)*4/3))*0.381),((M17+(((TODAY()-E17)^0.5)/(336^0.5))+(LOG(J17)*4/3))*0.381))</f>
        <v>2.5527000000000002</v>
      </c>
      <c r="BL17" s="40">
        <f t="shared" ref="BL17:BL28" ca="1" si="190">IF(TODAY()-E17&gt;335,((N17+1+(LOG(J17)*4/3))*0.673)+((O17+1+(LOG(J17)*4/3))*0.201),((N17+(((TODAY()-E17)^0.5)/(336^0.5))+(LOG(J17)*4/3))*0.673)+((O17+(((TODAY()-E17)^0.5)/(336^0.5))+(LOG(J17)*4/3))*0.201))</f>
        <v>5.6307500000000008</v>
      </c>
      <c r="BM17" s="40">
        <f t="shared" ref="BM17:BM28" ca="1" si="191">IF(TODAY()-E17&gt;335,((O17+1+(LOG(J17)*4/3))*0.052),((O17+(((TODAY()-E17)^0.5)/(336^0.5))+(LOG(J17)*4/3))*0.052))</f>
        <v>0.32500000000000001</v>
      </c>
      <c r="BN17" s="40">
        <f t="shared" ref="BN17:BN28" ca="1" si="192">IF(TODAY()-E17&gt;335,((L17+1+(LOG(J17)*4/3))*0.18),((L17+(((TODAY()-E17)^0.5)/(336^0.5))+(LOG(J17)*4/3))*0.18))</f>
        <v>0.54</v>
      </c>
      <c r="BO17" s="40">
        <f t="shared" ref="BO17:BO28" ca="1" si="193">IF(TODAY()-E17&gt;335,((L17+1+(LOG(J17)*4/3))*0.068),((L17+(((TODAY()-E17)^0.5)/(336^0.5))+(LOG(J17)*4/3))*0.068))</f>
        <v>0.20400000000000001</v>
      </c>
      <c r="BP17" s="40">
        <f t="shared" ref="BP17:BP28" ca="1" si="194">IF(TODAY()-E17&gt;335,((M17+1+(LOG(J17)*4/3))*0.305),((M17+(((TODAY()-E17)^0.5)/(336^0.5))+(LOG(J17)*4/3))*0.305))</f>
        <v>2.0434999999999999</v>
      </c>
      <c r="BQ17" s="40">
        <f t="shared" ref="BQ17:BQ28" ca="1" si="195">IF(TODAY()-E17&gt;335,((N17+1+(LOG(J17)*4/3))*1)+((O17+1+(LOG(J17)*4/3))*0.286),((N17+(((TODAY()-E17)^0.5)/(336^0.5))+(LOG(J17)*4/3))*1)+((O17+(((TODAY()-E17)^0.5)/(336^0.5))+(LOG(J17)*4/3))*0.286))</f>
        <v>8.2874999999999996</v>
      </c>
      <c r="BR17" s="40">
        <f t="shared" ref="BR17:BR28" ca="1" si="196">IF(TODAY()-E17&gt;335,((O17+1+(LOG(J17)*4/3))*0.135),((O17+(((TODAY()-E17)^0.5)/(336^0.5))+(LOG(J17)*4/3))*0.135))</f>
        <v>0.84375</v>
      </c>
      <c r="BS17" s="40">
        <f t="shared" ref="BS17:BS28" ca="1" si="197">IF(TODAY()-E17&gt;335,((L17+1+(LOG(J17)*4/3))*0.284),((L17+(((TODAY()-E17)^0.5)/(336^0.5))+(LOG(J17)*4/3))*0.284))</f>
        <v>0.85199999999999987</v>
      </c>
      <c r="BT17" s="40">
        <f t="shared" ref="BT17:BT28" ca="1" si="198">IF(TODAY()-E17&gt;335,((L17+1+(LOG(J17)*4/3))*0.244),((L17+(((TODAY()-E17)^0.5)/(336^0.5))+(LOG(J17)*4/3))*0.244))</f>
        <v>0.73199999999999998</v>
      </c>
      <c r="BU17" s="40">
        <f t="shared" ref="BU17:BU28" ca="1" si="199">IF(TODAY()-E17&gt;335,((M17+1+(LOG(J17)*4/3))*0.631),((M17+(((TODAY()-E17)^0.5)/(336^0.5))+(LOG(J17)*4/3))*0.631))</f>
        <v>4.2277000000000005</v>
      </c>
      <c r="BV17" s="40">
        <f t="shared" ref="BV17:BV28" ca="1" si="200">IF(TODAY()-E17&gt;335,((N17+1+(LOG(J17)*4/3))*0.702)+((O17+1+(LOG(J17)*4/3))*0.193),((N17+(((TODAY()-E17)^0.5)/(336^0.5))+(LOG(J17)*4/3))*0.702)+((O17+(((TODAY()-E17)^0.5)/(336^0.5))+(LOG(J17)*4/3))*0.193))</f>
        <v>5.7692499999999995</v>
      </c>
      <c r="BW17" s="40">
        <f t="shared" ref="BW17:BW28" ca="1" si="201">IF(TODAY()-E17&gt;335,((O17+1+(LOG(J17)*4/3))*0.148),((O17+(((TODAY()-E17)^0.5)/(336^0.5))+(LOG(J17)*4/3))*0.148))</f>
        <v>0.92499999999999993</v>
      </c>
      <c r="BX17" s="40">
        <f t="shared" ref="BX17:BX28" ca="1" si="202">IF(TODAY()-E17&gt;335,((M17+1+(LOG(J17)*4/3))*0.406),((M17+(((TODAY()-E17)^0.5)/(336^0.5))+(LOG(J17)*4/3))*0.406))</f>
        <v>2.7202000000000002</v>
      </c>
      <c r="BY17" s="40">
        <f t="shared" ref="BY17:BY28" ca="1" si="203">IF(D17="TEC",IF(TODAY()-E17&gt;335,((N17+1+(LOG(J17)*4/3))*0.15)+((O17+1+(LOG(J17)*4/3))*0.324)+((P17+1+(LOG(J17)*4/3))*0.127),((N17+(((TODAY()-E17)^0.5)/(336^0.5))+(LOG(J17)*4/3))*0.15)+((O17+(((TODAY()-E17)^0.5)/(336^0.5))+(LOG(J17)*4/3))*0.324)+((P17+(((TODAY()-E17)^0.5)/(336^0.5))+(LOG(J17)*4/3))*0.127)),IF(TODAY()-E17&gt;335,((N17+1+(LOG(J17)*4/3))*0.144)+((O17+1+(LOG(J17)*4/3))*0.25)+((P17+1+(LOG(J17)*4/3))*0.127),((N17+(((TODAY()-E17)^0.5)/(336^0.5))+(LOG(J17)*4/3))*0.144)+((O17+(((TODAY()-E17)^0.5)/(336^0.5))+(LOG(J17)*4/3))*0.25)+((P17+(((TODAY()-E17)^0.5)/(336^0.5))+(LOG(J17)*4/3))*0.127)))</f>
        <v>3.0065</v>
      </c>
      <c r="BZ17" s="40">
        <f t="shared" ref="BZ17:BZ28" ca="1" si="204">IF(D17="TEC",IF(TODAY()-E17&gt;335,((O17+1+(LOG(J17)*4/3))*0.543)+((P17+1+(LOG(J17)*4/3))*0.583),((O17+(((TODAY()-E17)^0.5)/(336^0.5))+(LOG(J17)*4/3))*0.543)+((P17+(((TODAY()-E17)^0.5)/(336^0.5))+(LOG(J17)*4/3))*0.583)),IF(TODAY()-E17&gt;335,((O17+1+(LOG(J17)*4/3))*0.543)+((P17+1+(LOG(J17)*4/3))*0.583),((O17+(((TODAY()-E17)^0.5)/(336^0.5))+(LOG(J17)*4/3))*0.543)+((P17+(((TODAY()-E17)^0.5)/(336^0.5))+(LOG(J17)*4/3))*0.583)))</f>
        <v>5.7257499999999997</v>
      </c>
      <c r="CA17" s="40">
        <f t="shared" ref="CA17:CA28" ca="1" si="205">BY17</f>
        <v>3.0065</v>
      </c>
      <c r="CB17" s="40">
        <f t="shared" ref="CB17:CB28" ca="1" si="206">IF(TODAY()-E17&gt;335,((P17+1+(LOG(J17)*4/3))*0.26)+((N17+1+(LOG(J17)*4/3))*0.221)+((O17+1+(LOG(J17)*4/3))*0.142),((P17+(((TODAY()-E17)^0.5)/(336^0.5))+(LOG(J17)*4/3))*0.26)+((N17+(((TODAY()-E17)^0.5)/(336^0.5))+(LOG(J17)*4/3))*0.221)+((P17+(((TODAY()-E17)^0.5)/(336^0.5))+(LOG(J17)*4/3))*0.142))</f>
        <v>3.3639999999999999</v>
      </c>
      <c r="CC17" s="40">
        <f t="shared" ref="CC17:CC28" ca="1" si="207">IF(TODAY()-E17&gt;335,((P17+1+(LOG(J17)*4/3))*1)+((O17+1+(LOG(J17)*4/3))*0.369),((P17+(((TODAY()-E17)^0.5)/(336^0.5))+(LOG(J17)*4/3))*1)+((O17+(((TODAY()-E17)^0.5)/(336^0.5))+(LOG(J17)*4/3))*0.369))</f>
        <v>6.3062500000000004</v>
      </c>
      <c r="CD17" s="40">
        <f t="shared" ref="CD17:CD28" ca="1" si="208">CB17</f>
        <v>3.3639999999999999</v>
      </c>
      <c r="CE17" s="40">
        <f t="shared" ref="CE17:CE28" ca="1" si="209">IF(TODAY()-E17&gt;335,((M17+1+(LOG(J17)*4/3))*0.25),((M17+(((TODAY()-E17)^0.5)/(336^0.5))+(LOG(J17)*4/3))*0.25))</f>
        <v>1.675</v>
      </c>
    </row>
    <row r="18" spans="1:83" x14ac:dyDescent="0.25">
      <c r="A18" t="str">
        <f>PLANTILLA!D20</f>
        <v>Valeri Gomis</v>
      </c>
      <c r="B18">
        <f>PLANTILLA!E20</f>
        <v>17</v>
      </c>
      <c r="C18" s="36">
        <f ca="1">PLANTILLA!F20</f>
        <v>24</v>
      </c>
      <c r="D18" s="242" t="str">
        <f>PLANTILLA!G20</f>
        <v>IMP</v>
      </c>
      <c r="E18" s="33">
        <v>42343</v>
      </c>
      <c r="F18" s="51">
        <f>PLANTILLA!Q20</f>
        <v>5</v>
      </c>
      <c r="G18" s="52">
        <f t="shared" si="141"/>
        <v>0.84515425472851657</v>
      </c>
      <c r="H18" s="52">
        <f t="shared" si="142"/>
        <v>0.92504826128926143</v>
      </c>
      <c r="I18" s="55">
        <f t="shared" ca="1" si="143"/>
        <v>1</v>
      </c>
      <c r="J18" s="42">
        <f>PLANTILLA!I20</f>
        <v>1</v>
      </c>
      <c r="K18" s="50">
        <f>PLANTILLA!X20</f>
        <v>0</v>
      </c>
      <c r="L18" s="50">
        <f>PLANTILLA!Y20</f>
        <v>6</v>
      </c>
      <c r="M18" s="50">
        <f>PLANTILLA!Z20</f>
        <v>3</v>
      </c>
      <c r="N18" s="50">
        <f>PLANTILLA!AA20</f>
        <v>3</v>
      </c>
      <c r="O18" s="50">
        <f>PLANTILLA!AB20</f>
        <v>5.2</v>
      </c>
      <c r="P18" s="50">
        <f>PLANTILLA!AC20</f>
        <v>2</v>
      </c>
      <c r="Q18" s="50">
        <f>PLANTILLA!AD20</f>
        <v>0</v>
      </c>
      <c r="R18" s="50">
        <f t="shared" si="144"/>
        <v>2.4249999999999998</v>
      </c>
      <c r="S18" s="50">
        <f t="shared" si="145"/>
        <v>0.1</v>
      </c>
      <c r="T18" s="50">
        <f t="shared" si="146"/>
        <v>0.24000000000000005</v>
      </c>
      <c r="U18" s="50">
        <f t="shared" ca="1" si="147"/>
        <v>0.84515425472851657</v>
      </c>
      <c r="V18" s="50">
        <f t="shared" ca="1" si="148"/>
        <v>0.92504826128926143</v>
      </c>
      <c r="W18" s="40">
        <f t="shared" ca="1" si="149"/>
        <v>2.5289999999999999</v>
      </c>
      <c r="X18" s="40">
        <f t="shared" ca="1" si="150"/>
        <v>3.8410000000000002</v>
      </c>
      <c r="Y18" s="40">
        <f t="shared" ca="1" si="151"/>
        <v>2.5289999999999999</v>
      </c>
      <c r="Z18" s="40">
        <f t="shared" ca="1" si="152"/>
        <v>3.6120000000000001</v>
      </c>
      <c r="AA18" s="40">
        <f t="shared" ca="1" si="153"/>
        <v>7</v>
      </c>
      <c r="AB18" s="40">
        <f t="shared" ca="1" si="154"/>
        <v>1.806</v>
      </c>
      <c r="AC18" s="40">
        <f t="shared" ca="1" si="155"/>
        <v>0.95199999999999996</v>
      </c>
      <c r="AD18" s="40">
        <f t="shared" ca="1" si="156"/>
        <v>2.6459999999999999</v>
      </c>
      <c r="AE18" s="40">
        <f t="shared" ca="1" si="157"/>
        <v>5.0609999999999999</v>
      </c>
      <c r="AF18" s="40">
        <f t="shared" ca="1" si="158"/>
        <v>1.323</v>
      </c>
      <c r="AG18" s="40">
        <f t="shared" ca="1" si="159"/>
        <v>1.54</v>
      </c>
      <c r="AH18" s="40">
        <f t="shared" ca="1" si="160"/>
        <v>6.44</v>
      </c>
      <c r="AI18" s="40">
        <f t="shared" ca="1" si="161"/>
        <v>2.8979999999999997</v>
      </c>
      <c r="AJ18" s="40">
        <f t="shared" ca="1" si="162"/>
        <v>0.66800000000000004</v>
      </c>
      <c r="AK18" s="40">
        <f t="shared" ca="1" si="163"/>
        <v>2.3519999999999999</v>
      </c>
      <c r="AL18" s="40">
        <f t="shared" ca="1" si="164"/>
        <v>5.2780000000000005</v>
      </c>
      <c r="AM18" s="40">
        <f t="shared" ca="1" si="165"/>
        <v>4.9559999999999995</v>
      </c>
      <c r="AN18" s="40">
        <f t="shared" ca="1" si="166"/>
        <v>0.16700000000000001</v>
      </c>
      <c r="AO18" s="40">
        <f t="shared" ca="1" si="167"/>
        <v>0.98639999999999983</v>
      </c>
      <c r="AP18" s="40">
        <f t="shared" ca="1" si="168"/>
        <v>1.8900000000000001</v>
      </c>
      <c r="AQ18" s="40">
        <f t="shared" ca="1" si="169"/>
        <v>4.1579999999999995</v>
      </c>
      <c r="AR18" s="40">
        <f t="shared" ca="1" si="170"/>
        <v>0.94500000000000006</v>
      </c>
      <c r="AS18" s="40">
        <f t="shared" ca="1" si="171"/>
        <v>3.7759999999999998</v>
      </c>
      <c r="AT18" s="40">
        <f t="shared" ca="1" si="172"/>
        <v>0.80600000000000005</v>
      </c>
      <c r="AU18" s="40">
        <f t="shared" ca="1" si="173"/>
        <v>1.2629999999999999</v>
      </c>
      <c r="AV18" s="40">
        <f t="shared" ca="1" si="174"/>
        <v>0.40300000000000002</v>
      </c>
      <c r="AW18" s="40">
        <f t="shared" ca="1" si="175"/>
        <v>1.323</v>
      </c>
      <c r="AX18" s="40">
        <f t="shared" ca="1" si="176"/>
        <v>2.8000000000000003</v>
      </c>
      <c r="AY18" s="40">
        <f t="shared" ca="1" si="177"/>
        <v>0.66149999999999998</v>
      </c>
      <c r="AZ18" s="40">
        <f t="shared" ca="1" si="178"/>
        <v>4</v>
      </c>
      <c r="BA18" s="40">
        <f t="shared" ca="1" si="179"/>
        <v>1.5686</v>
      </c>
      <c r="BB18" s="40">
        <f t="shared" ca="1" si="180"/>
        <v>2.7442000000000002</v>
      </c>
      <c r="BC18" s="40">
        <f t="shared" ca="1" si="181"/>
        <v>0.7843</v>
      </c>
      <c r="BD18" s="40">
        <f t="shared" ca="1" si="182"/>
        <v>2.0369999999999999</v>
      </c>
      <c r="BE18" s="40">
        <f t="shared" ca="1" si="183"/>
        <v>2.4359999999999999</v>
      </c>
      <c r="BF18" s="40">
        <f t="shared" ca="1" si="184"/>
        <v>3.524</v>
      </c>
      <c r="BG18" s="40">
        <f t="shared" ca="1" si="185"/>
        <v>4.2489999999999997</v>
      </c>
      <c r="BH18" s="40">
        <f t="shared" ca="1" si="186"/>
        <v>1.4942</v>
      </c>
      <c r="BI18" s="40">
        <f t="shared" ca="1" si="187"/>
        <v>3.395</v>
      </c>
      <c r="BJ18" s="40">
        <f t="shared" ca="1" si="188"/>
        <v>1.8480000000000001</v>
      </c>
      <c r="BK18" s="40">
        <f t="shared" ca="1" si="189"/>
        <v>1.524</v>
      </c>
      <c r="BL18" s="40">
        <f t="shared" ca="1" si="190"/>
        <v>3.9382000000000001</v>
      </c>
      <c r="BM18" s="40">
        <f t="shared" ca="1" si="191"/>
        <v>0.32240000000000002</v>
      </c>
      <c r="BN18" s="40">
        <f t="shared" ca="1" si="192"/>
        <v>1.26</v>
      </c>
      <c r="BO18" s="40">
        <f t="shared" ca="1" si="193"/>
        <v>0.47600000000000003</v>
      </c>
      <c r="BP18" s="40">
        <f t="shared" ca="1" si="194"/>
        <v>1.22</v>
      </c>
      <c r="BQ18" s="40">
        <f t="shared" ca="1" si="195"/>
        <v>5.7732000000000001</v>
      </c>
      <c r="BR18" s="40">
        <f t="shared" ca="1" si="196"/>
        <v>0.83700000000000008</v>
      </c>
      <c r="BS18" s="40">
        <f t="shared" ca="1" si="197"/>
        <v>1.9879999999999998</v>
      </c>
      <c r="BT18" s="40">
        <f t="shared" ca="1" si="198"/>
        <v>1.708</v>
      </c>
      <c r="BU18" s="40">
        <f t="shared" ca="1" si="199"/>
        <v>2.524</v>
      </c>
      <c r="BV18" s="40">
        <f t="shared" ca="1" si="200"/>
        <v>4.0045999999999999</v>
      </c>
      <c r="BW18" s="40">
        <f t="shared" ca="1" si="201"/>
        <v>0.91759999999999997</v>
      </c>
      <c r="BX18" s="40">
        <f t="shared" ca="1" si="202"/>
        <v>1.6240000000000001</v>
      </c>
      <c r="BY18" s="40">
        <f t="shared" ca="1" si="203"/>
        <v>2.5069999999999997</v>
      </c>
      <c r="BZ18" s="40">
        <f t="shared" ca="1" si="204"/>
        <v>5.1156000000000006</v>
      </c>
      <c r="CA18" s="40">
        <f t="shared" ca="1" si="205"/>
        <v>2.5069999999999997</v>
      </c>
      <c r="CB18" s="40">
        <f t="shared" ca="1" si="206"/>
        <v>2.5444</v>
      </c>
      <c r="CC18" s="40">
        <f t="shared" ca="1" si="207"/>
        <v>5.2877999999999998</v>
      </c>
      <c r="CD18" s="40">
        <f t="shared" ca="1" si="208"/>
        <v>2.5444</v>
      </c>
      <c r="CE18" s="40">
        <f t="shared" ca="1" si="209"/>
        <v>1</v>
      </c>
    </row>
    <row r="19" spans="1:83" x14ac:dyDescent="0.25">
      <c r="A19" t="str">
        <f>PLANTILLA!D21</f>
        <v>Juan Garcia Peñuela</v>
      </c>
      <c r="B19">
        <f>PLANTILLA!E21</f>
        <v>17</v>
      </c>
      <c r="C19" s="36">
        <f ca="1">PLANTILLA!F21</f>
        <v>20</v>
      </c>
      <c r="D19" s="242" t="str">
        <f>PLANTILLA!G21</f>
        <v>IMP</v>
      </c>
      <c r="E19" s="33">
        <v>42344</v>
      </c>
      <c r="F19" s="51">
        <f>PLANTILLA!Q21</f>
        <v>5</v>
      </c>
      <c r="G19" s="52">
        <f t="shared" si="141"/>
        <v>0.84515425472851657</v>
      </c>
      <c r="H19" s="52">
        <f t="shared" si="142"/>
        <v>0.92504826128926143</v>
      </c>
      <c r="I19" s="55">
        <f t="shared" ca="1" si="143"/>
        <v>1</v>
      </c>
      <c r="J19" s="42">
        <f>PLANTILLA!I21</f>
        <v>0.5</v>
      </c>
      <c r="K19" s="50">
        <f>PLANTILLA!X21</f>
        <v>0</v>
      </c>
      <c r="L19" s="50">
        <f>PLANTILLA!Y21</f>
        <v>3</v>
      </c>
      <c r="M19" s="50">
        <f>PLANTILLA!Z21</f>
        <v>5</v>
      </c>
      <c r="N19" s="50">
        <f>PLANTILLA!AA21</f>
        <v>4</v>
      </c>
      <c r="O19" s="50">
        <f>PLANTILLA!AB21</f>
        <v>4</v>
      </c>
      <c r="P19" s="50">
        <f>PLANTILLA!AC21</f>
        <v>3</v>
      </c>
      <c r="Q19" s="50">
        <f>PLANTILLA!AD21</f>
        <v>0</v>
      </c>
      <c r="R19" s="50">
        <f t="shared" si="144"/>
        <v>1.75</v>
      </c>
      <c r="S19" s="50">
        <f t="shared" si="145"/>
        <v>0.15</v>
      </c>
      <c r="T19" s="50">
        <f t="shared" si="146"/>
        <v>0.12000000000000002</v>
      </c>
      <c r="U19" s="50">
        <f t="shared" ca="1" si="147"/>
        <v>0.50593187921342253</v>
      </c>
      <c r="V19" s="50">
        <f t="shared" ca="1" si="148"/>
        <v>0.5537585625094219</v>
      </c>
      <c r="W19" s="40">
        <f t="shared" ca="1" si="149"/>
        <v>1.3506010850471259</v>
      </c>
      <c r="X19" s="40">
        <f t="shared" ca="1" si="150"/>
        <v>2.0478270341304006</v>
      </c>
      <c r="Y19" s="40">
        <f t="shared" ca="1" si="151"/>
        <v>1.3506010850471259</v>
      </c>
      <c r="Z19" s="40">
        <f t="shared" ca="1" si="152"/>
        <v>1.8568913629831809</v>
      </c>
      <c r="AA19" s="40">
        <f t="shared" ca="1" si="153"/>
        <v>3.5986266724480251</v>
      </c>
      <c r="AB19" s="40">
        <f t="shared" ca="1" si="154"/>
        <v>0.92844568149159046</v>
      </c>
      <c r="AC19" s="40">
        <f t="shared" ca="1" si="155"/>
        <v>1.3324731480426297</v>
      </c>
      <c r="AD19" s="40">
        <f t="shared" ca="1" si="156"/>
        <v>1.3602808821853536</v>
      </c>
      <c r="AE19" s="40">
        <f t="shared" ca="1" si="157"/>
        <v>2.6018070841799221</v>
      </c>
      <c r="AF19" s="40">
        <f t="shared" ca="1" si="158"/>
        <v>0.6801404410926768</v>
      </c>
      <c r="AG19" s="40">
        <f t="shared" ca="1" si="159"/>
        <v>2.1554712688924895</v>
      </c>
      <c r="AH19" s="40">
        <f t="shared" ca="1" si="160"/>
        <v>3.3107365386521832</v>
      </c>
      <c r="AI19" s="40">
        <f t="shared" ca="1" si="161"/>
        <v>1.4898314423934824</v>
      </c>
      <c r="AJ19" s="40">
        <f t="shared" ca="1" si="162"/>
        <v>0.9349706542988202</v>
      </c>
      <c r="AK19" s="40">
        <f t="shared" ca="1" si="163"/>
        <v>2.7039924833994382</v>
      </c>
      <c r="AL19" s="40">
        <f t="shared" ca="1" si="164"/>
        <v>2.7133645110258109</v>
      </c>
      <c r="AM19" s="40">
        <f t="shared" ca="1" si="165"/>
        <v>2.5478276840932015</v>
      </c>
      <c r="AN19" s="40">
        <f t="shared" ca="1" si="166"/>
        <v>9.9970654298820211E-2</v>
      </c>
      <c r="AO19" s="40">
        <f t="shared" ca="1" si="167"/>
        <v>0.6764044816650312</v>
      </c>
      <c r="AP19" s="40">
        <f t="shared" ca="1" si="168"/>
        <v>0.97162920156096688</v>
      </c>
      <c r="AQ19" s="40">
        <f t="shared" ca="1" si="169"/>
        <v>2.137584243434127</v>
      </c>
      <c r="AR19" s="40">
        <f t="shared" ca="1" si="170"/>
        <v>0.48581460078048344</v>
      </c>
      <c r="AS19" s="40">
        <f t="shared" ca="1" si="171"/>
        <v>5.2851035787909346</v>
      </c>
      <c r="AT19" s="40">
        <f t="shared" ca="1" si="172"/>
        <v>0.59782146741824327</v>
      </c>
      <c r="AU19" s="40">
        <f t="shared" ca="1" si="173"/>
        <v>1.1743976150272712</v>
      </c>
      <c r="AV19" s="40">
        <f t="shared" ca="1" si="174"/>
        <v>0.29891073370912163</v>
      </c>
      <c r="AW19" s="40">
        <f t="shared" ca="1" si="175"/>
        <v>0.6801404410926768</v>
      </c>
      <c r="AX19" s="40">
        <f t="shared" ca="1" si="176"/>
        <v>1.4394506689792101</v>
      </c>
      <c r="AY19" s="40">
        <f t="shared" ca="1" si="177"/>
        <v>0.3400702205463384</v>
      </c>
      <c r="AZ19" s="40">
        <f t="shared" ca="1" si="178"/>
        <v>5.5986266724480247</v>
      </c>
      <c r="BA19" s="40">
        <f t="shared" ca="1" si="179"/>
        <v>1.1634525481293503</v>
      </c>
      <c r="BB19" s="40">
        <f t="shared" ca="1" si="180"/>
        <v>2.323843296518862</v>
      </c>
      <c r="BC19" s="40">
        <f t="shared" ca="1" si="181"/>
        <v>0.58172627406467514</v>
      </c>
      <c r="BD19" s="40">
        <f t="shared" ca="1" si="182"/>
        <v>1.0472003616823753</v>
      </c>
      <c r="BE19" s="40">
        <f t="shared" ca="1" si="183"/>
        <v>1.2523220820119128</v>
      </c>
      <c r="BF19" s="40">
        <f t="shared" ca="1" si="184"/>
        <v>4.9323900984267102</v>
      </c>
      <c r="BG19" s="40">
        <f t="shared" ca="1" si="185"/>
        <v>4.0881791118062942</v>
      </c>
      <c r="BH19" s="40">
        <f t="shared" ca="1" si="186"/>
        <v>1.1082690280599738</v>
      </c>
      <c r="BI19" s="40">
        <f t="shared" ca="1" si="187"/>
        <v>1.7453339361372922</v>
      </c>
      <c r="BJ19" s="40">
        <f t="shared" ca="1" si="188"/>
        <v>0.95003744152627867</v>
      </c>
      <c r="BK19" s="40">
        <f t="shared" ca="1" si="189"/>
        <v>2.1330767622026974</v>
      </c>
      <c r="BL19" s="40">
        <f t="shared" ca="1" si="190"/>
        <v>4.0191997117195735</v>
      </c>
      <c r="BM19" s="40">
        <f t="shared" ca="1" si="191"/>
        <v>0.23912858696729727</v>
      </c>
      <c r="BN19" s="40">
        <f t="shared" ca="1" si="192"/>
        <v>0.64775280104064448</v>
      </c>
      <c r="BO19" s="40">
        <f t="shared" ca="1" si="193"/>
        <v>0.24470661372646574</v>
      </c>
      <c r="BP19" s="40">
        <f t="shared" ca="1" si="194"/>
        <v>1.7075811350966474</v>
      </c>
      <c r="BQ19" s="40">
        <f t="shared" ca="1" si="195"/>
        <v>5.91383390076816</v>
      </c>
      <c r="BR19" s="40">
        <f t="shared" ca="1" si="196"/>
        <v>0.62081460078048334</v>
      </c>
      <c r="BS19" s="40">
        <f t="shared" ca="1" si="197"/>
        <v>1.0220099749752392</v>
      </c>
      <c r="BT19" s="40">
        <f t="shared" ca="1" si="198"/>
        <v>0.87806490807731807</v>
      </c>
      <c r="BU19" s="40">
        <f t="shared" ca="1" si="199"/>
        <v>3.5327334303147038</v>
      </c>
      <c r="BV19" s="40">
        <f t="shared" ca="1" si="200"/>
        <v>4.115770871840982</v>
      </c>
      <c r="BW19" s="40">
        <f t="shared" ca="1" si="201"/>
        <v>0.68059674752230759</v>
      </c>
      <c r="BX19" s="40">
        <f t="shared" ca="1" si="202"/>
        <v>2.273042429013898</v>
      </c>
      <c r="BY19" s="40">
        <f t="shared" ca="1" si="203"/>
        <v>2.2688844963454211</v>
      </c>
      <c r="BZ19" s="40">
        <f t="shared" ca="1" si="204"/>
        <v>4.5950536331764766</v>
      </c>
      <c r="CA19" s="40">
        <f t="shared" ca="1" si="205"/>
        <v>2.2688844963454211</v>
      </c>
      <c r="CB19" s="40">
        <f t="shared" ca="1" si="206"/>
        <v>2.6049444169351195</v>
      </c>
      <c r="CC19" s="40">
        <f t="shared" ca="1" si="207"/>
        <v>5.2955199145813463</v>
      </c>
      <c r="CD19" s="40">
        <f t="shared" ca="1" si="208"/>
        <v>2.6049444169351195</v>
      </c>
      <c r="CE19" s="40">
        <f t="shared" ca="1" si="209"/>
        <v>1.3996566681120062</v>
      </c>
    </row>
    <row r="20" spans="1:83" x14ac:dyDescent="0.25">
      <c r="A20" t="str">
        <f>PLANTILLA!D22</f>
        <v>Fernando Gazón</v>
      </c>
      <c r="B20">
        <f>PLANTILLA!E22</f>
        <v>17</v>
      </c>
      <c r="C20" s="36">
        <f ca="1">PLANTILLA!F22</f>
        <v>61</v>
      </c>
      <c r="D20" s="242" t="str">
        <f>PLANTILLA!G22</f>
        <v>IMP</v>
      </c>
      <c r="E20" s="33">
        <v>42345</v>
      </c>
      <c r="F20" s="51">
        <f>PLANTILLA!Q22</f>
        <v>4</v>
      </c>
      <c r="G20" s="52">
        <f t="shared" si="141"/>
        <v>0.7559289460184544</v>
      </c>
      <c r="H20" s="52">
        <f t="shared" si="142"/>
        <v>0.84430867747355465</v>
      </c>
      <c r="I20" s="55">
        <f t="shared" ca="1" si="143"/>
        <v>1</v>
      </c>
      <c r="J20" s="42">
        <f>PLANTILLA!I22</f>
        <v>0.5</v>
      </c>
      <c r="K20" s="50">
        <f>PLANTILLA!X22</f>
        <v>0</v>
      </c>
      <c r="L20" s="50">
        <f>PLANTILLA!Y22</f>
        <v>3</v>
      </c>
      <c r="M20" s="50">
        <f>PLANTILLA!Z22</f>
        <v>6</v>
      </c>
      <c r="N20" s="50">
        <f>PLANTILLA!AA22</f>
        <v>3</v>
      </c>
      <c r="O20" s="50">
        <f>PLANTILLA!AB22</f>
        <v>3.5</v>
      </c>
      <c r="P20" s="50">
        <f>PLANTILLA!AC22</f>
        <v>4</v>
      </c>
      <c r="Q20" s="50">
        <f>PLANTILLA!AD22</f>
        <v>0</v>
      </c>
      <c r="R20" s="50">
        <f t="shared" si="144"/>
        <v>1.625</v>
      </c>
      <c r="S20" s="50">
        <f t="shared" si="145"/>
        <v>0.2</v>
      </c>
      <c r="T20" s="50">
        <f t="shared" si="146"/>
        <v>0.12000000000000002</v>
      </c>
      <c r="U20" s="50">
        <f t="shared" ca="1" si="147"/>
        <v>0.45251922956217017</v>
      </c>
      <c r="V20" s="50">
        <f t="shared" ca="1" si="148"/>
        <v>0.50542569411498695</v>
      </c>
      <c r="W20" s="40">
        <f t="shared" ca="1" si="149"/>
        <v>1.3506010850471259</v>
      </c>
      <c r="X20" s="40">
        <f t="shared" ca="1" si="150"/>
        <v>2.0478270341304006</v>
      </c>
      <c r="Y20" s="40">
        <f t="shared" ca="1" si="151"/>
        <v>1.3506010850471259</v>
      </c>
      <c r="Z20" s="40">
        <f t="shared" ca="1" si="152"/>
        <v>1.8568913629831809</v>
      </c>
      <c r="AA20" s="40">
        <f t="shared" ca="1" si="153"/>
        <v>3.5986266724480251</v>
      </c>
      <c r="AB20" s="40">
        <f t="shared" ca="1" si="154"/>
        <v>0.92844568149159046</v>
      </c>
      <c r="AC20" s="40">
        <f t="shared" ca="1" si="155"/>
        <v>1.5704731480426297</v>
      </c>
      <c r="AD20" s="40">
        <f t="shared" ca="1" si="156"/>
        <v>1.3602808821853536</v>
      </c>
      <c r="AE20" s="40">
        <f t="shared" ca="1" si="157"/>
        <v>2.6018070841799221</v>
      </c>
      <c r="AF20" s="40">
        <f t="shared" ca="1" si="158"/>
        <v>0.6801404410926768</v>
      </c>
      <c r="AG20" s="40">
        <f t="shared" ca="1" si="159"/>
        <v>2.5404712688924898</v>
      </c>
      <c r="AH20" s="40">
        <f t="shared" ca="1" si="160"/>
        <v>3.3107365386521832</v>
      </c>
      <c r="AI20" s="40">
        <f t="shared" ca="1" si="161"/>
        <v>1.4898314423934824</v>
      </c>
      <c r="AJ20" s="40">
        <f t="shared" ca="1" si="162"/>
        <v>1.1019706542988201</v>
      </c>
      <c r="AK20" s="40">
        <f t="shared" ca="1" si="163"/>
        <v>2.1159924833994386</v>
      </c>
      <c r="AL20" s="40">
        <f t="shared" ca="1" si="164"/>
        <v>2.7133645110258109</v>
      </c>
      <c r="AM20" s="40">
        <f t="shared" ca="1" si="165"/>
        <v>2.5478276840932015</v>
      </c>
      <c r="AN20" s="40">
        <f t="shared" ca="1" si="166"/>
        <v>9.9970654298820211E-2</v>
      </c>
      <c r="AO20" s="40">
        <f t="shared" ca="1" si="167"/>
        <v>0.64040448166503117</v>
      </c>
      <c r="AP20" s="40">
        <f t="shared" ca="1" si="168"/>
        <v>0.97162920156096688</v>
      </c>
      <c r="AQ20" s="40">
        <f t="shared" ca="1" si="169"/>
        <v>2.137584243434127</v>
      </c>
      <c r="AR20" s="40">
        <f t="shared" ca="1" si="170"/>
        <v>0.48581460078048344</v>
      </c>
      <c r="AS20" s="40">
        <f t="shared" ca="1" si="171"/>
        <v>6.2291035787909346</v>
      </c>
      <c r="AT20" s="40">
        <f t="shared" ca="1" si="172"/>
        <v>0.53282146741824321</v>
      </c>
      <c r="AU20" s="40">
        <f t="shared" ca="1" si="173"/>
        <v>1.2873976150272712</v>
      </c>
      <c r="AV20" s="40">
        <f t="shared" ca="1" si="174"/>
        <v>0.26641073370912161</v>
      </c>
      <c r="AW20" s="40">
        <f t="shared" ca="1" si="175"/>
        <v>0.6801404410926768</v>
      </c>
      <c r="AX20" s="40">
        <f t="shared" ca="1" si="176"/>
        <v>1.4394506689792101</v>
      </c>
      <c r="AY20" s="40">
        <f t="shared" ca="1" si="177"/>
        <v>0.3400702205463384</v>
      </c>
      <c r="AZ20" s="40">
        <f t="shared" ca="1" si="178"/>
        <v>6.5986266724480247</v>
      </c>
      <c r="BA20" s="40">
        <f t="shared" ca="1" si="179"/>
        <v>1.0369525481293502</v>
      </c>
      <c r="BB20" s="40">
        <f t="shared" ca="1" si="180"/>
        <v>2.3633432965188614</v>
      </c>
      <c r="BC20" s="40">
        <f t="shared" ca="1" si="181"/>
        <v>0.51847627406467511</v>
      </c>
      <c r="BD20" s="40">
        <f t="shared" ca="1" si="182"/>
        <v>1.0472003616823753</v>
      </c>
      <c r="BE20" s="40">
        <f t="shared" ca="1" si="183"/>
        <v>1.2523220820119128</v>
      </c>
      <c r="BF20" s="40">
        <f t="shared" ca="1" si="184"/>
        <v>5.8133900984267095</v>
      </c>
      <c r="BG20" s="40">
        <f t="shared" ca="1" si="185"/>
        <v>3.3566791118062942</v>
      </c>
      <c r="BH20" s="40">
        <f t="shared" ca="1" si="186"/>
        <v>0.98776902805997391</v>
      </c>
      <c r="BI20" s="40">
        <f t="shared" ca="1" si="187"/>
        <v>1.7453339361372922</v>
      </c>
      <c r="BJ20" s="40">
        <f t="shared" ca="1" si="188"/>
        <v>0.95003744152627867</v>
      </c>
      <c r="BK20" s="40">
        <f t="shared" ca="1" si="189"/>
        <v>2.5140767622026976</v>
      </c>
      <c r="BL20" s="40">
        <f t="shared" ca="1" si="190"/>
        <v>3.2456997117195741</v>
      </c>
      <c r="BM20" s="40">
        <f t="shared" ca="1" si="191"/>
        <v>0.21312858696729728</v>
      </c>
      <c r="BN20" s="40">
        <f t="shared" ca="1" si="192"/>
        <v>0.64775280104064448</v>
      </c>
      <c r="BO20" s="40">
        <f t="shared" ca="1" si="193"/>
        <v>0.24470661372646574</v>
      </c>
      <c r="BP20" s="40">
        <f t="shared" ca="1" si="194"/>
        <v>2.0125811350966476</v>
      </c>
      <c r="BQ20" s="40">
        <f t="shared" ca="1" si="195"/>
        <v>4.7708339007681602</v>
      </c>
      <c r="BR20" s="40">
        <f t="shared" ca="1" si="196"/>
        <v>0.55331460078048333</v>
      </c>
      <c r="BS20" s="40">
        <f t="shared" ca="1" si="197"/>
        <v>1.0220099749752392</v>
      </c>
      <c r="BT20" s="40">
        <f t="shared" ca="1" si="198"/>
        <v>0.87806490807731807</v>
      </c>
      <c r="BU20" s="40">
        <f t="shared" ca="1" si="199"/>
        <v>4.1637334303147036</v>
      </c>
      <c r="BV20" s="40">
        <f t="shared" ca="1" si="200"/>
        <v>3.3172708718409822</v>
      </c>
      <c r="BW20" s="40">
        <f t="shared" ca="1" si="201"/>
        <v>0.60659674752230763</v>
      </c>
      <c r="BX20" s="40">
        <f t="shared" ca="1" si="202"/>
        <v>2.6790424290138981</v>
      </c>
      <c r="BY20" s="40">
        <f t="shared" ca="1" si="203"/>
        <v>2.1268844963454208</v>
      </c>
      <c r="BZ20" s="40">
        <f t="shared" ca="1" si="204"/>
        <v>4.9065536331764754</v>
      </c>
      <c r="CA20" s="40">
        <f t="shared" ca="1" si="205"/>
        <v>2.1268844963454208</v>
      </c>
      <c r="CB20" s="40">
        <f t="shared" ca="1" si="206"/>
        <v>2.5729444169351199</v>
      </c>
      <c r="CC20" s="40">
        <f t="shared" ca="1" si="207"/>
        <v>6.1110199145813455</v>
      </c>
      <c r="CD20" s="40">
        <f t="shared" ca="1" si="208"/>
        <v>2.5729444169351199</v>
      </c>
      <c r="CE20" s="40">
        <f t="shared" ca="1" si="209"/>
        <v>1.6496566681120062</v>
      </c>
    </row>
    <row r="21" spans="1:83" x14ac:dyDescent="0.25">
      <c r="A21" t="str">
        <f>PLANTILLA!D23</f>
        <v>Santiago Serra</v>
      </c>
      <c r="B21">
        <f>PLANTILLA!E23</f>
        <v>17</v>
      </c>
      <c r="C21" s="36">
        <f ca="1">PLANTILLA!F23</f>
        <v>18</v>
      </c>
      <c r="D21" s="242" t="str">
        <f>PLANTILLA!G23</f>
        <v>CAB</v>
      </c>
      <c r="E21" s="33">
        <v>42346</v>
      </c>
      <c r="F21" s="51">
        <f>PLANTILLA!Q23</f>
        <v>5</v>
      </c>
      <c r="G21" s="52">
        <f t="shared" si="141"/>
        <v>0.84515425472851657</v>
      </c>
      <c r="H21" s="52">
        <f t="shared" si="142"/>
        <v>0.92504826128926143</v>
      </c>
      <c r="I21" s="55">
        <f t="shared" ca="1" si="143"/>
        <v>1</v>
      </c>
      <c r="J21" s="42">
        <f>PLANTILLA!I23</f>
        <v>1</v>
      </c>
      <c r="K21" s="50">
        <f>PLANTILLA!X23</f>
        <v>1</v>
      </c>
      <c r="L21" s="50">
        <f>PLANTILLA!Y23</f>
        <v>4</v>
      </c>
      <c r="M21" s="50">
        <f>PLANTILLA!Z23</f>
        <v>2</v>
      </c>
      <c r="N21" s="50">
        <f>PLANTILLA!AA23</f>
        <v>3</v>
      </c>
      <c r="O21" s="50">
        <f>PLANTILLA!AB23</f>
        <v>4.25</v>
      </c>
      <c r="P21" s="50">
        <f>PLANTILLA!AC23</f>
        <v>5</v>
      </c>
      <c r="Q21" s="50">
        <f>PLANTILLA!AD23</f>
        <v>3</v>
      </c>
      <c r="R21" s="50">
        <f t="shared" si="144"/>
        <v>1.9375</v>
      </c>
      <c r="S21" s="50">
        <f t="shared" si="145"/>
        <v>0.33999999999999997</v>
      </c>
      <c r="T21" s="50">
        <f t="shared" si="146"/>
        <v>0.25</v>
      </c>
      <c r="U21" s="50">
        <f t="shared" ca="1" si="147"/>
        <v>3.3806170189140663</v>
      </c>
      <c r="V21" s="50">
        <f t="shared" ca="1" si="148"/>
        <v>3.7001930451570457</v>
      </c>
      <c r="W21" s="40">
        <f t="shared" ca="1" si="149"/>
        <v>2.5739999999999998</v>
      </c>
      <c r="X21" s="40">
        <f t="shared" ca="1" si="150"/>
        <v>3.8570000000000002</v>
      </c>
      <c r="Y21" s="40">
        <f t="shared" ca="1" si="151"/>
        <v>2.5739999999999998</v>
      </c>
      <c r="Z21" s="40">
        <f t="shared" ca="1" si="152"/>
        <v>2.58</v>
      </c>
      <c r="AA21" s="40">
        <f t="shared" ca="1" si="153"/>
        <v>5</v>
      </c>
      <c r="AB21" s="40">
        <f t="shared" ca="1" si="154"/>
        <v>1.29</v>
      </c>
      <c r="AC21" s="40">
        <f t="shared" ca="1" si="155"/>
        <v>0.71399999999999997</v>
      </c>
      <c r="AD21" s="40">
        <f t="shared" ca="1" si="156"/>
        <v>1.8900000000000001</v>
      </c>
      <c r="AE21" s="40">
        <f t="shared" ca="1" si="157"/>
        <v>3.6149999999999998</v>
      </c>
      <c r="AF21" s="40">
        <f t="shared" ca="1" si="158"/>
        <v>0.94500000000000006</v>
      </c>
      <c r="AG21" s="40">
        <f t="shared" ca="1" si="159"/>
        <v>1.155</v>
      </c>
      <c r="AH21" s="40">
        <f t="shared" ca="1" si="160"/>
        <v>4.6000000000000005</v>
      </c>
      <c r="AI21" s="40">
        <f t="shared" ca="1" si="161"/>
        <v>2.0699999999999998</v>
      </c>
      <c r="AJ21" s="40">
        <f t="shared" ca="1" si="162"/>
        <v>0.501</v>
      </c>
      <c r="AK21" s="40">
        <f t="shared" ca="1" si="163"/>
        <v>2.3519999999999999</v>
      </c>
      <c r="AL21" s="40">
        <f t="shared" ca="1" si="164"/>
        <v>3.77</v>
      </c>
      <c r="AM21" s="40">
        <f t="shared" ca="1" si="165"/>
        <v>3.54</v>
      </c>
      <c r="AN21" s="40">
        <f t="shared" ca="1" si="166"/>
        <v>0.66800000000000004</v>
      </c>
      <c r="AO21" s="40">
        <f t="shared" ca="1" si="167"/>
        <v>0.84599999999999997</v>
      </c>
      <c r="AP21" s="40">
        <f t="shared" ca="1" si="168"/>
        <v>1.35</v>
      </c>
      <c r="AQ21" s="40">
        <f t="shared" ca="1" si="169"/>
        <v>2.9699999999999998</v>
      </c>
      <c r="AR21" s="40">
        <f t="shared" ca="1" si="170"/>
        <v>0.67500000000000004</v>
      </c>
      <c r="AS21" s="40">
        <f t="shared" ca="1" si="171"/>
        <v>2.8319999999999999</v>
      </c>
      <c r="AT21" s="40">
        <f t="shared" ca="1" si="172"/>
        <v>0.6825</v>
      </c>
      <c r="AU21" s="40">
        <f t="shared" ca="1" si="173"/>
        <v>1.6679999999999997</v>
      </c>
      <c r="AV21" s="40">
        <f t="shared" ca="1" si="174"/>
        <v>0.34125</v>
      </c>
      <c r="AW21" s="40">
        <f t="shared" ca="1" si="175"/>
        <v>0.94500000000000006</v>
      </c>
      <c r="AX21" s="40">
        <f t="shared" ca="1" si="176"/>
        <v>2</v>
      </c>
      <c r="AY21" s="40">
        <f t="shared" ca="1" si="177"/>
        <v>0.47250000000000003</v>
      </c>
      <c r="AZ21" s="40">
        <f t="shared" ca="1" si="178"/>
        <v>3</v>
      </c>
      <c r="BA21" s="40">
        <f t="shared" ca="1" si="179"/>
        <v>1.3282499999999999</v>
      </c>
      <c r="BB21" s="40">
        <f t="shared" ca="1" si="180"/>
        <v>3.0502500000000001</v>
      </c>
      <c r="BC21" s="40">
        <f t="shared" ca="1" si="181"/>
        <v>0.66412499999999997</v>
      </c>
      <c r="BD21" s="40">
        <f t="shared" ca="1" si="182"/>
        <v>1.4549999999999998</v>
      </c>
      <c r="BE21" s="40">
        <f t="shared" ca="1" si="183"/>
        <v>1.7399999999999998</v>
      </c>
      <c r="BF21" s="40">
        <f t="shared" ca="1" si="184"/>
        <v>2.6429999999999998</v>
      </c>
      <c r="BG21" s="40">
        <f t="shared" ca="1" si="185"/>
        <v>3.9497499999999999</v>
      </c>
      <c r="BH21" s="40">
        <f t="shared" ca="1" si="186"/>
        <v>1.26525</v>
      </c>
      <c r="BI21" s="40">
        <f t="shared" ca="1" si="187"/>
        <v>2.4249999999999998</v>
      </c>
      <c r="BJ21" s="40">
        <f t="shared" ca="1" si="188"/>
        <v>1.32</v>
      </c>
      <c r="BK21" s="40">
        <f t="shared" ca="1" si="189"/>
        <v>1.143</v>
      </c>
      <c r="BL21" s="40">
        <f t="shared" ca="1" si="190"/>
        <v>3.7472500000000002</v>
      </c>
      <c r="BM21" s="40">
        <f t="shared" ca="1" si="191"/>
        <v>0.27299999999999996</v>
      </c>
      <c r="BN21" s="40">
        <f t="shared" ca="1" si="192"/>
        <v>0.89999999999999991</v>
      </c>
      <c r="BO21" s="40">
        <f t="shared" ca="1" si="193"/>
        <v>0.34</v>
      </c>
      <c r="BP21" s="40">
        <f t="shared" ca="1" si="194"/>
        <v>0.91500000000000004</v>
      </c>
      <c r="BQ21" s="40">
        <f t="shared" ca="1" si="195"/>
        <v>5.5015000000000001</v>
      </c>
      <c r="BR21" s="40">
        <f t="shared" ca="1" si="196"/>
        <v>0.70874999999999999</v>
      </c>
      <c r="BS21" s="40">
        <f t="shared" ca="1" si="197"/>
        <v>1.42</v>
      </c>
      <c r="BT21" s="40">
        <f t="shared" ca="1" si="198"/>
        <v>1.22</v>
      </c>
      <c r="BU21" s="40">
        <f t="shared" ca="1" si="199"/>
        <v>1.893</v>
      </c>
      <c r="BV21" s="40">
        <f t="shared" ca="1" si="200"/>
        <v>3.82125</v>
      </c>
      <c r="BW21" s="40">
        <f t="shared" ca="1" si="201"/>
        <v>0.77699999999999991</v>
      </c>
      <c r="BX21" s="40">
        <f t="shared" ca="1" si="202"/>
        <v>1.218</v>
      </c>
      <c r="BY21" s="40">
        <f t="shared" ca="1" si="203"/>
        <v>2.6505000000000001</v>
      </c>
      <c r="BZ21" s="40">
        <f t="shared" ca="1" si="204"/>
        <v>6.3487499999999999</v>
      </c>
      <c r="CA21" s="40">
        <f t="shared" ca="1" si="205"/>
        <v>2.6505000000000001</v>
      </c>
      <c r="CB21" s="40">
        <f t="shared" ca="1" si="206"/>
        <v>3.1894999999999998</v>
      </c>
      <c r="CC21" s="40">
        <f t="shared" ca="1" si="207"/>
        <v>7.9372499999999997</v>
      </c>
      <c r="CD21" s="40">
        <f t="shared" ca="1" si="208"/>
        <v>3.1894999999999998</v>
      </c>
      <c r="CE21" s="40">
        <f t="shared" ca="1" si="209"/>
        <v>0.75</v>
      </c>
    </row>
    <row r="22" spans="1:83" x14ac:dyDescent="0.25">
      <c r="A22" t="str">
        <f>PLANTILLA!D24</f>
        <v>Eckardt Hägerling</v>
      </c>
      <c r="B22">
        <f>PLANTILLA!E24</f>
        <v>17</v>
      </c>
      <c r="C22" s="36">
        <f ca="1">PLANTILLA!F24</f>
        <v>20</v>
      </c>
      <c r="D22" s="242" t="str">
        <f>PLANTILLA!G24</f>
        <v>IMP</v>
      </c>
      <c r="E22" s="33">
        <v>42347</v>
      </c>
      <c r="F22" s="51">
        <f>PLANTILLA!Q24</f>
        <v>5</v>
      </c>
      <c r="G22" s="52">
        <f t="shared" si="141"/>
        <v>0.84515425472851657</v>
      </c>
      <c r="H22" s="52">
        <f t="shared" si="142"/>
        <v>0.92504826128926143</v>
      </c>
      <c r="I22" s="55">
        <f t="shared" ca="1" si="143"/>
        <v>1</v>
      </c>
      <c r="J22" s="42">
        <f>PLANTILLA!I24</f>
        <v>1</v>
      </c>
      <c r="K22" s="50">
        <f>PLANTILLA!X24</f>
        <v>0</v>
      </c>
      <c r="L22" s="50">
        <f>PLANTILLA!Y24</f>
        <v>5</v>
      </c>
      <c r="M22" s="50">
        <f>PLANTILLA!Z24</f>
        <v>3</v>
      </c>
      <c r="N22" s="50">
        <f>PLANTILLA!AA24</f>
        <v>4</v>
      </c>
      <c r="O22" s="50">
        <f>PLANTILLA!AB24</f>
        <v>2.3828</v>
      </c>
      <c r="P22" s="50">
        <f>PLANTILLA!AC24</f>
        <v>3</v>
      </c>
      <c r="Q22" s="50">
        <f>PLANTILLA!AD24</f>
        <v>0</v>
      </c>
      <c r="R22" s="50">
        <f t="shared" si="144"/>
        <v>1.5956999999999999</v>
      </c>
      <c r="S22" s="50">
        <f t="shared" si="145"/>
        <v>0.15</v>
      </c>
      <c r="T22" s="50">
        <f t="shared" si="146"/>
        <v>0.2</v>
      </c>
      <c r="U22" s="50">
        <f t="shared" ca="1" si="147"/>
        <v>0.84515425472851657</v>
      </c>
      <c r="V22" s="50">
        <f t="shared" ca="1" si="148"/>
        <v>0.92504826128926143</v>
      </c>
      <c r="W22" s="40">
        <f t="shared" ca="1" si="149"/>
        <v>2.2530000000000001</v>
      </c>
      <c r="X22" s="40">
        <f t="shared" ca="1" si="150"/>
        <v>3.4159999999999999</v>
      </c>
      <c r="Y22" s="40">
        <f t="shared" ca="1" si="151"/>
        <v>2.2530000000000001</v>
      </c>
      <c r="Z22" s="40">
        <f t="shared" ca="1" si="152"/>
        <v>3.0960000000000001</v>
      </c>
      <c r="AA22" s="40">
        <f t="shared" ca="1" si="153"/>
        <v>6</v>
      </c>
      <c r="AB22" s="40">
        <f t="shared" ca="1" si="154"/>
        <v>1.548</v>
      </c>
      <c r="AC22" s="40">
        <f t="shared" ca="1" si="155"/>
        <v>0.95199999999999996</v>
      </c>
      <c r="AD22" s="40">
        <f t="shared" ca="1" si="156"/>
        <v>2.2679999999999998</v>
      </c>
      <c r="AE22" s="40">
        <f t="shared" ca="1" si="157"/>
        <v>4.3380000000000001</v>
      </c>
      <c r="AF22" s="40">
        <f t="shared" ca="1" si="158"/>
        <v>1.1339999999999999</v>
      </c>
      <c r="AG22" s="40">
        <f t="shared" ca="1" si="159"/>
        <v>1.54</v>
      </c>
      <c r="AH22" s="40">
        <f t="shared" ca="1" si="160"/>
        <v>5.5200000000000005</v>
      </c>
      <c r="AI22" s="40">
        <f t="shared" ca="1" si="161"/>
        <v>2.484</v>
      </c>
      <c r="AJ22" s="40">
        <f t="shared" ca="1" si="162"/>
        <v>0.66800000000000004</v>
      </c>
      <c r="AK22" s="40">
        <f t="shared" ca="1" si="163"/>
        <v>2.94</v>
      </c>
      <c r="AL22" s="40">
        <f t="shared" ca="1" si="164"/>
        <v>4.524</v>
      </c>
      <c r="AM22" s="40">
        <f t="shared" ca="1" si="165"/>
        <v>4.2479999999999993</v>
      </c>
      <c r="AN22" s="40">
        <f t="shared" ca="1" si="166"/>
        <v>0.16700000000000001</v>
      </c>
      <c r="AO22" s="40">
        <f t="shared" ca="1" si="167"/>
        <v>0.74756159999999994</v>
      </c>
      <c r="AP22" s="40">
        <f t="shared" ca="1" si="168"/>
        <v>1.62</v>
      </c>
      <c r="AQ22" s="40">
        <f t="shared" ca="1" si="169"/>
        <v>3.5640000000000001</v>
      </c>
      <c r="AR22" s="40">
        <f t="shared" ca="1" si="170"/>
        <v>0.81</v>
      </c>
      <c r="AS22" s="40">
        <f t="shared" ca="1" si="171"/>
        <v>3.7759999999999998</v>
      </c>
      <c r="AT22" s="40">
        <f t="shared" ca="1" si="172"/>
        <v>0.43976400000000004</v>
      </c>
      <c r="AU22" s="40">
        <f t="shared" ca="1" si="173"/>
        <v>1.0979359999999998</v>
      </c>
      <c r="AV22" s="40">
        <f t="shared" ca="1" si="174"/>
        <v>0.21988200000000002</v>
      </c>
      <c r="AW22" s="40">
        <f t="shared" ca="1" si="175"/>
        <v>1.1339999999999999</v>
      </c>
      <c r="AX22" s="40">
        <f t="shared" ca="1" si="176"/>
        <v>2.4000000000000004</v>
      </c>
      <c r="AY22" s="40">
        <f t="shared" ca="1" si="177"/>
        <v>0.56699999999999995</v>
      </c>
      <c r="AZ22" s="40">
        <f t="shared" ca="1" si="178"/>
        <v>4</v>
      </c>
      <c r="BA22" s="40">
        <f t="shared" ca="1" si="179"/>
        <v>0.85584840000000006</v>
      </c>
      <c r="BB22" s="40">
        <f t="shared" ca="1" si="180"/>
        <v>1.9935347999999999</v>
      </c>
      <c r="BC22" s="40">
        <f t="shared" ca="1" si="181"/>
        <v>0.42792420000000003</v>
      </c>
      <c r="BD22" s="40">
        <f t="shared" ca="1" si="182"/>
        <v>1.746</v>
      </c>
      <c r="BE22" s="40">
        <f t="shared" ca="1" si="183"/>
        <v>2.0880000000000001</v>
      </c>
      <c r="BF22" s="40">
        <f t="shared" ca="1" si="184"/>
        <v>3.524</v>
      </c>
      <c r="BG22" s="40">
        <f t="shared" ca="1" si="185"/>
        <v>3.9355819999999997</v>
      </c>
      <c r="BH22" s="40">
        <f t="shared" ca="1" si="186"/>
        <v>0.81525479999999995</v>
      </c>
      <c r="BI22" s="40">
        <f t="shared" ca="1" si="187"/>
        <v>2.91</v>
      </c>
      <c r="BJ22" s="40">
        <f t="shared" ca="1" si="188"/>
        <v>1.5840000000000001</v>
      </c>
      <c r="BK22" s="40">
        <f t="shared" ca="1" si="189"/>
        <v>1.524</v>
      </c>
      <c r="BL22" s="40">
        <f t="shared" ca="1" si="190"/>
        <v>4.0449428000000003</v>
      </c>
      <c r="BM22" s="40">
        <f t="shared" ca="1" si="191"/>
        <v>0.1759056</v>
      </c>
      <c r="BN22" s="40">
        <f t="shared" ca="1" si="192"/>
        <v>1.08</v>
      </c>
      <c r="BO22" s="40">
        <f t="shared" ca="1" si="193"/>
        <v>0.40800000000000003</v>
      </c>
      <c r="BP22" s="40">
        <f t="shared" ca="1" si="194"/>
        <v>1.22</v>
      </c>
      <c r="BQ22" s="40">
        <f t="shared" ca="1" si="195"/>
        <v>5.9674807999999997</v>
      </c>
      <c r="BR22" s="40">
        <f t="shared" ca="1" si="196"/>
        <v>0.45667800000000003</v>
      </c>
      <c r="BS22" s="40">
        <f t="shared" ca="1" si="197"/>
        <v>1.7039999999999997</v>
      </c>
      <c r="BT22" s="40">
        <f t="shared" ca="1" si="198"/>
        <v>1.464</v>
      </c>
      <c r="BU22" s="40">
        <f t="shared" ca="1" si="199"/>
        <v>2.524</v>
      </c>
      <c r="BV22" s="40">
        <f t="shared" ca="1" si="200"/>
        <v>4.1628803999999997</v>
      </c>
      <c r="BW22" s="40">
        <f t="shared" ca="1" si="201"/>
        <v>0.50065439999999994</v>
      </c>
      <c r="BX22" s="40">
        <f t="shared" ca="1" si="202"/>
        <v>1.6240000000000001</v>
      </c>
      <c r="BY22" s="40">
        <f t="shared" ca="1" si="203"/>
        <v>2.0737000000000001</v>
      </c>
      <c r="BZ22" s="40">
        <f t="shared" ca="1" si="204"/>
        <v>4.1688603999999998</v>
      </c>
      <c r="CA22" s="40">
        <f t="shared" ca="1" si="205"/>
        <v>2.0737000000000001</v>
      </c>
      <c r="CB22" s="40">
        <f t="shared" ca="1" si="206"/>
        <v>2.6253576000000001</v>
      </c>
      <c r="CC22" s="40">
        <f t="shared" ca="1" si="207"/>
        <v>5.2482531999999997</v>
      </c>
      <c r="CD22" s="40">
        <f t="shared" ca="1" si="208"/>
        <v>2.6253576000000001</v>
      </c>
      <c r="CE22" s="40">
        <f t="shared" ca="1" si="209"/>
        <v>1</v>
      </c>
    </row>
    <row r="23" spans="1:83" x14ac:dyDescent="0.25">
      <c r="A23" t="str">
        <f>PLANTILLA!D25</f>
        <v>Paulo Beltrán</v>
      </c>
      <c r="B23">
        <f>PLANTILLA!E25</f>
        <v>17</v>
      </c>
      <c r="C23" s="36">
        <f ca="1">PLANTILLA!F25</f>
        <v>28</v>
      </c>
      <c r="D23" s="242" t="str">
        <f>PLANTILLA!G25</f>
        <v>RAP</v>
      </c>
      <c r="E23" s="33">
        <v>42348</v>
      </c>
      <c r="F23" s="51">
        <f>PLANTILLA!Q25</f>
        <v>4</v>
      </c>
      <c r="G23" s="52">
        <f t="shared" si="141"/>
        <v>0.7559289460184544</v>
      </c>
      <c r="H23" s="52">
        <f t="shared" si="142"/>
        <v>0.84430867747355465</v>
      </c>
      <c r="I23" s="55">
        <f t="shared" ca="1" si="143"/>
        <v>1</v>
      </c>
      <c r="J23" s="42">
        <f>PLANTILLA!I25</f>
        <v>0.5</v>
      </c>
      <c r="K23" s="50">
        <f>PLANTILLA!X25</f>
        <v>0</v>
      </c>
      <c r="L23" s="50">
        <f>PLANTILLA!Y25</f>
        <v>4</v>
      </c>
      <c r="M23" s="50">
        <f>PLANTILLA!Z25</f>
        <v>2</v>
      </c>
      <c r="N23" s="50">
        <f>PLANTILLA!AA25</f>
        <v>5</v>
      </c>
      <c r="O23" s="50">
        <f>PLANTILLA!AB25</f>
        <v>3.29</v>
      </c>
      <c r="P23" s="50">
        <f>PLANTILLA!AC25</f>
        <v>4</v>
      </c>
      <c r="Q23" s="50">
        <f>PLANTILLA!AD25</f>
        <v>1</v>
      </c>
      <c r="R23" s="50">
        <f t="shared" si="144"/>
        <v>1.6975</v>
      </c>
      <c r="S23" s="50">
        <f t="shared" si="145"/>
        <v>0.22999999999999998</v>
      </c>
      <c r="T23" s="50">
        <f t="shared" si="146"/>
        <v>0.19</v>
      </c>
      <c r="U23" s="50">
        <f t="shared" ca="1" si="147"/>
        <v>1.2084481755806247</v>
      </c>
      <c r="V23" s="50">
        <f t="shared" ca="1" si="148"/>
        <v>1.3497343715885415</v>
      </c>
      <c r="W23" s="40">
        <f t="shared" ca="1" si="149"/>
        <v>1.626601085047126</v>
      </c>
      <c r="X23" s="40">
        <f t="shared" ca="1" si="150"/>
        <v>2.4728270341304004</v>
      </c>
      <c r="Y23" s="40">
        <f t="shared" ca="1" si="151"/>
        <v>1.626601085047126</v>
      </c>
      <c r="Z23" s="40">
        <f t="shared" ca="1" si="152"/>
        <v>2.3728913629831809</v>
      </c>
      <c r="AA23" s="40">
        <f t="shared" ca="1" si="153"/>
        <v>4.5986266724480247</v>
      </c>
      <c r="AB23" s="40">
        <f t="shared" ca="1" si="154"/>
        <v>1.1864456814915905</v>
      </c>
      <c r="AC23" s="40">
        <f t="shared" ca="1" si="155"/>
        <v>0.61847314804262998</v>
      </c>
      <c r="AD23" s="40">
        <f t="shared" ca="1" si="156"/>
        <v>1.7382808821853533</v>
      </c>
      <c r="AE23" s="40">
        <f t="shared" ca="1" si="157"/>
        <v>3.3248070841799215</v>
      </c>
      <c r="AF23" s="40">
        <f t="shared" ca="1" si="158"/>
        <v>0.86914044109267663</v>
      </c>
      <c r="AG23" s="40">
        <f t="shared" ca="1" si="159"/>
        <v>1.0004712688924897</v>
      </c>
      <c r="AH23" s="40">
        <f t="shared" ca="1" si="160"/>
        <v>4.2307365386521827</v>
      </c>
      <c r="AI23" s="40">
        <f t="shared" ca="1" si="161"/>
        <v>1.9038314423934821</v>
      </c>
      <c r="AJ23" s="40">
        <f t="shared" ca="1" si="162"/>
        <v>0.4339706542988202</v>
      </c>
      <c r="AK23" s="40">
        <f t="shared" ca="1" si="163"/>
        <v>3.2919924833994383</v>
      </c>
      <c r="AL23" s="40">
        <f t="shared" ca="1" si="164"/>
        <v>3.4673645110258104</v>
      </c>
      <c r="AM23" s="40">
        <f t="shared" ca="1" si="165"/>
        <v>3.2558276840932012</v>
      </c>
      <c r="AN23" s="40">
        <f t="shared" ca="1" si="166"/>
        <v>0.26697065429882022</v>
      </c>
      <c r="AO23" s="40">
        <f t="shared" ca="1" si="167"/>
        <v>0.66128448166503118</v>
      </c>
      <c r="AP23" s="40">
        <f t="shared" ca="1" si="168"/>
        <v>1.2416292015609667</v>
      </c>
      <c r="AQ23" s="40">
        <f t="shared" ca="1" si="169"/>
        <v>2.7315842434341264</v>
      </c>
      <c r="AR23" s="40">
        <f t="shared" ca="1" si="170"/>
        <v>0.62081460078048334</v>
      </c>
      <c r="AS23" s="40">
        <f t="shared" ca="1" si="171"/>
        <v>2.4531035787909357</v>
      </c>
      <c r="AT23" s="40">
        <f t="shared" ca="1" si="172"/>
        <v>0.50552146741824333</v>
      </c>
      <c r="AU23" s="40">
        <f t="shared" ca="1" si="173"/>
        <v>1.2621976150272711</v>
      </c>
      <c r="AV23" s="40">
        <f t="shared" ca="1" si="174"/>
        <v>0.25276073370912167</v>
      </c>
      <c r="AW23" s="40">
        <f t="shared" ca="1" si="175"/>
        <v>0.86914044109267663</v>
      </c>
      <c r="AX23" s="40">
        <f t="shared" ca="1" si="176"/>
        <v>1.8394506689792101</v>
      </c>
      <c r="AY23" s="40">
        <f t="shared" ca="1" si="177"/>
        <v>0.43457022054633831</v>
      </c>
      <c r="AZ23" s="40">
        <f t="shared" ca="1" si="178"/>
        <v>2.5986266724480251</v>
      </c>
      <c r="BA23" s="40">
        <f t="shared" ca="1" si="179"/>
        <v>0.98382254812935033</v>
      </c>
      <c r="BB23" s="40">
        <f t="shared" ca="1" si="180"/>
        <v>2.2917332965188617</v>
      </c>
      <c r="BC23" s="40">
        <f t="shared" ca="1" si="181"/>
        <v>0.49191127406467516</v>
      </c>
      <c r="BD23" s="40">
        <f t="shared" ca="1" si="182"/>
        <v>1.338200361682375</v>
      </c>
      <c r="BE23" s="40">
        <f t="shared" ca="1" si="183"/>
        <v>1.6003220820119124</v>
      </c>
      <c r="BF23" s="40">
        <f t="shared" ca="1" si="184"/>
        <v>2.2893900984267104</v>
      </c>
      <c r="BG23" s="40">
        <f t="shared" ca="1" si="185"/>
        <v>4.4385291118062939</v>
      </c>
      <c r="BH23" s="40">
        <f t="shared" ca="1" si="186"/>
        <v>0.93715902805997409</v>
      </c>
      <c r="BI23" s="40">
        <f t="shared" ca="1" si="187"/>
        <v>2.230333936137292</v>
      </c>
      <c r="BJ23" s="40">
        <f t="shared" ca="1" si="188"/>
        <v>1.2140374415262787</v>
      </c>
      <c r="BK23" s="40">
        <f t="shared" ca="1" si="189"/>
        <v>0.99007676220269758</v>
      </c>
      <c r="BL23" s="40">
        <f t="shared" ca="1" si="190"/>
        <v>4.5494897117195734</v>
      </c>
      <c r="BM23" s="40">
        <f t="shared" ca="1" si="191"/>
        <v>0.20220858696729729</v>
      </c>
      <c r="BN23" s="40">
        <f t="shared" ca="1" si="192"/>
        <v>0.82775280104064441</v>
      </c>
      <c r="BO23" s="40">
        <f t="shared" ca="1" si="193"/>
        <v>0.31270661372646569</v>
      </c>
      <c r="BP23" s="40">
        <f t="shared" ca="1" si="194"/>
        <v>0.79258113509664763</v>
      </c>
      <c r="BQ23" s="40">
        <f t="shared" ca="1" si="195"/>
        <v>6.7107739007681602</v>
      </c>
      <c r="BR23" s="40">
        <f t="shared" ca="1" si="196"/>
        <v>0.52496460078048346</v>
      </c>
      <c r="BS23" s="40">
        <f t="shared" ca="1" si="197"/>
        <v>1.306009974975239</v>
      </c>
      <c r="BT23" s="40">
        <f t="shared" ca="1" si="198"/>
        <v>1.122064908077318</v>
      </c>
      <c r="BU23" s="40">
        <f t="shared" ca="1" si="199"/>
        <v>1.639733430314704</v>
      </c>
      <c r="BV23" s="40">
        <f t="shared" ca="1" si="200"/>
        <v>4.6807408718409818</v>
      </c>
      <c r="BW23" s="40">
        <f t="shared" ca="1" si="201"/>
        <v>0.57551674752230775</v>
      </c>
      <c r="BX23" s="40">
        <f t="shared" ca="1" si="202"/>
        <v>1.0550424290138982</v>
      </c>
      <c r="BY23" s="40">
        <f t="shared" ca="1" si="203"/>
        <v>2.3623844963454208</v>
      </c>
      <c r="BZ23" s="40">
        <f t="shared" ca="1" si="204"/>
        <v>4.7925236331764758</v>
      </c>
      <c r="CA23" s="40">
        <f t="shared" ca="1" si="205"/>
        <v>2.3623844963454208</v>
      </c>
      <c r="CB23" s="40">
        <f t="shared" ca="1" si="206"/>
        <v>2.9851244169351197</v>
      </c>
      <c r="CC23" s="40">
        <f t="shared" ca="1" si="207"/>
        <v>6.0335299145813455</v>
      </c>
      <c r="CD23" s="40">
        <f t="shared" ca="1" si="208"/>
        <v>2.9851244169351197</v>
      </c>
      <c r="CE23" s="40">
        <f t="shared" ca="1" si="209"/>
        <v>0.64965666811200629</v>
      </c>
    </row>
    <row r="24" spans="1:83" x14ac:dyDescent="0.25">
      <c r="A24" t="str">
        <f>PLANTILLA!D26</f>
        <v>Nicolás Eans</v>
      </c>
      <c r="B24">
        <f>PLANTILLA!E26</f>
        <v>17</v>
      </c>
      <c r="C24" s="36">
        <f ca="1">PLANTILLA!F26</f>
        <v>61</v>
      </c>
      <c r="D24" s="242" t="str">
        <f>PLANTILLA!G26</f>
        <v>TEC</v>
      </c>
      <c r="E24" s="33">
        <v>42349</v>
      </c>
      <c r="F24" s="51">
        <f>PLANTILLA!Q26</f>
        <v>6</v>
      </c>
      <c r="G24" s="52">
        <f t="shared" si="141"/>
        <v>0.92582009977255142</v>
      </c>
      <c r="H24" s="52">
        <f t="shared" si="142"/>
        <v>0.99928545900129484</v>
      </c>
      <c r="I24" s="55">
        <f t="shared" ca="1" si="143"/>
        <v>1</v>
      </c>
      <c r="J24" s="42">
        <f>PLANTILLA!I26</f>
        <v>0.5</v>
      </c>
      <c r="K24" s="50">
        <f>PLANTILLA!X26</f>
        <v>0</v>
      </c>
      <c r="L24" s="50">
        <f>PLANTILLA!Y26</f>
        <v>5</v>
      </c>
      <c r="M24" s="50">
        <f>PLANTILLA!Z26</f>
        <v>2</v>
      </c>
      <c r="N24" s="50">
        <f>PLANTILLA!AA26</f>
        <v>3</v>
      </c>
      <c r="O24" s="50">
        <f>PLANTILLA!AB26</f>
        <v>4.5</v>
      </c>
      <c r="P24" s="50">
        <f>PLANTILLA!AC26</f>
        <v>6</v>
      </c>
      <c r="Q24" s="50">
        <f>PLANTILLA!AD26</f>
        <v>0</v>
      </c>
      <c r="R24" s="50">
        <f t="shared" si="144"/>
        <v>2.125</v>
      </c>
      <c r="S24" s="50">
        <f t="shared" si="145"/>
        <v>0.3</v>
      </c>
      <c r="T24" s="50">
        <f t="shared" si="146"/>
        <v>0.2</v>
      </c>
      <c r="U24" s="50">
        <f t="shared" ca="1" si="147"/>
        <v>0.5542206056123411</v>
      </c>
      <c r="V24" s="50">
        <f t="shared" ca="1" si="148"/>
        <v>0.59819892914764261</v>
      </c>
      <c r="W24" s="40">
        <f t="shared" ca="1" si="149"/>
        <v>1.902601085047126</v>
      </c>
      <c r="X24" s="40">
        <f t="shared" ca="1" si="150"/>
        <v>2.8978270341304002</v>
      </c>
      <c r="Y24" s="40">
        <f t="shared" ca="1" si="151"/>
        <v>1.902601085047126</v>
      </c>
      <c r="Z24" s="40">
        <f t="shared" ca="1" si="152"/>
        <v>2.8888913629831809</v>
      </c>
      <c r="AA24" s="40">
        <f t="shared" ca="1" si="153"/>
        <v>5.5986266724480247</v>
      </c>
      <c r="AB24" s="40">
        <f t="shared" ca="1" si="154"/>
        <v>1.4444456814915905</v>
      </c>
      <c r="AC24" s="40">
        <f t="shared" ca="1" si="155"/>
        <v>0.61847314804262998</v>
      </c>
      <c r="AD24" s="40">
        <f t="shared" ca="1" si="156"/>
        <v>2.1162808821853534</v>
      </c>
      <c r="AE24" s="40">
        <f t="shared" ca="1" si="157"/>
        <v>4.0478070841799214</v>
      </c>
      <c r="AF24" s="40">
        <f t="shared" ca="1" si="158"/>
        <v>1.0581404410926767</v>
      </c>
      <c r="AG24" s="40">
        <f t="shared" ca="1" si="159"/>
        <v>1.0004712688924897</v>
      </c>
      <c r="AH24" s="40">
        <f t="shared" ca="1" si="160"/>
        <v>5.1507365386521826</v>
      </c>
      <c r="AI24" s="40">
        <f t="shared" ca="1" si="161"/>
        <v>2.3178314423934823</v>
      </c>
      <c r="AJ24" s="40">
        <f t="shared" ca="1" si="162"/>
        <v>0.4339706542988202</v>
      </c>
      <c r="AK24" s="40">
        <f t="shared" ca="1" si="163"/>
        <v>2.1159924833994386</v>
      </c>
      <c r="AL24" s="40">
        <f t="shared" ca="1" si="164"/>
        <v>4.2213645110258105</v>
      </c>
      <c r="AM24" s="40">
        <f t="shared" ca="1" si="165"/>
        <v>3.9638276840932014</v>
      </c>
      <c r="AN24" s="40">
        <f t="shared" ca="1" si="166"/>
        <v>9.9970654298820211E-2</v>
      </c>
      <c r="AO24" s="40">
        <f t="shared" ca="1" si="167"/>
        <v>0.78440448166503118</v>
      </c>
      <c r="AP24" s="40">
        <f t="shared" ca="1" si="168"/>
        <v>1.5116292015609667</v>
      </c>
      <c r="AQ24" s="40">
        <f t="shared" ca="1" si="169"/>
        <v>3.3255842434341267</v>
      </c>
      <c r="AR24" s="40">
        <f t="shared" ca="1" si="170"/>
        <v>0.75581460078048335</v>
      </c>
      <c r="AS24" s="40">
        <f t="shared" ca="1" si="171"/>
        <v>2.4531035787909357</v>
      </c>
      <c r="AT24" s="40">
        <f t="shared" ca="1" si="172"/>
        <v>0.66282146741824322</v>
      </c>
      <c r="AU24" s="40">
        <f t="shared" ca="1" si="173"/>
        <v>1.753397615027271</v>
      </c>
      <c r="AV24" s="40">
        <f t="shared" ca="1" si="174"/>
        <v>0.33141073370912161</v>
      </c>
      <c r="AW24" s="40">
        <f t="shared" ca="1" si="175"/>
        <v>1.0581404410926767</v>
      </c>
      <c r="AX24" s="40">
        <f t="shared" ca="1" si="176"/>
        <v>2.23945066897921</v>
      </c>
      <c r="AY24" s="40">
        <f t="shared" ca="1" si="177"/>
        <v>0.52907022054633834</v>
      </c>
      <c r="AZ24" s="40">
        <f t="shared" ca="1" si="178"/>
        <v>2.5986266724480251</v>
      </c>
      <c r="BA24" s="40">
        <f t="shared" ca="1" si="179"/>
        <v>1.2899525481293503</v>
      </c>
      <c r="BB24" s="40">
        <f t="shared" ca="1" si="180"/>
        <v>3.1243432965188616</v>
      </c>
      <c r="BC24" s="40">
        <f t="shared" ca="1" si="181"/>
        <v>0.64497627406467517</v>
      </c>
      <c r="BD24" s="40">
        <f t="shared" ca="1" si="182"/>
        <v>1.6292003616823751</v>
      </c>
      <c r="BE24" s="40">
        <f t="shared" ca="1" si="183"/>
        <v>1.9483220820119125</v>
      </c>
      <c r="BF24" s="40">
        <f t="shared" ca="1" si="184"/>
        <v>2.2893900984267104</v>
      </c>
      <c r="BG24" s="40">
        <f t="shared" ca="1" si="185"/>
        <v>3.6716791118062941</v>
      </c>
      <c r="BH24" s="40">
        <f t="shared" ca="1" si="186"/>
        <v>1.2287690280599739</v>
      </c>
      <c r="BI24" s="40">
        <f t="shared" ca="1" si="187"/>
        <v>2.7153339361372919</v>
      </c>
      <c r="BJ24" s="40">
        <f t="shared" ca="1" si="188"/>
        <v>1.4780374415262787</v>
      </c>
      <c r="BK24" s="40">
        <f t="shared" ca="1" si="189"/>
        <v>0.99007676220269758</v>
      </c>
      <c r="BL24" s="40">
        <f t="shared" ca="1" si="190"/>
        <v>3.4466997117195741</v>
      </c>
      <c r="BM24" s="40">
        <f t="shared" ca="1" si="191"/>
        <v>0.2651285869672973</v>
      </c>
      <c r="BN24" s="40">
        <f t="shared" ca="1" si="192"/>
        <v>1.0077528010406445</v>
      </c>
      <c r="BO24" s="40">
        <f t="shared" ca="1" si="193"/>
        <v>0.38070661372646569</v>
      </c>
      <c r="BP24" s="40">
        <f t="shared" ca="1" si="194"/>
        <v>0.79258113509664763</v>
      </c>
      <c r="BQ24" s="40">
        <f t="shared" ca="1" si="195"/>
        <v>5.0568339007681598</v>
      </c>
      <c r="BR24" s="40">
        <f t="shared" ca="1" si="196"/>
        <v>0.68831460078048334</v>
      </c>
      <c r="BS24" s="40">
        <f t="shared" ca="1" si="197"/>
        <v>1.5900099749752388</v>
      </c>
      <c r="BT24" s="40">
        <f t="shared" ca="1" si="198"/>
        <v>1.366064908077318</v>
      </c>
      <c r="BU24" s="40">
        <f t="shared" ca="1" si="199"/>
        <v>1.639733430314704</v>
      </c>
      <c r="BV24" s="40">
        <f t="shared" ca="1" si="200"/>
        <v>3.5102708718409823</v>
      </c>
      <c r="BW24" s="40">
        <f t="shared" ca="1" si="201"/>
        <v>0.75459674752230765</v>
      </c>
      <c r="BX24" s="40">
        <f t="shared" ca="1" si="202"/>
        <v>1.0550424290138982</v>
      </c>
      <c r="BY24" s="40">
        <f t="shared" ca="1" si="203"/>
        <v>3.0297746301412629</v>
      </c>
      <c r="BZ24" s="40">
        <f t="shared" ca="1" si="204"/>
        <v>6.6155536331764759</v>
      </c>
      <c r="CA24" s="40">
        <f t="shared" ca="1" si="205"/>
        <v>3.0297746301412629</v>
      </c>
      <c r="CB24" s="40">
        <f t="shared" ca="1" si="206"/>
        <v>3.2349444169351198</v>
      </c>
      <c r="CC24" s="40">
        <f t="shared" ca="1" si="207"/>
        <v>8.4800199145813462</v>
      </c>
      <c r="CD24" s="40">
        <f t="shared" ca="1" si="208"/>
        <v>3.2349444169351198</v>
      </c>
      <c r="CE24" s="40">
        <f t="shared" ca="1" si="209"/>
        <v>0.64965666811200629</v>
      </c>
    </row>
    <row r="25" spans="1:83" x14ac:dyDescent="0.25">
      <c r="A25" t="str">
        <f>PLANTILLA!D27</f>
        <v>Roberto Montero</v>
      </c>
      <c r="B25">
        <f>PLANTILLA!E27</f>
        <v>17</v>
      </c>
      <c r="C25" s="36">
        <f ca="1">PLANTILLA!F27</f>
        <v>68</v>
      </c>
      <c r="D25" s="242" t="str">
        <f>PLANTILLA!G27</f>
        <v>TEC</v>
      </c>
      <c r="E25" s="33">
        <v>42350</v>
      </c>
      <c r="F25" s="51">
        <f>PLANTILLA!Q27</f>
        <v>5</v>
      </c>
      <c r="G25" s="52">
        <f t="shared" si="141"/>
        <v>0.84515425472851657</v>
      </c>
      <c r="H25" s="52">
        <f t="shared" si="142"/>
        <v>0.92504826128926143</v>
      </c>
      <c r="I25" s="55">
        <f t="shared" ca="1" si="143"/>
        <v>1</v>
      </c>
      <c r="J25" s="42">
        <f>PLANTILLA!I27</f>
        <v>0.5</v>
      </c>
      <c r="K25" s="50">
        <f>PLANTILLA!X27</f>
        <v>0</v>
      </c>
      <c r="L25" s="50">
        <f>PLANTILLA!Y27</f>
        <v>6</v>
      </c>
      <c r="M25" s="50">
        <f>PLANTILLA!Z27</f>
        <v>4</v>
      </c>
      <c r="N25" s="50">
        <f>PLANTILLA!AA27</f>
        <v>4</v>
      </c>
      <c r="O25" s="50">
        <f>PLANTILLA!AB27</f>
        <v>3.0528</v>
      </c>
      <c r="P25" s="50">
        <f>PLANTILLA!AC27</f>
        <v>3</v>
      </c>
      <c r="Q25" s="50">
        <f>PLANTILLA!AD27</f>
        <v>3</v>
      </c>
      <c r="R25" s="50">
        <f t="shared" si="144"/>
        <v>1.8881999999999999</v>
      </c>
      <c r="S25" s="50">
        <f t="shared" si="145"/>
        <v>0.24</v>
      </c>
      <c r="T25" s="50">
        <f t="shared" si="146"/>
        <v>0.33</v>
      </c>
      <c r="U25" s="50">
        <f t="shared" ca="1" si="147"/>
        <v>3.0413946433989723</v>
      </c>
      <c r="V25" s="50">
        <f t="shared" ca="1" si="148"/>
        <v>3.328903346377206</v>
      </c>
      <c r="W25" s="40">
        <f t="shared" ca="1" si="149"/>
        <v>2.1786010850471258</v>
      </c>
      <c r="X25" s="40">
        <f t="shared" ca="1" si="150"/>
        <v>3.3228270341304</v>
      </c>
      <c r="Y25" s="40">
        <f t="shared" ca="1" si="151"/>
        <v>2.1786010850471258</v>
      </c>
      <c r="Z25" s="40">
        <f t="shared" ca="1" si="152"/>
        <v>3.404891362983181</v>
      </c>
      <c r="AA25" s="40">
        <f t="shared" ca="1" si="153"/>
        <v>6.5986266724480247</v>
      </c>
      <c r="AB25" s="40">
        <f t="shared" ca="1" si="154"/>
        <v>1.7024456814915905</v>
      </c>
      <c r="AC25" s="40">
        <f t="shared" ca="1" si="155"/>
        <v>1.0944731480426297</v>
      </c>
      <c r="AD25" s="40">
        <f t="shared" ca="1" si="156"/>
        <v>2.4942808821853535</v>
      </c>
      <c r="AE25" s="40">
        <f t="shared" ca="1" si="157"/>
        <v>4.7708070841799213</v>
      </c>
      <c r="AF25" s="40">
        <f t="shared" ca="1" si="158"/>
        <v>1.2471404410926767</v>
      </c>
      <c r="AG25" s="40">
        <f t="shared" ca="1" si="159"/>
        <v>1.7704712688924895</v>
      </c>
      <c r="AH25" s="40">
        <f t="shared" ca="1" si="160"/>
        <v>6.0707365386521825</v>
      </c>
      <c r="AI25" s="40">
        <f t="shared" ca="1" si="161"/>
        <v>2.731831442393482</v>
      </c>
      <c r="AJ25" s="40">
        <f t="shared" ca="1" si="162"/>
        <v>0.76797065429882017</v>
      </c>
      <c r="AK25" s="40">
        <f t="shared" ca="1" si="163"/>
        <v>2.7039924833994382</v>
      </c>
      <c r="AL25" s="40">
        <f t="shared" ca="1" si="164"/>
        <v>4.9753645110258109</v>
      </c>
      <c r="AM25" s="40">
        <f t="shared" ca="1" si="165"/>
        <v>4.6718276840932011</v>
      </c>
      <c r="AN25" s="40">
        <f t="shared" ca="1" si="166"/>
        <v>0.60097065429882024</v>
      </c>
      <c r="AO25" s="40">
        <f t="shared" ca="1" si="167"/>
        <v>0.71620608166503119</v>
      </c>
      <c r="AP25" s="40">
        <f t="shared" ca="1" si="168"/>
        <v>1.7816292015609667</v>
      </c>
      <c r="AQ25" s="40">
        <f t="shared" ca="1" si="169"/>
        <v>3.9195842434341266</v>
      </c>
      <c r="AR25" s="40">
        <f t="shared" ca="1" si="170"/>
        <v>0.89081460078048336</v>
      </c>
      <c r="AS25" s="40">
        <f t="shared" ca="1" si="171"/>
        <v>4.3411035787909347</v>
      </c>
      <c r="AT25" s="40">
        <f t="shared" ca="1" si="172"/>
        <v>0.47468546741824325</v>
      </c>
      <c r="AU25" s="40">
        <f t="shared" ca="1" si="173"/>
        <v>1.0607336150272713</v>
      </c>
      <c r="AV25" s="40">
        <f t="shared" ca="1" si="174"/>
        <v>0.23734273370912162</v>
      </c>
      <c r="AW25" s="40">
        <f t="shared" ca="1" si="175"/>
        <v>1.2471404410926767</v>
      </c>
      <c r="AX25" s="40">
        <f t="shared" ca="1" si="176"/>
        <v>2.6394506689792099</v>
      </c>
      <c r="AY25" s="40">
        <f t="shared" ca="1" si="177"/>
        <v>0.62357022054633837</v>
      </c>
      <c r="AZ25" s="40">
        <f t="shared" ca="1" si="178"/>
        <v>4.5986266724480247</v>
      </c>
      <c r="BA25" s="40">
        <f t="shared" ca="1" si="179"/>
        <v>0.92381094812935027</v>
      </c>
      <c r="BB25" s="40">
        <f t="shared" ca="1" si="180"/>
        <v>2.0008480965188618</v>
      </c>
      <c r="BC25" s="40">
        <f t="shared" ca="1" si="181"/>
        <v>0.46190547406467514</v>
      </c>
      <c r="BD25" s="40">
        <f t="shared" ca="1" si="182"/>
        <v>1.9202003616823751</v>
      </c>
      <c r="BE25" s="40">
        <f t="shared" ca="1" si="183"/>
        <v>2.2963220820119123</v>
      </c>
      <c r="BF25" s="40">
        <f t="shared" ca="1" si="184"/>
        <v>4.0513900984267099</v>
      </c>
      <c r="BG25" s="40">
        <f t="shared" ca="1" si="185"/>
        <v>3.7898111118062938</v>
      </c>
      <c r="BH25" s="40">
        <f t="shared" ca="1" si="186"/>
        <v>0.87999382805997395</v>
      </c>
      <c r="BI25" s="40">
        <f t="shared" ca="1" si="187"/>
        <v>3.2003339361372918</v>
      </c>
      <c r="BJ25" s="40">
        <f t="shared" ca="1" si="188"/>
        <v>1.7420374415262787</v>
      </c>
      <c r="BK25" s="40">
        <f t="shared" ca="1" si="189"/>
        <v>1.7520767622026974</v>
      </c>
      <c r="BL25" s="40">
        <f t="shared" ca="1" si="190"/>
        <v>3.8288125117195735</v>
      </c>
      <c r="BM25" s="40">
        <f t="shared" ca="1" si="191"/>
        <v>0.18987418696729727</v>
      </c>
      <c r="BN25" s="40">
        <f t="shared" ca="1" si="192"/>
        <v>1.1877528010406444</v>
      </c>
      <c r="BO25" s="40">
        <f t="shared" ca="1" si="193"/>
        <v>0.4487066137264657</v>
      </c>
      <c r="BP25" s="40">
        <f t="shared" ca="1" si="194"/>
        <v>1.4025811350966475</v>
      </c>
      <c r="BQ25" s="40">
        <f t="shared" ca="1" si="195"/>
        <v>5.6429347007681594</v>
      </c>
      <c r="BR25" s="40">
        <f t="shared" ca="1" si="196"/>
        <v>0.49294260078048335</v>
      </c>
      <c r="BS25" s="40">
        <f t="shared" ca="1" si="197"/>
        <v>1.8740099749752388</v>
      </c>
      <c r="BT25" s="40">
        <f t="shared" ca="1" si="198"/>
        <v>1.6100649080773179</v>
      </c>
      <c r="BU25" s="40">
        <f t="shared" ca="1" si="199"/>
        <v>2.9017334303147035</v>
      </c>
      <c r="BV25" s="40">
        <f t="shared" ca="1" si="200"/>
        <v>3.9329612718409819</v>
      </c>
      <c r="BW25" s="40">
        <f t="shared" ca="1" si="201"/>
        <v>0.54041114752230768</v>
      </c>
      <c r="BX25" s="40">
        <f t="shared" ca="1" si="202"/>
        <v>1.8670424290138981</v>
      </c>
      <c r="BY25" s="40">
        <f t="shared" ca="1" si="203"/>
        <v>2.3298818301412627</v>
      </c>
      <c r="BZ25" s="40">
        <f t="shared" ca="1" si="204"/>
        <v>4.0807240331764758</v>
      </c>
      <c r="CA25" s="40">
        <f t="shared" ca="1" si="205"/>
        <v>2.3298818301412627</v>
      </c>
      <c r="CB25" s="40">
        <f t="shared" ca="1" si="206"/>
        <v>2.4704420169351193</v>
      </c>
      <c r="CC25" s="40">
        <f t="shared" ca="1" si="207"/>
        <v>4.9460031145813463</v>
      </c>
      <c r="CD25" s="40">
        <f t="shared" ca="1" si="208"/>
        <v>2.4704420169351193</v>
      </c>
      <c r="CE25" s="40">
        <f t="shared" ca="1" si="209"/>
        <v>1.1496566681120062</v>
      </c>
    </row>
    <row r="26" spans="1:83" x14ac:dyDescent="0.25">
      <c r="A26" t="str">
        <f>PLANTILLA!D28</f>
        <v>Roberto Abenoza</v>
      </c>
      <c r="B26">
        <f>PLANTILLA!E28</f>
        <v>17</v>
      </c>
      <c r="C26" s="36">
        <f ca="1">PLANTILLA!F28</f>
        <v>49</v>
      </c>
      <c r="D26" s="242" t="str">
        <f>PLANTILLA!G28</f>
        <v>CAB</v>
      </c>
      <c r="E26" s="33">
        <v>42351</v>
      </c>
      <c r="F26" s="51">
        <f>PLANTILLA!Q28</f>
        <v>5</v>
      </c>
      <c r="G26" s="52">
        <f t="shared" si="141"/>
        <v>0.84515425472851657</v>
      </c>
      <c r="H26" s="52">
        <f t="shared" si="142"/>
        <v>0.92504826128926143</v>
      </c>
      <c r="I26" s="55">
        <f t="shared" ca="1" si="143"/>
        <v>1</v>
      </c>
      <c r="J26" s="42">
        <f>PLANTILLA!I28</f>
        <v>0.5</v>
      </c>
      <c r="K26" s="50">
        <f>PLANTILLA!X28</f>
        <v>0</v>
      </c>
      <c r="L26" s="50">
        <f>PLANTILLA!Y28</f>
        <v>2</v>
      </c>
      <c r="M26" s="50">
        <f>PLANTILLA!Z28</f>
        <v>5</v>
      </c>
      <c r="N26" s="50">
        <f>PLANTILLA!AA28</f>
        <v>3</v>
      </c>
      <c r="O26" s="50">
        <f>PLANTILLA!AB28</f>
        <v>2.1055999999999999</v>
      </c>
      <c r="P26" s="50">
        <f>PLANTILLA!AC28</f>
        <v>5</v>
      </c>
      <c r="Q26" s="50">
        <f>PLANTILLA!AD28</f>
        <v>2</v>
      </c>
      <c r="R26" s="50">
        <f t="shared" si="144"/>
        <v>1.1514</v>
      </c>
      <c r="S26" s="50">
        <f t="shared" si="145"/>
        <v>0.31</v>
      </c>
      <c r="T26" s="50">
        <f t="shared" si="146"/>
        <v>0.13999999999999999</v>
      </c>
      <c r="U26" s="50">
        <f t="shared" ca="1" si="147"/>
        <v>2.1962403886704558</v>
      </c>
      <c r="V26" s="50">
        <f t="shared" ca="1" si="148"/>
        <v>2.4038550850879448</v>
      </c>
      <c r="W26" s="40">
        <f t="shared" ca="1" si="149"/>
        <v>1.0746010850471259</v>
      </c>
      <c r="X26" s="40">
        <f t="shared" ca="1" si="150"/>
        <v>1.6228270341304003</v>
      </c>
      <c r="Y26" s="40">
        <f t="shared" ca="1" si="151"/>
        <v>1.0746010850471259</v>
      </c>
      <c r="Z26" s="40">
        <f t="shared" ca="1" si="152"/>
        <v>1.3408913629831809</v>
      </c>
      <c r="AA26" s="40">
        <f t="shared" ca="1" si="153"/>
        <v>2.5986266724480251</v>
      </c>
      <c r="AB26" s="40">
        <f t="shared" ca="1" si="154"/>
        <v>0.67044568149159045</v>
      </c>
      <c r="AC26" s="40">
        <f t="shared" ca="1" si="155"/>
        <v>1.3324731480426297</v>
      </c>
      <c r="AD26" s="40">
        <f t="shared" ca="1" si="156"/>
        <v>0.98228088218535348</v>
      </c>
      <c r="AE26" s="40">
        <f t="shared" ca="1" si="157"/>
        <v>1.878807084179922</v>
      </c>
      <c r="AF26" s="40">
        <f t="shared" ca="1" si="158"/>
        <v>0.49114044109267674</v>
      </c>
      <c r="AG26" s="40">
        <f t="shared" ca="1" si="159"/>
        <v>2.1554712688924895</v>
      </c>
      <c r="AH26" s="40">
        <f t="shared" ca="1" si="160"/>
        <v>2.3907365386521833</v>
      </c>
      <c r="AI26" s="40">
        <f t="shared" ca="1" si="161"/>
        <v>1.0758314423934823</v>
      </c>
      <c r="AJ26" s="40">
        <f t="shared" ca="1" si="162"/>
        <v>0.9349706542988202</v>
      </c>
      <c r="AK26" s="40">
        <f t="shared" ca="1" si="163"/>
        <v>2.1159924833994386</v>
      </c>
      <c r="AL26" s="40">
        <f t="shared" ca="1" si="164"/>
        <v>1.9593645110258109</v>
      </c>
      <c r="AM26" s="40">
        <f t="shared" ca="1" si="165"/>
        <v>1.8398276840932017</v>
      </c>
      <c r="AN26" s="40">
        <f t="shared" ca="1" si="166"/>
        <v>0.4339706542988202</v>
      </c>
      <c r="AO26" s="40">
        <f t="shared" ca="1" si="167"/>
        <v>0.50400768166503118</v>
      </c>
      <c r="AP26" s="40">
        <f t="shared" ca="1" si="168"/>
        <v>0.70162920156096686</v>
      </c>
      <c r="AQ26" s="40">
        <f t="shared" ca="1" si="169"/>
        <v>1.5435842434341269</v>
      </c>
      <c r="AR26" s="40">
        <f t="shared" ca="1" si="170"/>
        <v>0.35081460078048343</v>
      </c>
      <c r="AS26" s="40">
        <f t="shared" ca="1" si="171"/>
        <v>5.2851035787909346</v>
      </c>
      <c r="AT26" s="40">
        <f t="shared" ca="1" si="172"/>
        <v>0.35154946741824328</v>
      </c>
      <c r="AU26" s="40">
        <f t="shared" ca="1" si="173"/>
        <v>1.2930696150272711</v>
      </c>
      <c r="AV26" s="40">
        <f t="shared" ca="1" si="174"/>
        <v>0.17577473370912164</v>
      </c>
      <c r="AW26" s="40">
        <f t="shared" ca="1" si="175"/>
        <v>0.49114044109267674</v>
      </c>
      <c r="AX26" s="40">
        <f t="shared" ca="1" si="176"/>
        <v>1.03945066897921</v>
      </c>
      <c r="AY26" s="40">
        <f t="shared" ca="1" si="177"/>
        <v>0.24557022054633837</v>
      </c>
      <c r="AZ26" s="40">
        <f t="shared" ca="1" si="178"/>
        <v>5.5986266724480247</v>
      </c>
      <c r="BA26" s="40">
        <f t="shared" ca="1" si="179"/>
        <v>0.68416934812935037</v>
      </c>
      <c r="BB26" s="40">
        <f t="shared" ca="1" si="180"/>
        <v>2.0978528965188619</v>
      </c>
      <c r="BC26" s="40">
        <f t="shared" ca="1" si="181"/>
        <v>0.34208467406467519</v>
      </c>
      <c r="BD26" s="40">
        <f t="shared" ca="1" si="182"/>
        <v>0.75620036168237525</v>
      </c>
      <c r="BE26" s="40">
        <f t="shared" ca="1" si="183"/>
        <v>0.90432208201191266</v>
      </c>
      <c r="BF26" s="40">
        <f t="shared" ca="1" si="184"/>
        <v>4.9323900984267102</v>
      </c>
      <c r="BG26" s="40">
        <f t="shared" ca="1" si="185"/>
        <v>2.9174431118062945</v>
      </c>
      <c r="BH26" s="40">
        <f t="shared" ca="1" si="186"/>
        <v>0.65171862805997405</v>
      </c>
      <c r="BI26" s="40">
        <f t="shared" ca="1" si="187"/>
        <v>1.2603339361372921</v>
      </c>
      <c r="BJ26" s="40">
        <f t="shared" ca="1" si="188"/>
        <v>0.68603744152627866</v>
      </c>
      <c r="BK26" s="40">
        <f t="shared" ca="1" si="189"/>
        <v>2.1330767622026974</v>
      </c>
      <c r="BL26" s="40">
        <f t="shared" ca="1" si="190"/>
        <v>2.9654253117195744</v>
      </c>
      <c r="BM26" s="40">
        <f t="shared" ca="1" si="191"/>
        <v>0.14061978696729729</v>
      </c>
      <c r="BN26" s="40">
        <f t="shared" ca="1" si="192"/>
        <v>0.46775280104064448</v>
      </c>
      <c r="BO26" s="40">
        <f t="shared" ca="1" si="193"/>
        <v>0.17670661372646573</v>
      </c>
      <c r="BP26" s="40">
        <f t="shared" ca="1" si="194"/>
        <v>1.7075811350966474</v>
      </c>
      <c r="BQ26" s="40">
        <f t="shared" ca="1" si="195"/>
        <v>4.3720355007681606</v>
      </c>
      <c r="BR26" s="40">
        <f t="shared" ca="1" si="196"/>
        <v>0.36507060078048342</v>
      </c>
      <c r="BS26" s="40">
        <f t="shared" ca="1" si="197"/>
        <v>0.73800997497523912</v>
      </c>
      <c r="BT26" s="40">
        <f t="shared" ca="1" si="198"/>
        <v>0.63406490807731808</v>
      </c>
      <c r="BU26" s="40">
        <f t="shared" ca="1" si="199"/>
        <v>3.5327334303147038</v>
      </c>
      <c r="BV26" s="40">
        <f t="shared" ca="1" si="200"/>
        <v>3.0481516718409822</v>
      </c>
      <c r="BW26" s="40">
        <f t="shared" ca="1" si="201"/>
        <v>0.40022554752230771</v>
      </c>
      <c r="BX26" s="40">
        <f t="shared" ca="1" si="202"/>
        <v>2.273042429013898</v>
      </c>
      <c r="BY26" s="40">
        <f t="shared" ca="1" si="203"/>
        <v>1.9052844963454212</v>
      </c>
      <c r="BZ26" s="40">
        <f t="shared" ca="1" si="204"/>
        <v>4.7323944331764753</v>
      </c>
      <c r="CA26" s="40">
        <f t="shared" ca="1" si="205"/>
        <v>1.9052844963454212</v>
      </c>
      <c r="CB26" s="40">
        <f t="shared" ca="1" si="206"/>
        <v>2.6349396169351196</v>
      </c>
      <c r="CC26" s="40">
        <f t="shared" ca="1" si="207"/>
        <v>6.5964863145813464</v>
      </c>
      <c r="CD26" s="40">
        <f t="shared" ca="1" si="208"/>
        <v>2.6349396169351196</v>
      </c>
      <c r="CE26" s="40">
        <f t="shared" ca="1" si="209"/>
        <v>1.3996566681120062</v>
      </c>
    </row>
    <row r="27" spans="1:83" x14ac:dyDescent="0.25">
      <c r="A27" t="str">
        <f>PLANTILLA!D29</f>
        <v>Noel Fuster</v>
      </c>
      <c r="B27">
        <f>PLANTILLA!E29</f>
        <v>17</v>
      </c>
      <c r="C27" s="36">
        <f ca="1">PLANTILLA!F29</f>
        <v>17</v>
      </c>
      <c r="D27" s="242" t="str">
        <f>PLANTILLA!G29</f>
        <v>IMP</v>
      </c>
      <c r="E27" s="33">
        <v>42352</v>
      </c>
      <c r="F27" s="51">
        <f>PLANTILLA!Q29</f>
        <v>5</v>
      </c>
      <c r="G27" s="52">
        <f t="shared" si="141"/>
        <v>0.84515425472851657</v>
      </c>
      <c r="H27" s="52">
        <f t="shared" si="142"/>
        <v>0.92504826128926143</v>
      </c>
      <c r="I27" s="55">
        <f t="shared" ca="1" si="143"/>
        <v>1</v>
      </c>
      <c r="J27" s="42">
        <f>PLANTILLA!I29</f>
        <v>0.5</v>
      </c>
      <c r="K27" s="50">
        <f>PLANTILLA!X29</f>
        <v>0</v>
      </c>
      <c r="L27" s="50">
        <f>PLANTILLA!Y29</f>
        <v>4</v>
      </c>
      <c r="M27" s="50">
        <f>PLANTILLA!Z29</f>
        <v>2</v>
      </c>
      <c r="N27" s="50">
        <f>PLANTILLA!AA29</f>
        <v>2</v>
      </c>
      <c r="O27" s="50">
        <f>PLANTILLA!AB29</f>
        <v>3.0413333333333332</v>
      </c>
      <c r="P27" s="50">
        <f>PLANTILLA!AC29</f>
        <v>5</v>
      </c>
      <c r="Q27" s="50">
        <f>PLANTILLA!AD29</f>
        <v>1</v>
      </c>
      <c r="R27" s="50">
        <f t="shared" si="144"/>
        <v>1.6353333333333333</v>
      </c>
      <c r="S27" s="50">
        <f t="shared" si="145"/>
        <v>0.27999999999999997</v>
      </c>
      <c r="T27" s="50">
        <f t="shared" si="146"/>
        <v>0.19</v>
      </c>
      <c r="U27" s="50">
        <f t="shared" ca="1" si="147"/>
        <v>1.3510861339419391</v>
      </c>
      <c r="V27" s="50">
        <f t="shared" ca="1" si="148"/>
        <v>1.4788068237986833</v>
      </c>
      <c r="W27" s="40">
        <f t="shared" ca="1" si="149"/>
        <v>1.626601085047126</v>
      </c>
      <c r="X27" s="40">
        <f t="shared" ca="1" si="150"/>
        <v>2.4728270341304004</v>
      </c>
      <c r="Y27" s="40">
        <f t="shared" ca="1" si="151"/>
        <v>1.626601085047126</v>
      </c>
      <c r="Z27" s="40">
        <f t="shared" ca="1" si="152"/>
        <v>2.3728913629831809</v>
      </c>
      <c r="AA27" s="40">
        <f t="shared" ca="1" si="153"/>
        <v>4.5986266724480247</v>
      </c>
      <c r="AB27" s="40">
        <f t="shared" ca="1" si="154"/>
        <v>1.1864456814915905</v>
      </c>
      <c r="AC27" s="40">
        <f t="shared" ca="1" si="155"/>
        <v>0.61847314804262998</v>
      </c>
      <c r="AD27" s="40">
        <f t="shared" ca="1" si="156"/>
        <v>1.7382808821853533</v>
      </c>
      <c r="AE27" s="40">
        <f t="shared" ca="1" si="157"/>
        <v>3.3248070841799215</v>
      </c>
      <c r="AF27" s="40">
        <f t="shared" ca="1" si="158"/>
        <v>0.86914044109267663</v>
      </c>
      <c r="AG27" s="40">
        <f t="shared" ca="1" si="159"/>
        <v>1.0004712688924897</v>
      </c>
      <c r="AH27" s="40">
        <f t="shared" ca="1" si="160"/>
        <v>4.2307365386521827</v>
      </c>
      <c r="AI27" s="40">
        <f t="shared" ca="1" si="161"/>
        <v>1.9038314423934821</v>
      </c>
      <c r="AJ27" s="40">
        <f t="shared" ca="1" si="162"/>
        <v>0.4339706542988202</v>
      </c>
      <c r="AK27" s="40">
        <f t="shared" ca="1" si="163"/>
        <v>1.5279924833994387</v>
      </c>
      <c r="AL27" s="40">
        <f t="shared" ca="1" si="164"/>
        <v>3.4673645110258104</v>
      </c>
      <c r="AM27" s="40">
        <f t="shared" ca="1" si="165"/>
        <v>3.2558276840932012</v>
      </c>
      <c r="AN27" s="40">
        <f t="shared" ca="1" si="166"/>
        <v>0.26697065429882022</v>
      </c>
      <c r="AO27" s="40">
        <f t="shared" ca="1" si="167"/>
        <v>0.64338048166503126</v>
      </c>
      <c r="AP27" s="40">
        <f t="shared" ca="1" si="168"/>
        <v>1.2416292015609667</v>
      </c>
      <c r="AQ27" s="40">
        <f t="shared" ca="1" si="169"/>
        <v>2.7315842434341264</v>
      </c>
      <c r="AR27" s="40">
        <f t="shared" ca="1" si="170"/>
        <v>0.62081460078048334</v>
      </c>
      <c r="AS27" s="40">
        <f t="shared" ca="1" si="171"/>
        <v>2.4531035787909357</v>
      </c>
      <c r="AT27" s="40">
        <f t="shared" ca="1" si="172"/>
        <v>0.47319480075157661</v>
      </c>
      <c r="AU27" s="40">
        <f t="shared" ca="1" si="173"/>
        <v>1.4053576150272713</v>
      </c>
      <c r="AV27" s="40">
        <f t="shared" ca="1" si="174"/>
        <v>0.2365974003757883</v>
      </c>
      <c r="AW27" s="40">
        <f t="shared" ca="1" si="175"/>
        <v>0.86914044109267663</v>
      </c>
      <c r="AX27" s="40">
        <f t="shared" ca="1" si="176"/>
        <v>1.8394506689792101</v>
      </c>
      <c r="AY27" s="40">
        <f t="shared" ca="1" si="177"/>
        <v>0.43457022054633831</v>
      </c>
      <c r="AZ27" s="40">
        <f t="shared" ca="1" si="178"/>
        <v>2.5986266724480251</v>
      </c>
      <c r="BA27" s="40">
        <f t="shared" ca="1" si="179"/>
        <v>0.92090988146268371</v>
      </c>
      <c r="BB27" s="40">
        <f t="shared" ca="1" si="180"/>
        <v>2.4169379631855286</v>
      </c>
      <c r="BC27" s="40">
        <f t="shared" ca="1" si="181"/>
        <v>0.46045494073134186</v>
      </c>
      <c r="BD27" s="40">
        <f t="shared" ca="1" si="182"/>
        <v>1.338200361682375</v>
      </c>
      <c r="BE27" s="40">
        <f t="shared" ca="1" si="183"/>
        <v>1.6003220820119124</v>
      </c>
      <c r="BF27" s="40">
        <f t="shared" ca="1" si="184"/>
        <v>2.2893900984267104</v>
      </c>
      <c r="BG27" s="40">
        <f t="shared" ca="1" si="185"/>
        <v>2.6381991118062942</v>
      </c>
      <c r="BH27" s="40">
        <f t="shared" ca="1" si="186"/>
        <v>0.87723036139330735</v>
      </c>
      <c r="BI27" s="40">
        <f t="shared" ca="1" si="187"/>
        <v>2.230333936137292</v>
      </c>
      <c r="BJ27" s="40">
        <f t="shared" ca="1" si="188"/>
        <v>1.2140374415262787</v>
      </c>
      <c r="BK27" s="40">
        <f t="shared" ca="1" si="189"/>
        <v>0.99007676220269758</v>
      </c>
      <c r="BL27" s="40">
        <f t="shared" ca="1" si="190"/>
        <v>2.4805077117195742</v>
      </c>
      <c r="BM27" s="40">
        <f t="shared" ca="1" si="191"/>
        <v>0.18927792030063062</v>
      </c>
      <c r="BN27" s="40">
        <f t="shared" ca="1" si="192"/>
        <v>0.82775280104064441</v>
      </c>
      <c r="BO27" s="40">
        <f t="shared" ca="1" si="193"/>
        <v>0.31270661372646569</v>
      </c>
      <c r="BP27" s="40">
        <f t="shared" ca="1" si="194"/>
        <v>0.79258113509664763</v>
      </c>
      <c r="BQ27" s="40">
        <f t="shared" ca="1" si="195"/>
        <v>3.6396552341014936</v>
      </c>
      <c r="BR27" s="40">
        <f t="shared" ca="1" si="196"/>
        <v>0.49139460078048341</v>
      </c>
      <c r="BS27" s="40">
        <f t="shared" ca="1" si="197"/>
        <v>1.306009974975239</v>
      </c>
      <c r="BT27" s="40">
        <f t="shared" ca="1" si="198"/>
        <v>1.122064908077318</v>
      </c>
      <c r="BU27" s="40">
        <f t="shared" ca="1" si="199"/>
        <v>1.639733430314704</v>
      </c>
      <c r="BV27" s="40">
        <f t="shared" ca="1" si="200"/>
        <v>2.5267482051743158</v>
      </c>
      <c r="BW27" s="40">
        <f t="shared" ca="1" si="201"/>
        <v>0.53871408085564099</v>
      </c>
      <c r="BX27" s="40">
        <f t="shared" ca="1" si="202"/>
        <v>1.0550424290138982</v>
      </c>
      <c r="BY27" s="40">
        <f t="shared" ca="1" si="203"/>
        <v>1.9952178296787544</v>
      </c>
      <c r="BZ27" s="40">
        <f t="shared" ca="1" si="204"/>
        <v>5.2404976331764761</v>
      </c>
      <c r="CA27" s="40">
        <f t="shared" ca="1" si="205"/>
        <v>1.9952178296787544</v>
      </c>
      <c r="CB27" s="40">
        <f t="shared" ca="1" si="206"/>
        <v>2.5468137502684529</v>
      </c>
      <c r="CC27" s="40">
        <f t="shared" ca="1" si="207"/>
        <v>6.9417719145813459</v>
      </c>
      <c r="CD27" s="40">
        <f t="shared" ca="1" si="208"/>
        <v>2.5468137502684529</v>
      </c>
      <c r="CE27" s="40">
        <f t="shared" ca="1" si="209"/>
        <v>0.64965666811200629</v>
      </c>
    </row>
    <row r="28" spans="1:83" x14ac:dyDescent="0.25">
      <c r="A28" t="str">
        <f>PLANTILLA!D30</f>
        <v>Marc Dolz</v>
      </c>
      <c r="B28">
        <f>PLANTILLA!E30</f>
        <v>17</v>
      </c>
      <c r="C28" s="36">
        <f ca="1">PLANTILLA!F30</f>
        <v>21</v>
      </c>
      <c r="D28" s="242" t="str">
        <f>PLANTILLA!G30</f>
        <v>POT</v>
      </c>
      <c r="E28" s="33">
        <v>42353</v>
      </c>
      <c r="F28" s="51">
        <f>PLANTILLA!Q30</f>
        <v>6</v>
      </c>
      <c r="G28" s="52">
        <f t="shared" si="141"/>
        <v>0.92582009977255142</v>
      </c>
      <c r="H28" s="52">
        <f t="shared" si="142"/>
        <v>0.99928545900129484</v>
      </c>
      <c r="I28" s="55">
        <f t="shared" ca="1" si="143"/>
        <v>1</v>
      </c>
      <c r="J28" s="42">
        <f>PLANTILLA!I30</f>
        <v>1</v>
      </c>
      <c r="K28" s="50">
        <f>PLANTILLA!X30</f>
        <v>0</v>
      </c>
      <c r="L28" s="50">
        <f>PLANTILLA!Y30</f>
        <v>4</v>
      </c>
      <c r="M28" s="50">
        <f>PLANTILLA!Z30</f>
        <v>4</v>
      </c>
      <c r="N28" s="50">
        <f>PLANTILLA!AA30</f>
        <v>3</v>
      </c>
      <c r="O28" s="50">
        <f>PLANTILLA!AB30</f>
        <v>4.2513333333333332</v>
      </c>
      <c r="P28" s="50">
        <f>PLANTILLA!AC30</f>
        <v>3</v>
      </c>
      <c r="Q28" s="50">
        <f>PLANTILLA!AD30</f>
        <v>0</v>
      </c>
      <c r="R28" s="50">
        <f t="shared" si="144"/>
        <v>1.9378333333333333</v>
      </c>
      <c r="S28" s="50">
        <f t="shared" si="145"/>
        <v>0.15</v>
      </c>
      <c r="T28" s="50">
        <f t="shared" si="146"/>
        <v>0.16</v>
      </c>
      <c r="U28" s="50">
        <f t="shared" ca="1" si="147"/>
        <v>0.92582009977255142</v>
      </c>
      <c r="V28" s="50">
        <f t="shared" ca="1" si="148"/>
        <v>0.99928545900129484</v>
      </c>
      <c r="W28" s="40">
        <f t="shared" ca="1" si="149"/>
        <v>1.9770000000000001</v>
      </c>
      <c r="X28" s="40">
        <f t="shared" ca="1" si="150"/>
        <v>2.9910000000000001</v>
      </c>
      <c r="Y28" s="40">
        <f t="shared" ca="1" si="151"/>
        <v>1.9770000000000001</v>
      </c>
      <c r="Z28" s="40">
        <f t="shared" ca="1" si="152"/>
        <v>2.58</v>
      </c>
      <c r="AA28" s="40">
        <f t="shared" ca="1" si="153"/>
        <v>5</v>
      </c>
      <c r="AB28" s="40">
        <f t="shared" ca="1" si="154"/>
        <v>1.29</v>
      </c>
      <c r="AC28" s="40">
        <f t="shared" ca="1" si="155"/>
        <v>1.19</v>
      </c>
      <c r="AD28" s="40">
        <f t="shared" ca="1" si="156"/>
        <v>1.8900000000000001</v>
      </c>
      <c r="AE28" s="40">
        <f t="shared" ca="1" si="157"/>
        <v>3.6149999999999998</v>
      </c>
      <c r="AF28" s="40">
        <f t="shared" ca="1" si="158"/>
        <v>0.94500000000000006</v>
      </c>
      <c r="AG28" s="40">
        <f t="shared" ca="1" si="159"/>
        <v>1.925</v>
      </c>
      <c r="AH28" s="40">
        <f t="shared" ca="1" si="160"/>
        <v>4.6000000000000005</v>
      </c>
      <c r="AI28" s="40">
        <f t="shared" ca="1" si="161"/>
        <v>2.0699999999999998</v>
      </c>
      <c r="AJ28" s="40">
        <f t="shared" ca="1" si="162"/>
        <v>0.83500000000000008</v>
      </c>
      <c r="AK28" s="40">
        <f t="shared" ca="1" si="163"/>
        <v>2.3519999999999999</v>
      </c>
      <c r="AL28" s="40">
        <f t="shared" ca="1" si="164"/>
        <v>3.77</v>
      </c>
      <c r="AM28" s="40">
        <f t="shared" ca="1" si="165"/>
        <v>3.54</v>
      </c>
      <c r="AN28" s="40">
        <f t="shared" ca="1" si="166"/>
        <v>0.16700000000000001</v>
      </c>
      <c r="AO28" s="40">
        <f t="shared" ca="1" si="167"/>
        <v>0.84609599999999996</v>
      </c>
      <c r="AP28" s="40">
        <f t="shared" ca="1" si="168"/>
        <v>1.35</v>
      </c>
      <c r="AQ28" s="40">
        <f t="shared" ca="1" si="169"/>
        <v>2.9699999999999998</v>
      </c>
      <c r="AR28" s="40">
        <f t="shared" ca="1" si="170"/>
        <v>0.67500000000000004</v>
      </c>
      <c r="AS28" s="40">
        <f t="shared" ca="1" si="171"/>
        <v>4.72</v>
      </c>
      <c r="AT28" s="40">
        <f t="shared" ca="1" si="172"/>
        <v>0.68267333333333335</v>
      </c>
      <c r="AU28" s="40">
        <f t="shared" ca="1" si="173"/>
        <v>1.3221599999999998</v>
      </c>
      <c r="AV28" s="40">
        <f t="shared" ca="1" si="174"/>
        <v>0.34133666666666668</v>
      </c>
      <c r="AW28" s="40">
        <f t="shared" ca="1" si="175"/>
        <v>0.94500000000000006</v>
      </c>
      <c r="AX28" s="40">
        <f t="shared" ca="1" si="176"/>
        <v>2</v>
      </c>
      <c r="AY28" s="40">
        <f t="shared" ca="1" si="177"/>
        <v>0.47250000000000003</v>
      </c>
      <c r="AZ28" s="40">
        <f t="shared" ca="1" si="178"/>
        <v>5</v>
      </c>
      <c r="BA28" s="40">
        <f t="shared" ca="1" si="179"/>
        <v>1.3285873333333333</v>
      </c>
      <c r="BB28" s="40">
        <f t="shared" ca="1" si="180"/>
        <v>2.6307046666666669</v>
      </c>
      <c r="BC28" s="40">
        <f t="shared" ca="1" si="181"/>
        <v>0.66429366666666667</v>
      </c>
      <c r="BD28" s="40">
        <f t="shared" ca="1" si="182"/>
        <v>1.4549999999999998</v>
      </c>
      <c r="BE28" s="40">
        <f t="shared" ca="1" si="183"/>
        <v>1.7399999999999998</v>
      </c>
      <c r="BF28" s="40">
        <f t="shared" ca="1" si="184"/>
        <v>4.4050000000000002</v>
      </c>
      <c r="BG28" s="40">
        <f t="shared" ca="1" si="185"/>
        <v>3.95017</v>
      </c>
      <c r="BH28" s="40">
        <f t="shared" ca="1" si="186"/>
        <v>1.2655713333333332</v>
      </c>
      <c r="BI28" s="40">
        <f t="shared" ca="1" si="187"/>
        <v>2.4249999999999998</v>
      </c>
      <c r="BJ28" s="40">
        <f t="shared" ca="1" si="188"/>
        <v>1.32</v>
      </c>
      <c r="BK28" s="40">
        <f t="shared" ca="1" si="189"/>
        <v>1.905</v>
      </c>
      <c r="BL28" s="40">
        <f t="shared" ca="1" si="190"/>
        <v>3.7475180000000003</v>
      </c>
      <c r="BM28" s="40">
        <f t="shared" ca="1" si="191"/>
        <v>0.27306933333333333</v>
      </c>
      <c r="BN28" s="40">
        <f t="shared" ca="1" si="192"/>
        <v>0.89999999999999991</v>
      </c>
      <c r="BO28" s="40">
        <f t="shared" ca="1" si="193"/>
        <v>0.34</v>
      </c>
      <c r="BP28" s="40">
        <f t="shared" ca="1" si="194"/>
        <v>1.5249999999999999</v>
      </c>
      <c r="BQ28" s="40">
        <f t="shared" ca="1" si="195"/>
        <v>5.5018813333333334</v>
      </c>
      <c r="BR28" s="40">
        <f t="shared" ca="1" si="196"/>
        <v>0.70893000000000006</v>
      </c>
      <c r="BS28" s="40">
        <f t="shared" ca="1" si="197"/>
        <v>1.42</v>
      </c>
      <c r="BT28" s="40">
        <f t="shared" ca="1" si="198"/>
        <v>1.22</v>
      </c>
      <c r="BU28" s="40">
        <f t="shared" ca="1" si="199"/>
        <v>3.1550000000000002</v>
      </c>
      <c r="BV28" s="40">
        <f t="shared" ca="1" si="200"/>
        <v>3.8215073333333329</v>
      </c>
      <c r="BW28" s="40">
        <f t="shared" ca="1" si="201"/>
        <v>0.7771973333333333</v>
      </c>
      <c r="BX28" s="40">
        <f t="shared" ca="1" si="202"/>
        <v>2.0300000000000002</v>
      </c>
      <c r="BY28" s="40">
        <f t="shared" ca="1" si="203"/>
        <v>2.3968333333333334</v>
      </c>
      <c r="BZ28" s="40">
        <f t="shared" ca="1" si="204"/>
        <v>5.1834740000000004</v>
      </c>
      <c r="CA28" s="40">
        <f t="shared" ca="1" si="205"/>
        <v>2.3968333333333334</v>
      </c>
      <c r="CB28" s="40">
        <f t="shared" ca="1" si="206"/>
        <v>2.6696893333333334</v>
      </c>
      <c r="CC28" s="40">
        <f t="shared" ca="1" si="207"/>
        <v>5.9377420000000001</v>
      </c>
      <c r="CD28" s="40">
        <f t="shared" ca="1" si="208"/>
        <v>2.6696893333333334</v>
      </c>
      <c r="CE28" s="40">
        <f t="shared" ca="1" si="209"/>
        <v>1.25</v>
      </c>
    </row>
    <row r="29" spans="1:83" x14ac:dyDescent="0.25">
      <c r="A29" t="str">
        <f>PLANTILLA!D31</f>
        <v>Julio Calle</v>
      </c>
      <c r="B29">
        <f>PLANTILLA!E31</f>
        <v>17</v>
      </c>
      <c r="C29" s="36">
        <f ca="1">PLANTILLA!F31</f>
        <v>19</v>
      </c>
      <c r="D29" s="242" t="str">
        <f>PLANTILLA!G31</f>
        <v>POT</v>
      </c>
      <c r="E29" s="33">
        <v>42354</v>
      </c>
      <c r="F29" s="51">
        <f>PLANTILLA!Q31</f>
        <v>5</v>
      </c>
      <c r="G29" s="52">
        <f t="shared" ref="G29" si="210">(F29/7)^0.5</f>
        <v>0.84515425472851657</v>
      </c>
      <c r="H29" s="52">
        <f t="shared" ref="H29" si="211">IF(F29=7,1,((F29+0.99)/7)^0.5)</f>
        <v>0.92504826128926143</v>
      </c>
      <c r="I29" s="55">
        <f t="shared" ref="I29" ca="1" si="212">IF(TODAY()-E29&gt;335,1,((TODAY()-E29)^0.5)/336^0.5)</f>
        <v>1</v>
      </c>
      <c r="J29" s="42">
        <f>PLANTILLA!I31</f>
        <v>0.5</v>
      </c>
      <c r="K29" s="50">
        <f>PLANTILLA!X31</f>
        <v>0</v>
      </c>
      <c r="L29" s="50">
        <f>PLANTILLA!Y31</f>
        <v>3</v>
      </c>
      <c r="M29" s="50">
        <f>PLANTILLA!Z31</f>
        <v>4</v>
      </c>
      <c r="N29" s="50">
        <f>PLANTILLA!AA31</f>
        <v>4</v>
      </c>
      <c r="O29" s="50">
        <f>PLANTILLA!AB31</f>
        <v>3.0151111111111111</v>
      </c>
      <c r="P29" s="50">
        <f>PLANTILLA!AC31</f>
        <v>4</v>
      </c>
      <c r="Q29" s="50">
        <f>PLANTILLA!AD31</f>
        <v>1</v>
      </c>
      <c r="R29" s="50">
        <f t="shared" ref="R29" si="213">((2*(O29+1))+(L29+1))/8</f>
        <v>1.5037777777777777</v>
      </c>
      <c r="S29" s="50">
        <f t="shared" ref="S29" si="214">(0.5*P29+ 0.3*Q29)/10</f>
        <v>0.22999999999999998</v>
      </c>
      <c r="T29" s="50">
        <f t="shared" ref="T29" si="215">(0.4*L29+0.3*Q29)/10</f>
        <v>0.15000000000000002</v>
      </c>
      <c r="U29" s="50">
        <f t="shared" ref="U29" ca="1" si="216">IF(TODAY()-E29&gt;335,(Q29+1+(LOG(J29)*4/3))*(F29/7)^0.5,(Q29+((TODAY()-E29)^0.5)/(336^0.5)+(LOG(J29)*4/3))*(F29/7)^0.5)</f>
        <v>1.3510861339419391</v>
      </c>
      <c r="V29" s="50">
        <f t="shared" ref="V29" ca="1" si="217">IF(F29=7,U29,IF(TODAY()-E29&gt;335,(Q29+1+(LOG(J29)*4/3))*((F29+0.99)/7)^0.5,(Q29+((TODAY()-E29)^0.5)/(336^0.5)+(LOG(J29)*4/3))*((F29+0.99)/7)^0.5))</f>
        <v>1.4788068237986833</v>
      </c>
      <c r="W29" s="40">
        <f t="shared" ref="W29" ca="1" si="218">IF(TODAY()-E29&gt;335,((K29+1+(LOG(J29)*4/3))*0.597)+((L29+1+(LOG(J29)*4/3))*0.276),((K29+(((TODAY()-E29)^0.5)/(336^0.5))+(LOG(J29)*4/3))*0.597)+((L29+(((TODAY()-E29)^0.5)/(336^0.5))+(LOG(J29)*4/3))*0.276))</f>
        <v>1.3506010850471259</v>
      </c>
      <c r="X29" s="40">
        <f t="shared" ref="X29" ca="1" si="219">IF(TODAY()-E29&gt;335,((K29+1+(LOG(J29)*4/3))*0.866)+((L29+1+(LOG(J29)*4/3))*0.425),((K29+(((TODAY()-E29)^0.5)/(336^0.5))+(LOG(J29)*4/3))*0.866)+((L29+(((TODAY()-E29)^0.5)/(336^0.5))+(LOG(J29)*4/3))*0.425))</f>
        <v>2.0478270341304006</v>
      </c>
      <c r="Y29" s="40">
        <f t="shared" ref="Y29" ca="1" si="220">W29</f>
        <v>1.3506010850471259</v>
      </c>
      <c r="Z29" s="40">
        <f t="shared" ref="Z29" ca="1" si="221">IF(TODAY()-E29&gt;335,((L29+1+(LOG(J29)*4/3))*0.516),((L29+(((TODAY()-E29)^0.5)/(336^0.516))+(LOG(J29)*4/3))*0.516))</f>
        <v>1.8568913629831809</v>
      </c>
      <c r="AA29" s="40">
        <f t="shared" ref="AA29" ca="1" si="222">IF(TODAY()-E29&gt;335,((L29+1+(LOG(J29)*4/3))*1),((L29+(((TODAY()-E29)^0.5)/(336^0.5))+(LOG(J29)*4/3))*1))</f>
        <v>3.5986266724480251</v>
      </c>
      <c r="AB29" s="40">
        <f t="shared" ref="AB29" ca="1" si="223">Z29/2</f>
        <v>0.92844568149159046</v>
      </c>
      <c r="AC29" s="40">
        <f t="shared" ref="AC29" ca="1" si="224">IF(TODAY()-E29&gt;335,((M29+1+(LOG(J29)*4/3))*0.238),((M29+(((TODAY()-E29)^0.5)/(336^0.238))+(LOG(J29)*4/3))*0.238))</f>
        <v>1.0944731480426297</v>
      </c>
      <c r="AD29" s="40">
        <f t="shared" ref="AD29" ca="1" si="225">IF(TODAY()-E29&gt;335,((L29+1+(LOG(J29)*4/3))*0.378),((L29+(((TODAY()-E29)^0.5)/(336^0.516))+(LOG(J29)*4/3))*0.378))</f>
        <v>1.3602808821853536</v>
      </c>
      <c r="AE29" s="40">
        <f t="shared" ref="AE29" ca="1" si="226">IF(TODAY()-E29&gt;335,((L29+1+(LOG(J29)*4/3))*0.723),((L29+(((TODAY()-E29)^0.5)/(336^0.5))+(LOG(J29)*4/3))*0.723))</f>
        <v>2.6018070841799221</v>
      </c>
      <c r="AF29" s="40">
        <f t="shared" ref="AF29" ca="1" si="227">AD29/2</f>
        <v>0.6801404410926768</v>
      </c>
      <c r="AG29" s="40">
        <f t="shared" ref="AG29" ca="1" si="228">IF(TODAY()-E29&gt;335,((M29+1+(LOG(J29)*4/3))*0.385),((M29+(((TODAY()-E29)^0.5)/(336^0.238))+(LOG(J29)*4/3))*0.385))</f>
        <v>1.7704712688924895</v>
      </c>
      <c r="AH29" s="40">
        <f t="shared" ref="AH29" ca="1" si="229">IF(TODAY()-E29&gt;335,((L29+1+(LOG(J29)*4/3))*0.92),((L29+(((TODAY()-E29)^0.5)/(336^0.5))+(LOG(J29)*4/3))*0.92))</f>
        <v>3.3107365386521832</v>
      </c>
      <c r="AI29" s="40">
        <f t="shared" ref="AI29" ca="1" si="230">IF(TODAY()-E29&gt;335,((L29+1+(LOG(J29)*4/3))*0.414),((L29+(((TODAY()-E29)^0.5)/(336^0.414))+(LOG(J29)*4/3))*0.414))</f>
        <v>1.4898314423934824</v>
      </c>
      <c r="AJ29" s="40">
        <f t="shared" ref="AJ29" ca="1" si="231">IF(TODAY()-E29&gt;335,((M29+1+(LOG(J29)*4/3))*0.167),((M29+(((TODAY()-E29)^0.5)/(336^0.5))+(LOG(J29)*4/3))*0.167))</f>
        <v>0.76797065429882017</v>
      </c>
      <c r="AK29" s="40">
        <f t="shared" ref="AK29" ca="1" si="232">IF(TODAY()-E29&gt;335,((N29+1+(LOG(J29)*4/3))*0.588),((N29+(((TODAY()-E29)^0.5)/(336^0.5))+(LOG(J29)*4/3))*0.588))</f>
        <v>2.7039924833994382</v>
      </c>
      <c r="AL29" s="40">
        <f t="shared" ref="AL29" ca="1" si="233">IF(TODAY()-E29&gt;335,((L29+1+(LOG(J29)*4/3))*0.754),((L29+(((TODAY()-E29)^0.5)/(336^0.5))+(LOG(J29)*4/3))*0.754))</f>
        <v>2.7133645110258109</v>
      </c>
      <c r="AM29" s="40">
        <f t="shared" ref="AM29" ca="1" si="234">IF(TODAY()-E29&gt;335,((L29+1+(LOG(J29)*4/3))*0.708),((L29+(((TODAY()-E29)^0.5)/(336^0.414))+(LOG(J29)*4/3))*0.708))</f>
        <v>2.5478276840932015</v>
      </c>
      <c r="AN29" s="40">
        <f t="shared" ref="AN29" ca="1" si="235">IF(TODAY()-E29&gt;335,((Q29+1+(LOG(J29)*4/3))*0.167),((Q29+(((TODAY()-E29)^0.5)/(336^0.5))+(LOG(J29)*4/3))*0.167))</f>
        <v>0.26697065429882022</v>
      </c>
      <c r="AO29" s="40">
        <f t="shared" ref="AO29" ca="1" si="236">IF(TODAY()-E29&gt;335,((R29+1+(LOG(J29)*4/3))*0.288),((R29+(((TODAY()-E29)^0.5)/(336^0.5))+(LOG(J29)*4/3))*0.288))</f>
        <v>0.60549248166503111</v>
      </c>
      <c r="AP29" s="40">
        <f t="shared" ref="AP29" ca="1" si="237">IF(TODAY()-E29&gt;335,((L29+1+(LOG(J29)*4/3))*0.27),((L29+(((TODAY()-E29)^0.5)/(336^0.5))+(LOG(J29)*4/3))*0.27))</f>
        <v>0.97162920156096688</v>
      </c>
      <c r="AQ29" s="40">
        <f t="shared" ref="AQ29" ca="1" si="238">IF(TODAY()-E29&gt;335,((L29+1+(LOG(J29)*4/3))*0.594),((L29+(((TODAY()-E29)^0.5)/(336^0.5))+(LOG(J29)*4/3))*0.594))</f>
        <v>2.137584243434127</v>
      </c>
      <c r="AR29" s="40">
        <f t="shared" ref="AR29" ca="1" si="239">AP29/2</f>
        <v>0.48581460078048344</v>
      </c>
      <c r="AS29" s="40">
        <f t="shared" ref="AS29" ca="1" si="240">IF(TODAY()-E29&gt;335,((M29+1+(LOG(J29)*4/3))*0.944),((M29+(((TODAY()-E29)^0.5)/(336^0.5))+(LOG(J29)*4/3))*0.944))</f>
        <v>4.3411035787909347</v>
      </c>
      <c r="AT29" s="40">
        <f t="shared" ref="AT29" ca="1" si="241">IF(TODAY()-E29&gt;335,((O29+1+(LOG(J29)*4/3))*0.13),((O29+(((TODAY()-E29)^0.5)/(336^0.5))+(LOG(J29)*4/3))*0.13))</f>
        <v>0.46978591186268764</v>
      </c>
      <c r="AU29" s="40">
        <f t="shared" ref="AU29" ca="1" si="242">IF(TODAY()-E29&gt;335,((P29+1+(LOG(J29)*4/3))*0.173)+((O29+1+(LOG(J29)*4/3))*0.12),((P29+(((TODAY()-E29)^0.5)/(336^0.5))+(LOG(J29)*4/3))*0.173)+((O29+(((TODAY()-E29)^0.5)/(336^0.5))+(LOG(J29)*4/3))*0.12))</f>
        <v>1.2292109483606044</v>
      </c>
      <c r="AV29" s="40">
        <f t="shared" ref="AV29" ca="1" si="243">AT29/2</f>
        <v>0.23489295593134382</v>
      </c>
      <c r="AW29" s="40">
        <f t="shared" ref="AW29" ca="1" si="244">IF(TODAY()-E29&gt;335,((L29+1+(LOG(J29)*4/3))*0.189),((L29+(((TODAY()-E29)^0.5)/(336^0.5))+(LOG(J29)*4/3))*0.189))</f>
        <v>0.6801404410926768</v>
      </c>
      <c r="AX29" s="40">
        <f t="shared" ref="AX29" ca="1" si="245">IF(TODAY()-E29&gt;335,((L29+1+(LOG(J29)*4/3))*0.4),((L29+(((TODAY()-E29)^0.5)/(336^0.5))+(LOG(J29)*4/3))*0.4))</f>
        <v>1.4394506689792101</v>
      </c>
      <c r="AY29" s="40">
        <f t="shared" ref="AY29" ca="1" si="246">AW29/2</f>
        <v>0.3400702205463384</v>
      </c>
      <c r="AZ29" s="40">
        <f t="shared" ref="AZ29" ca="1" si="247">IF(TODAY()-E29&gt;335,((M29+1+(LOG(J29)*4/3))*1),((M29+(((TODAY()-E29)^0.5)/(336^0.5))+(LOG(J29)*4/3))*1))</f>
        <v>4.5986266724480247</v>
      </c>
      <c r="BA29" s="40">
        <f t="shared" ref="BA29" ca="1" si="248">IF(TODAY()-E29&gt;335,((O29+1+(LOG(J29)*4/3))*0.253),((O29+(((TODAY()-E29)^0.5)/(336^0.5))+(LOG(J29)*4/3))*0.253))</f>
        <v>0.91427565924046139</v>
      </c>
      <c r="BB29" s="40">
        <f t="shared" ref="BB29" ca="1" si="249">IF(TODAY()-E29&gt;335,((P29+1+(LOG(J29)*4/3))*0.21)+((O29+1+(LOG(J29)*4/3))*0.341),((P29+(((TODAY()-E29)^0.5)/(336^0.5))+(LOG(J29)*4/3))*0.21)+((O29+(((TODAY()-E29)^0.5)/(336^0.5))+(LOG(J29)*4/3))*0.341))</f>
        <v>2.1979961854077503</v>
      </c>
      <c r="BC29" s="40">
        <f t="shared" ref="BC29" ca="1" si="250">BA29/2</f>
        <v>0.4571378296202307</v>
      </c>
      <c r="BD29" s="40">
        <f t="shared" ref="BD29" ca="1" si="251">IF(TODAY()-E29&gt;335,((L29+1+(LOG(J29)*4/3))*0.291),((L29+(((TODAY()-E29)^0.5)/(336^0.5))+(LOG(J29)*4/3))*0.291))</f>
        <v>1.0472003616823753</v>
      </c>
      <c r="BE29" s="40">
        <f t="shared" ref="BE29" ca="1" si="252">IF(TODAY()-E29&gt;335,((L29+1+(LOG(J29)*4/3))*0.348),((L29+(((TODAY()-E29)^0.5)/(336^0.5))+(LOG(J29)*4/3))*0.348))</f>
        <v>1.2523220820119128</v>
      </c>
      <c r="BF29" s="40">
        <f t="shared" ref="BF29" ca="1" si="253">IF(TODAY()-E29&gt;335,((M29+1+(LOG(J29)*4/3))*0.881),((M29+(((TODAY()-E29)^0.5)/(336^0.5))+(LOG(J29)*4/3))*0.881))</f>
        <v>4.0513900984267099</v>
      </c>
      <c r="BG29" s="40">
        <f t="shared" ref="BG29" ca="1" si="254">IF(TODAY()-E29&gt;335,((N29+1+(LOG(J29)*4/3))*0.574)+((O29+1+(LOG(J29)*4/3))*0.315),((N29+(((TODAY()-E29)^0.5)/(336^0.5))+(LOG(J29)*4/3))*0.574)+((O29+(((TODAY()-E29)^0.5)/(336^0.5))+(LOG(J29)*4/3))*0.315))</f>
        <v>3.7779391118062939</v>
      </c>
      <c r="BH29" s="40">
        <f t="shared" ref="BH29" ca="1" si="255">IF(TODAY()-E29&gt;335,((O29+1+(LOG(J29)*4/3))*0.241),((O29+(((TODAY()-E29)^0.5)/(336^0.5))+(LOG(J29)*4/3))*0.241))</f>
        <v>0.87091080583775171</v>
      </c>
      <c r="BI29" s="40">
        <f t="shared" ref="BI29" ca="1" si="256">IF(TODAY()-E29&gt;335,((L29+1+(LOG(J29)*4/3))*0.485),((L29+(((TODAY()-E29)^0.5)/(336^0.5))+(LOG(J29)*4/3))*0.485))</f>
        <v>1.7453339361372922</v>
      </c>
      <c r="BJ29" s="40">
        <f t="shared" ref="BJ29" ca="1" si="257">IF(TODAY()-E29&gt;335,((L29+1+(LOG(J29)*4/3))*0.264),((L29+(((TODAY()-E29)^0.5)/(336^0.5))+(LOG(J29)*4/3))*0.264))</f>
        <v>0.95003744152627867</v>
      </c>
      <c r="BK29" s="40">
        <f t="shared" ref="BK29" ca="1" si="258">IF(TODAY()-E29&gt;335,((M29+1+(LOG(J29)*4/3))*0.381),((M29+(((TODAY()-E29)^0.5)/(336^0.5))+(LOG(J29)*4/3))*0.381))</f>
        <v>1.7520767622026974</v>
      </c>
      <c r="BL29" s="40">
        <f t="shared" ref="BL29" ca="1" si="259">IF(TODAY()-E29&gt;335,((N29+1+(LOG(J29)*4/3))*0.673)+((O29+1+(LOG(J29)*4/3))*0.201),((N29+(((TODAY()-E29)^0.5)/(336^0.5))+(LOG(J29)*4/3))*0.673)+((O29+(((TODAY()-E29)^0.5)/(336^0.5))+(LOG(J29)*4/3))*0.201))</f>
        <v>3.8212370450529072</v>
      </c>
      <c r="BM29" s="40">
        <f t="shared" ref="BM29" ca="1" si="260">IF(TODAY()-E29&gt;335,((O29+1+(LOG(J29)*4/3))*0.052),((O29+(((TODAY()-E29)^0.5)/(336^0.5))+(LOG(J29)*4/3))*0.052))</f>
        <v>0.18791436474507506</v>
      </c>
      <c r="BN29" s="40">
        <f t="shared" ref="BN29" ca="1" si="261">IF(TODAY()-E29&gt;335,((L29+1+(LOG(J29)*4/3))*0.18),((L29+(((TODAY()-E29)^0.5)/(336^0.5))+(LOG(J29)*4/3))*0.18))</f>
        <v>0.64775280104064448</v>
      </c>
      <c r="BO29" s="40">
        <f t="shared" ref="BO29" ca="1" si="262">IF(TODAY()-E29&gt;335,((L29+1+(LOG(J29)*4/3))*0.068),((L29+(((TODAY()-E29)^0.5)/(336^0.5))+(LOG(J29)*4/3))*0.068))</f>
        <v>0.24470661372646574</v>
      </c>
      <c r="BP29" s="40">
        <f t="shared" ref="BP29" ca="1" si="263">IF(TODAY()-E29&gt;335,((M29+1+(LOG(J29)*4/3))*0.305),((M29+(((TODAY()-E29)^0.5)/(336^0.5))+(LOG(J29)*4/3))*0.305))</f>
        <v>1.4025811350966475</v>
      </c>
      <c r="BQ29" s="40">
        <f t="shared" ref="BQ29" ca="1" si="264">IF(TODAY()-E29&gt;335,((N29+1+(LOG(J29)*4/3))*1)+((O29+1+(LOG(J29)*4/3))*0.286),((N29+(((TODAY()-E29)^0.5)/(336^0.5))+(LOG(J29)*4/3))*1)+((O29+(((TODAY()-E29)^0.5)/(336^0.5))+(LOG(J29)*4/3))*0.286))</f>
        <v>5.6321556785459377</v>
      </c>
      <c r="BR29" s="40">
        <f t="shared" ref="BR29" ca="1" si="265">IF(TODAY()-E29&gt;335,((O29+1+(LOG(J29)*4/3))*0.135),((O29+(((TODAY()-E29)^0.5)/(336^0.5))+(LOG(J29)*4/3))*0.135))</f>
        <v>0.48785460078048337</v>
      </c>
      <c r="BS29" s="40">
        <f t="shared" ref="BS29" ca="1" si="266">IF(TODAY()-E29&gt;335,((L29+1+(LOG(J29)*4/3))*0.284),((L29+(((TODAY()-E29)^0.5)/(336^0.5))+(LOG(J29)*4/3))*0.284))</f>
        <v>1.0220099749752392</v>
      </c>
      <c r="BT29" s="40">
        <f t="shared" ref="BT29" ca="1" si="267">IF(TODAY()-E29&gt;335,((L29+1+(LOG(J29)*4/3))*0.244),((L29+(((TODAY()-E29)^0.5)/(336^0.5))+(LOG(J29)*4/3))*0.244))</f>
        <v>0.87806490807731807</v>
      </c>
      <c r="BU29" s="40">
        <f t="shared" ref="BU29" ca="1" si="268">IF(TODAY()-E29&gt;335,((M29+1+(LOG(J29)*4/3))*0.631),((M29+(((TODAY()-E29)^0.5)/(336^0.5))+(LOG(J29)*4/3))*0.631))</f>
        <v>2.9017334303147035</v>
      </c>
      <c r="BV29" s="40">
        <f t="shared" ref="BV29" ca="1" si="269">IF(TODAY()-E29&gt;335,((N29+1+(LOG(J29)*4/3))*0.702)+((O29+1+(LOG(J29)*4/3))*0.193),((N29+(((TODAY()-E29)^0.5)/(336^0.5))+(LOG(J29)*4/3))*0.702)+((O29+(((TODAY()-E29)^0.5)/(336^0.5))+(LOG(J29)*4/3))*0.193))</f>
        <v>3.9256873162854262</v>
      </c>
      <c r="BW29" s="40">
        <f t="shared" ref="BW29" ca="1" si="270">IF(TODAY()-E29&gt;335,((O29+1+(LOG(J29)*4/3))*0.148),((O29+(((TODAY()-E29)^0.5)/(336^0.5))+(LOG(J29)*4/3))*0.148))</f>
        <v>0.53483319196675205</v>
      </c>
      <c r="BX29" s="40">
        <f t="shared" ref="BX29" ca="1" si="271">IF(TODAY()-E29&gt;335,((M29+1+(LOG(J29)*4/3))*0.406),((M29+(((TODAY()-E29)^0.5)/(336^0.5))+(LOG(J29)*4/3))*0.406))</f>
        <v>1.8670424290138981</v>
      </c>
      <c r="BY29" s="40">
        <f t="shared" ref="BY29" ca="1" si="272">IF(D29="TEC",IF(TODAY()-E29&gt;335,((N29+1+(LOG(J29)*4/3))*0.15)+((O29+1+(LOG(J29)*4/3))*0.324)+((P29+1+(LOG(J29)*4/3))*0.127),((N29+(((TODAY()-E29)^0.5)/(336^0.5))+(LOG(J29)*4/3))*0.15)+((O29+(((TODAY()-E29)^0.5)/(336^0.5))+(LOG(J29)*4/3))*0.324)+((P29+(((TODAY()-E29)^0.5)/(336^0.5))+(LOG(J29)*4/3))*0.127)),IF(TODAY()-E29&gt;335,((N29+1+(LOG(J29)*4/3))*0.144)+((O29+1+(LOG(J29)*4/3))*0.25)+((P29+1+(LOG(J29)*4/3))*0.127),((N29+(((TODAY()-E29)^0.5)/(336^0.5))+(LOG(J29)*4/3))*0.144)+((O29+(((TODAY()-E29)^0.5)/(336^0.5))+(LOG(J29)*4/3))*0.25)+((P29+(((TODAY()-E29)^0.5)/(336^0.5))+(LOG(J29)*4/3))*0.127)))</f>
        <v>2.1496622741231985</v>
      </c>
      <c r="BZ29" s="40">
        <f t="shared" ref="BZ29" ca="1" si="273">IF(D29="TEC",IF(TODAY()-E29&gt;335,((O29+1+(LOG(J29)*4/3))*0.543)+((P29+1+(LOG(J29)*4/3))*0.583),((O29+(((TODAY()-E29)^0.5)/(336^0.5))+(LOG(J29)*4/3))*0.543)+((P29+(((TODAY()-E29)^0.5)/(336^0.5))+(LOG(J29)*4/3))*0.583)),IF(TODAY()-E29&gt;335,((O29+1+(LOG(J29)*4/3))*0.543)+((P29+1+(LOG(J29)*4/3))*0.583),((O29+(((TODAY()-E29)^0.5)/(336^0.5))+(LOG(J29)*4/3))*0.543)+((P29+(((TODAY()-E29)^0.5)/(336^0.5))+(LOG(J29)*4/3))*0.583)))</f>
        <v>4.6432589665098094</v>
      </c>
      <c r="CA29" s="40">
        <f t="shared" ref="CA29" ca="1" si="274">BY29</f>
        <v>2.1496622741231985</v>
      </c>
      <c r="CB29" s="40">
        <f t="shared" ref="CB29" ca="1" si="275">IF(TODAY()-E29&gt;335,((P29+1+(LOG(J29)*4/3))*0.26)+((N29+1+(LOG(J29)*4/3))*0.221)+((O29+1+(LOG(J29)*4/3))*0.142),((P29+(((TODAY()-E29)^0.5)/(336^0.5))+(LOG(J29)*4/3))*0.26)+((N29+(((TODAY()-E29)^0.5)/(336^0.5))+(LOG(J29)*4/3))*0.221)+((P29+(((TODAY()-E29)^0.5)/(336^0.5))+(LOG(J29)*4/3))*0.142))</f>
        <v>2.7250901947128972</v>
      </c>
      <c r="CC29" s="40">
        <f t="shared" ref="CC29" ca="1" si="276">IF(TODAY()-E29&gt;335,((P29+1+(LOG(J29)*4/3))*1)+((O29+1+(LOG(J29)*4/3))*0.369),((P29+(((TODAY()-E29)^0.5)/(336^0.5))+(LOG(J29)*4/3))*1)+((O29+(((TODAY()-E29)^0.5)/(336^0.5))+(LOG(J29)*4/3))*0.369))</f>
        <v>5.9320959145813461</v>
      </c>
      <c r="CD29" s="40">
        <f t="shared" ref="CD29" ca="1" si="277">CB29</f>
        <v>2.7250901947128972</v>
      </c>
      <c r="CE29" s="40">
        <f t="shared" ref="CE29" ca="1" si="278">IF(TODAY()-E29&gt;335,((M29+1+(LOG(J29)*4/3))*0.25),((M29+(((TODAY()-E29)^0.5)/(336^0.5))+(LOG(J29)*4/3))*0.25))</f>
        <v>1.1496566681120062</v>
      </c>
    </row>
    <row r="30" spans="1:83" x14ac:dyDescent="0.25">
      <c r="C30" s="36"/>
      <c r="D30" s="242"/>
      <c r="E30" s="33"/>
      <c r="F30" s="51"/>
      <c r="G30" s="52"/>
      <c r="H30" s="52"/>
      <c r="I30" s="55"/>
      <c r="J30" s="42"/>
      <c r="K30" s="50"/>
      <c r="L30" s="50"/>
      <c r="M30" s="50"/>
      <c r="N30" s="50"/>
      <c r="O30" s="50"/>
      <c r="P30" s="50"/>
      <c r="Q30" s="50"/>
      <c r="R30" s="50"/>
      <c r="S30" s="50"/>
      <c r="T30" s="50"/>
      <c r="U30" s="50"/>
      <c r="V30" s="5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row>
    <row r="31" spans="1:83" x14ac:dyDescent="0.25">
      <c r="C31" s="36"/>
      <c r="D31" s="242"/>
      <c r="E31" s="33"/>
      <c r="F31" s="51"/>
      <c r="G31" s="52"/>
      <c r="H31" s="52"/>
      <c r="I31" s="55"/>
      <c r="J31" s="42"/>
      <c r="K31" s="50"/>
      <c r="L31" s="50"/>
      <c r="M31" s="50"/>
      <c r="N31" s="50"/>
      <c r="O31" s="50"/>
      <c r="P31" s="50"/>
      <c r="Q31" s="50"/>
      <c r="R31" s="50"/>
      <c r="S31" s="50"/>
      <c r="T31" s="50"/>
      <c r="U31" s="50"/>
      <c r="V31" s="5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row>
    <row r="32" spans="1:83" x14ac:dyDescent="0.25">
      <c r="C32" s="36"/>
      <c r="D32" s="242"/>
      <c r="E32" s="33"/>
      <c r="F32" s="51"/>
      <c r="G32" s="52"/>
      <c r="H32" s="52"/>
      <c r="I32" s="55"/>
      <c r="J32" s="42"/>
      <c r="K32" s="50"/>
      <c r="L32" s="50"/>
      <c r="M32" s="50"/>
      <c r="N32" s="50"/>
      <c r="O32" s="50"/>
      <c r="P32" s="50"/>
      <c r="Q32" s="50"/>
      <c r="R32" s="50"/>
      <c r="S32" s="50"/>
      <c r="T32" s="50"/>
      <c r="U32" s="50"/>
      <c r="V32" s="5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row>
    <row r="33" spans="1:83" x14ac:dyDescent="0.25">
      <c r="C33" s="36"/>
      <c r="D33" s="242"/>
      <c r="E33" s="33"/>
      <c r="F33" s="51"/>
      <c r="G33" s="52"/>
      <c r="H33" s="52"/>
      <c r="I33" s="55"/>
      <c r="J33" s="42"/>
      <c r="K33" s="50"/>
      <c r="L33" s="50"/>
      <c r="M33" s="50"/>
      <c r="N33" s="50"/>
      <c r="O33" s="50"/>
      <c r="P33" s="50"/>
      <c r="Q33" s="50"/>
      <c r="R33" s="50"/>
      <c r="S33" s="50"/>
      <c r="T33" s="50"/>
      <c r="U33" s="50"/>
      <c r="V33" s="5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row>
    <row r="36" spans="1:83" x14ac:dyDescent="0.25">
      <c r="M36" s="40"/>
      <c r="N36" s="40"/>
      <c r="AH36" s="40">
        <f ca="1">AG7*G7</f>
        <v>1.7067834569456877</v>
      </c>
      <c r="AI36" s="40">
        <f ca="1">AG7*H7</f>
        <v>1.868128877552713</v>
      </c>
    </row>
    <row r="37" spans="1:83" ht="18.75" x14ac:dyDescent="0.3">
      <c r="A37" s="112" t="s">
        <v>173</v>
      </c>
      <c r="B37" s="112" t="s">
        <v>174</v>
      </c>
      <c r="C37" s="112"/>
      <c r="D37" s="113"/>
      <c r="Z37" s="40"/>
      <c r="AA37" s="40"/>
      <c r="BV37" s="40"/>
      <c r="BW37" s="40"/>
    </row>
    <row r="38" spans="1:83" x14ac:dyDescent="0.25">
      <c r="A38" s="114" t="s">
        <v>175</v>
      </c>
      <c r="B38" s="115">
        <v>1</v>
      </c>
      <c r="C38" s="117">
        <v>0.624</v>
      </c>
      <c r="D38" s="118">
        <v>0.245</v>
      </c>
      <c r="AH38" s="40">
        <f ca="1">AG8*G8</f>
        <v>4.1859910106577649</v>
      </c>
      <c r="AI38" s="40">
        <f ca="1">AG8*H8</f>
        <v>4.6753978039073063</v>
      </c>
    </row>
    <row r="39" spans="1:83" x14ac:dyDescent="0.25">
      <c r="A39" s="114" t="s">
        <v>176</v>
      </c>
      <c r="B39" s="115">
        <v>1</v>
      </c>
      <c r="C39" s="117">
        <v>1.002</v>
      </c>
      <c r="D39" s="118">
        <v>0.34</v>
      </c>
      <c r="AG39" s="127"/>
      <c r="AH39" s="128"/>
    </row>
    <row r="40" spans="1:83" x14ac:dyDescent="0.25">
      <c r="A40" s="114" t="s">
        <v>177</v>
      </c>
      <c r="B40" s="115">
        <v>1</v>
      </c>
      <c r="C40" s="117">
        <v>0.46800000000000003</v>
      </c>
      <c r="D40" s="118">
        <v>0.125</v>
      </c>
      <c r="Z40" s="40"/>
      <c r="AA40" s="40"/>
      <c r="AH40" s="129">
        <f ca="1">(AI36-AH38)/AI36</f>
        <v>-1.2407399515934356</v>
      </c>
      <c r="AI40" s="129">
        <f ca="1">(AH36-AI38)/AH36</f>
        <v>-1.7393034452501634</v>
      </c>
      <c r="BV40" s="40"/>
      <c r="BW40" s="40"/>
    </row>
    <row r="41" spans="1:83" x14ac:dyDescent="0.25">
      <c r="A41" s="114" t="s">
        <v>178</v>
      </c>
      <c r="B41" s="115">
        <v>1</v>
      </c>
      <c r="C41" s="117">
        <v>0.877</v>
      </c>
      <c r="D41" s="118">
        <v>0.25</v>
      </c>
      <c r="W41" s="128"/>
    </row>
    <row r="42" spans="1:83" x14ac:dyDescent="0.25">
      <c r="A42" s="114" t="s">
        <v>179</v>
      </c>
      <c r="B42" s="115">
        <v>1</v>
      </c>
      <c r="C42" s="117">
        <v>0.59299999999999997</v>
      </c>
      <c r="D42" s="118">
        <v>0.19</v>
      </c>
      <c r="W42" s="128"/>
    </row>
    <row r="44" spans="1:83" x14ac:dyDescent="0.25">
      <c r="Z44" s="128"/>
      <c r="AA44" s="128"/>
      <c r="BV44" s="128"/>
      <c r="BW44" s="128"/>
    </row>
  </sheetData>
  <conditionalFormatting sqref="U3:V33">
    <cfRule type="cellIs" dxfId="33" priority="20" operator="greaterThan">
      <formula>15</formula>
    </cfRule>
  </conditionalFormatting>
  <conditionalFormatting sqref="R3:R33">
    <cfRule type="cellIs" dxfId="32" priority="19" operator="greaterThan">
      <formula>3.2</formula>
    </cfRule>
  </conditionalFormatting>
  <conditionalFormatting sqref="S3:T33">
    <cfRule type="cellIs" dxfId="31" priority="18" operator="greaterThan">
      <formula>0.6</formula>
    </cfRule>
  </conditionalFormatting>
  <conditionalFormatting sqref="AK3:AM33 AO3:BD33 BF3:CE33 W3:AI33">
    <cfRule type="cellIs" dxfId="30" priority="17" operator="greaterThan">
      <formula>12.5</formula>
    </cfRule>
  </conditionalFormatting>
  <conditionalFormatting sqref="J3:J33">
    <cfRule type="cellIs" dxfId="29" priority="14" operator="greaterThan">
      <formula>7</formula>
    </cfRule>
  </conditionalFormatting>
  <conditionalFormatting sqref="K3:Q33">
    <cfRule type="colorScale" priority="1615">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127"/>
  <sheetViews>
    <sheetView zoomScale="90" zoomScaleNormal="90" workbookViewId="0">
      <pane ySplit="1" topLeftCell="A2" activePane="bottomLeft" state="frozen"/>
      <selection pane="bottomLeft" activeCell="C28" sqref="C28"/>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54" t="s">
        <v>258</v>
      </c>
      <c r="B1" s="254"/>
      <c r="C1" s="254"/>
      <c r="D1" s="254"/>
      <c r="F1" s="11" t="s">
        <v>3</v>
      </c>
      <c r="G1" s="11" t="s">
        <v>4</v>
      </c>
      <c r="H1" s="11" t="s">
        <v>5</v>
      </c>
      <c r="I1" s="37" t="s">
        <v>91</v>
      </c>
      <c r="J1" s="37" t="s">
        <v>7</v>
      </c>
      <c r="K1" s="37" t="s">
        <v>70</v>
      </c>
      <c r="L1" s="37" t="s">
        <v>201</v>
      </c>
      <c r="M1" s="37" t="s">
        <v>324</v>
      </c>
      <c r="N1" s="149" t="s">
        <v>202</v>
      </c>
      <c r="O1" s="149" t="s">
        <v>203</v>
      </c>
      <c r="P1" s="149" t="s">
        <v>318</v>
      </c>
      <c r="Q1" s="149" t="s">
        <v>129</v>
      </c>
      <c r="R1" s="150" t="s">
        <v>204</v>
      </c>
      <c r="S1" s="150" t="s">
        <v>205</v>
      </c>
      <c r="T1" s="150" t="s">
        <v>318</v>
      </c>
      <c r="U1" s="150" t="s">
        <v>129</v>
      </c>
    </row>
    <row r="2" spans="1:21" x14ac:dyDescent="0.25">
      <c r="A2" s="255" t="s">
        <v>259</v>
      </c>
      <c r="B2" s="256" t="s">
        <v>260</v>
      </c>
      <c r="C2" s="256" t="s">
        <v>261</v>
      </c>
      <c r="D2" s="256" t="s">
        <v>262</v>
      </c>
      <c r="F2" s="211" t="s">
        <v>375</v>
      </c>
      <c r="G2">
        <v>39</v>
      </c>
      <c r="H2">
        <v>100</v>
      </c>
      <c r="I2" s="121">
        <v>12.4</v>
      </c>
      <c r="J2" s="124">
        <v>6</v>
      </c>
      <c r="K2" s="76">
        <v>372</v>
      </c>
      <c r="L2" s="76">
        <v>2819000</v>
      </c>
      <c r="M2" s="143">
        <v>3</v>
      </c>
      <c r="N2" s="76">
        <v>375000</v>
      </c>
      <c r="O2" s="76">
        <f t="shared" ref="O2:O38" si="0">L2+N2</f>
        <v>3194000</v>
      </c>
      <c r="P2" s="151">
        <v>9.5</v>
      </c>
      <c r="Q2" s="208">
        <f t="shared" ref="Q2:Q38" si="1">O2/P2</f>
        <v>336210.5263157895</v>
      </c>
      <c r="R2" s="76">
        <v>2700000</v>
      </c>
      <c r="S2" s="76">
        <f t="shared" ref="S2:S38" si="2">R2+L2</f>
        <v>5519000</v>
      </c>
      <c r="T2" s="152">
        <f t="shared" ref="T2:T38" si="3">P2</f>
        <v>9.5</v>
      </c>
      <c r="U2" s="208">
        <f t="shared" ref="U2:U38" si="4">S2/T2</f>
        <v>580947.36842105258</v>
      </c>
    </row>
    <row r="3" spans="1:21" x14ac:dyDescent="0.25">
      <c r="A3" s="255"/>
      <c r="B3" s="256"/>
      <c r="C3" s="256"/>
      <c r="D3" s="256"/>
      <c r="F3" s="211" t="s">
        <v>389</v>
      </c>
      <c r="G3">
        <v>38</v>
      </c>
      <c r="H3">
        <v>97</v>
      </c>
      <c r="I3" s="121">
        <v>13.3</v>
      </c>
      <c r="J3" s="124">
        <v>6</v>
      </c>
      <c r="K3" s="76">
        <v>552</v>
      </c>
      <c r="L3" s="76">
        <v>3094000</v>
      </c>
      <c r="M3" s="143">
        <v>3</v>
      </c>
      <c r="N3" s="76">
        <v>355000</v>
      </c>
      <c r="O3" s="76">
        <f t="shared" si="0"/>
        <v>3449000</v>
      </c>
      <c r="P3" s="151">
        <v>9.5</v>
      </c>
      <c r="Q3" s="208">
        <f t="shared" si="1"/>
        <v>363052.63157894736</v>
      </c>
      <c r="R3" s="76">
        <v>2495000</v>
      </c>
      <c r="S3" s="76">
        <f t="shared" si="2"/>
        <v>5589000</v>
      </c>
      <c r="T3" s="152">
        <f t="shared" si="3"/>
        <v>9.5</v>
      </c>
      <c r="U3" s="208">
        <f t="shared" si="4"/>
        <v>588315.78947368416</v>
      </c>
    </row>
    <row r="4" spans="1:21" x14ac:dyDescent="0.25">
      <c r="A4" s="204" t="s">
        <v>260</v>
      </c>
      <c r="B4" s="205" t="s">
        <v>263</v>
      </c>
      <c r="C4" s="205" t="s">
        <v>264</v>
      </c>
      <c r="D4" s="205" t="s">
        <v>264</v>
      </c>
      <c r="F4" s="211" t="s">
        <v>327</v>
      </c>
      <c r="G4">
        <v>40</v>
      </c>
      <c r="H4">
        <v>44</v>
      </c>
      <c r="I4" s="121">
        <v>16.399999999999999</v>
      </c>
      <c r="J4" s="124">
        <v>6</v>
      </c>
      <c r="K4" s="76">
        <v>360</v>
      </c>
      <c r="L4" s="76">
        <v>4331000</v>
      </c>
      <c r="M4" s="143">
        <v>3</v>
      </c>
      <c r="N4" s="76">
        <v>289000</v>
      </c>
      <c r="O4" s="76">
        <f t="shared" si="0"/>
        <v>4620000</v>
      </c>
      <c r="P4" s="151">
        <v>9.5</v>
      </c>
      <c r="Q4" s="208">
        <f t="shared" si="1"/>
        <v>486315.78947368421</v>
      </c>
      <c r="R4" s="76">
        <v>2015000</v>
      </c>
      <c r="S4" s="76">
        <f t="shared" si="2"/>
        <v>6346000</v>
      </c>
      <c r="T4" s="152">
        <f t="shared" si="3"/>
        <v>9.5</v>
      </c>
      <c r="U4" s="208">
        <f t="shared" si="4"/>
        <v>668000</v>
      </c>
    </row>
    <row r="5" spans="1:21" x14ac:dyDescent="0.25">
      <c r="A5" s="206" t="s">
        <v>261</v>
      </c>
      <c r="B5" s="207" t="s">
        <v>265</v>
      </c>
      <c r="C5" s="207" t="s">
        <v>266</v>
      </c>
      <c r="D5" s="207" t="s">
        <v>264</v>
      </c>
      <c r="F5" s="211" t="s">
        <v>380</v>
      </c>
      <c r="G5">
        <v>35</v>
      </c>
      <c r="H5">
        <v>7</v>
      </c>
      <c r="I5" s="121">
        <v>13.3</v>
      </c>
      <c r="J5" s="124">
        <v>6</v>
      </c>
      <c r="K5" s="76">
        <v>4236</v>
      </c>
      <c r="L5" s="76">
        <v>3947000</v>
      </c>
      <c r="M5" s="143">
        <v>3</v>
      </c>
      <c r="N5" s="76">
        <v>355000</v>
      </c>
      <c r="O5" s="76">
        <f t="shared" si="0"/>
        <v>4302000</v>
      </c>
      <c r="P5" s="151">
        <v>9.5</v>
      </c>
      <c r="Q5" s="208">
        <f t="shared" si="1"/>
        <v>452842.10526315792</v>
      </c>
      <c r="R5" s="76">
        <v>2495000</v>
      </c>
      <c r="S5" s="76">
        <f t="shared" si="2"/>
        <v>6442000</v>
      </c>
      <c r="T5" s="152">
        <f t="shared" si="3"/>
        <v>9.5</v>
      </c>
      <c r="U5" s="208">
        <f t="shared" si="4"/>
        <v>678105.26315789472</v>
      </c>
    </row>
    <row r="6" spans="1:21" x14ac:dyDescent="0.25">
      <c r="A6" s="204" t="s">
        <v>262</v>
      </c>
      <c r="B6" s="205" t="s">
        <v>267</v>
      </c>
      <c r="C6" s="205" t="s">
        <v>268</v>
      </c>
      <c r="D6" s="205" t="s">
        <v>269</v>
      </c>
      <c r="F6" s="211" t="s">
        <v>394</v>
      </c>
      <c r="G6">
        <v>37</v>
      </c>
      <c r="H6">
        <v>1</v>
      </c>
      <c r="I6" s="121">
        <v>21.9</v>
      </c>
      <c r="J6" s="124">
        <v>6</v>
      </c>
      <c r="K6" s="76">
        <v>2088</v>
      </c>
      <c r="L6" s="76">
        <v>7699000</v>
      </c>
      <c r="M6" s="143">
        <v>3</v>
      </c>
      <c r="N6" s="76">
        <v>228000</v>
      </c>
      <c r="O6" s="76">
        <f>L6+N6</f>
        <v>7927000</v>
      </c>
      <c r="P6" s="151">
        <v>9.5</v>
      </c>
      <c r="Q6" s="208">
        <f>O6/P6</f>
        <v>834421.05263157899</v>
      </c>
      <c r="R6" s="76">
        <v>1575000</v>
      </c>
      <c r="S6" s="76">
        <f>R6+L6</f>
        <v>9274000</v>
      </c>
      <c r="T6" s="152">
        <f>P6</f>
        <v>9.5</v>
      </c>
      <c r="U6" s="208">
        <f>S6/T6</f>
        <v>976210.52631578944</v>
      </c>
    </row>
    <row r="7" spans="1:21" x14ac:dyDescent="0.25">
      <c r="A7" s="206" t="s">
        <v>270</v>
      </c>
      <c r="B7" s="207" t="s">
        <v>271</v>
      </c>
      <c r="C7" s="207" t="s">
        <v>272</v>
      </c>
      <c r="D7" s="207" t="s">
        <v>273</v>
      </c>
      <c r="F7" s="211" t="s">
        <v>387</v>
      </c>
      <c r="G7">
        <v>40</v>
      </c>
      <c r="H7">
        <v>76</v>
      </c>
      <c r="I7" s="121">
        <v>15.5</v>
      </c>
      <c r="J7" s="124">
        <v>5</v>
      </c>
      <c r="K7" s="76">
        <v>336</v>
      </c>
      <c r="L7" s="76">
        <v>531420</v>
      </c>
      <c r="M7" s="143">
        <v>3</v>
      </c>
      <c r="N7" s="76">
        <v>305000</v>
      </c>
      <c r="O7" s="76">
        <f t="shared" si="0"/>
        <v>836420</v>
      </c>
      <c r="P7" s="151">
        <v>8</v>
      </c>
      <c r="Q7" s="208">
        <f t="shared" si="1"/>
        <v>104552.5</v>
      </c>
      <c r="R7" s="76">
        <v>2175000</v>
      </c>
      <c r="S7" s="76">
        <f t="shared" si="2"/>
        <v>2706420</v>
      </c>
      <c r="T7" s="152">
        <f t="shared" si="3"/>
        <v>8</v>
      </c>
      <c r="U7" s="208">
        <f t="shared" si="4"/>
        <v>338302.5</v>
      </c>
    </row>
    <row r="8" spans="1:21" x14ac:dyDescent="0.25">
      <c r="A8" s="204" t="s">
        <v>274</v>
      </c>
      <c r="B8" s="205" t="s">
        <v>275</v>
      </c>
      <c r="C8" s="205" t="s">
        <v>276</v>
      </c>
      <c r="D8" s="205" t="s">
        <v>277</v>
      </c>
      <c r="F8" s="211" t="s">
        <v>379</v>
      </c>
      <c r="G8">
        <v>39</v>
      </c>
      <c r="H8">
        <v>9</v>
      </c>
      <c r="I8" s="121">
        <v>12.5</v>
      </c>
      <c r="J8" s="124">
        <v>5</v>
      </c>
      <c r="K8" s="76">
        <v>408</v>
      </c>
      <c r="L8" s="76">
        <v>100000</v>
      </c>
      <c r="M8" s="143">
        <v>3</v>
      </c>
      <c r="N8" s="76">
        <v>380000</v>
      </c>
      <c r="O8" s="76">
        <f t="shared" si="0"/>
        <v>480000</v>
      </c>
      <c r="P8" s="151">
        <v>8</v>
      </c>
      <c r="Q8" s="208">
        <f t="shared" si="1"/>
        <v>60000</v>
      </c>
      <c r="R8" s="76">
        <v>2700000</v>
      </c>
      <c r="S8" s="76">
        <f t="shared" si="2"/>
        <v>2800000</v>
      </c>
      <c r="T8" s="152">
        <f t="shared" si="3"/>
        <v>8</v>
      </c>
      <c r="U8" s="208">
        <f t="shared" si="4"/>
        <v>350000</v>
      </c>
    </row>
    <row r="9" spans="1:21" x14ac:dyDescent="0.25">
      <c r="A9" s="206" t="s">
        <v>278</v>
      </c>
      <c r="B9" s="207" t="s">
        <v>279</v>
      </c>
      <c r="C9" s="207" t="s">
        <v>280</v>
      </c>
      <c r="D9" s="207" t="s">
        <v>281</v>
      </c>
      <c r="F9" s="211" t="s">
        <v>388</v>
      </c>
      <c r="G9">
        <v>39</v>
      </c>
      <c r="H9">
        <v>43</v>
      </c>
      <c r="I9" s="121">
        <v>14.2</v>
      </c>
      <c r="J9" s="124">
        <v>5</v>
      </c>
      <c r="K9" s="76">
        <v>370</v>
      </c>
      <c r="L9" s="76">
        <v>456000</v>
      </c>
      <c r="M9" s="143">
        <v>3</v>
      </c>
      <c r="N9" s="153">
        <v>329000</v>
      </c>
      <c r="O9" s="76">
        <f t="shared" si="0"/>
        <v>785000</v>
      </c>
      <c r="P9" s="151">
        <v>8</v>
      </c>
      <c r="Q9" s="208">
        <f t="shared" si="1"/>
        <v>98125</v>
      </c>
      <c r="R9" s="76">
        <v>2375000</v>
      </c>
      <c r="S9" s="76">
        <f t="shared" si="2"/>
        <v>2831000</v>
      </c>
      <c r="T9" s="152">
        <f t="shared" si="3"/>
        <v>8</v>
      </c>
      <c r="U9" s="208">
        <f t="shared" si="4"/>
        <v>353875</v>
      </c>
    </row>
    <row r="10" spans="1:21" x14ac:dyDescent="0.25">
      <c r="A10" s="204" t="s">
        <v>282</v>
      </c>
      <c r="B10" s="205" t="s">
        <v>283</v>
      </c>
      <c r="C10" s="205" t="s">
        <v>284</v>
      </c>
      <c r="D10" s="205" t="s">
        <v>285</v>
      </c>
      <c r="F10" s="211" t="s">
        <v>374</v>
      </c>
      <c r="G10">
        <v>41</v>
      </c>
      <c r="H10">
        <v>74</v>
      </c>
      <c r="I10" s="121">
        <v>17.5</v>
      </c>
      <c r="J10" s="124">
        <v>5</v>
      </c>
      <c r="K10" s="76">
        <v>324</v>
      </c>
      <c r="L10" s="76">
        <v>945000</v>
      </c>
      <c r="M10" s="143">
        <v>4</v>
      </c>
      <c r="N10" s="76">
        <v>270000</v>
      </c>
      <c r="O10" s="76">
        <f t="shared" si="0"/>
        <v>1215000</v>
      </c>
      <c r="P10" s="151">
        <v>8</v>
      </c>
      <c r="Q10" s="208">
        <f t="shared" si="1"/>
        <v>151875</v>
      </c>
      <c r="R10" s="76">
        <v>1900000</v>
      </c>
      <c r="S10" s="76">
        <f t="shared" si="2"/>
        <v>2845000</v>
      </c>
      <c r="T10" s="152">
        <f t="shared" si="3"/>
        <v>8</v>
      </c>
      <c r="U10" s="208">
        <f t="shared" si="4"/>
        <v>355625</v>
      </c>
    </row>
    <row r="11" spans="1:21" x14ac:dyDescent="0.25">
      <c r="A11" s="206" t="s">
        <v>286</v>
      </c>
      <c r="B11" s="207" t="s">
        <v>287</v>
      </c>
      <c r="C11" s="207" t="s">
        <v>288</v>
      </c>
      <c r="D11" s="207" t="s">
        <v>289</v>
      </c>
      <c r="F11" s="211" t="s">
        <v>386</v>
      </c>
      <c r="G11">
        <v>39</v>
      </c>
      <c r="H11">
        <v>13</v>
      </c>
      <c r="I11" s="121">
        <v>16.7</v>
      </c>
      <c r="J11" s="124">
        <v>5</v>
      </c>
      <c r="K11" s="76">
        <v>612</v>
      </c>
      <c r="L11" s="76">
        <v>854000</v>
      </c>
      <c r="M11" s="143">
        <v>3</v>
      </c>
      <c r="N11" s="76">
        <v>281000</v>
      </c>
      <c r="O11" s="76">
        <f t="shared" si="0"/>
        <v>1135000</v>
      </c>
      <c r="P11" s="151">
        <v>8</v>
      </c>
      <c r="Q11" s="208">
        <f t="shared" si="1"/>
        <v>141875</v>
      </c>
      <c r="R11" s="76">
        <v>2005000</v>
      </c>
      <c r="S11" s="76">
        <f t="shared" si="2"/>
        <v>2859000</v>
      </c>
      <c r="T11" s="152">
        <f t="shared" si="3"/>
        <v>8</v>
      </c>
      <c r="U11" s="208">
        <f t="shared" si="4"/>
        <v>357375</v>
      </c>
    </row>
    <row r="12" spans="1:21" x14ac:dyDescent="0.25">
      <c r="A12" s="204" t="s">
        <v>290</v>
      </c>
      <c r="B12" s="205" t="s">
        <v>291</v>
      </c>
      <c r="C12" s="205" t="s">
        <v>292</v>
      </c>
      <c r="D12" s="205" t="s">
        <v>293</v>
      </c>
      <c r="F12" s="209" t="s">
        <v>323</v>
      </c>
      <c r="G12">
        <v>37</v>
      </c>
      <c r="H12">
        <v>22</v>
      </c>
      <c r="I12" s="121">
        <v>16.899999999999999</v>
      </c>
      <c r="J12" s="124">
        <v>5</v>
      </c>
      <c r="K12" s="76">
        <v>2388</v>
      </c>
      <c r="L12" s="76">
        <v>894000</v>
      </c>
      <c r="M12" s="143">
        <v>3</v>
      </c>
      <c r="N12" s="76">
        <v>281000</v>
      </c>
      <c r="O12" s="76">
        <f t="shared" si="0"/>
        <v>1175000</v>
      </c>
      <c r="P12" s="151">
        <v>8</v>
      </c>
      <c r="Q12" s="208">
        <f t="shared" si="1"/>
        <v>146875</v>
      </c>
      <c r="R12" s="76">
        <v>1995000</v>
      </c>
      <c r="S12" s="76">
        <f t="shared" si="2"/>
        <v>2889000</v>
      </c>
      <c r="T12" s="152">
        <f t="shared" si="3"/>
        <v>8</v>
      </c>
      <c r="U12" s="208">
        <f t="shared" si="4"/>
        <v>361125</v>
      </c>
    </row>
    <row r="13" spans="1:21" x14ac:dyDescent="0.25">
      <c r="A13" s="206" t="s">
        <v>294</v>
      </c>
      <c r="B13" s="207" t="s">
        <v>295</v>
      </c>
      <c r="C13" s="207" t="s">
        <v>296</v>
      </c>
      <c r="D13" s="207" t="s">
        <v>297</v>
      </c>
      <c r="F13" s="211" t="s">
        <v>381</v>
      </c>
      <c r="G13">
        <v>39</v>
      </c>
      <c r="H13">
        <v>50</v>
      </c>
      <c r="I13" s="121">
        <v>12.2</v>
      </c>
      <c r="J13" s="124">
        <v>5</v>
      </c>
      <c r="K13" s="76">
        <v>300</v>
      </c>
      <c r="L13" s="76">
        <v>148920</v>
      </c>
      <c r="M13" s="143">
        <v>3</v>
      </c>
      <c r="N13" s="76">
        <v>385000</v>
      </c>
      <c r="O13" s="76">
        <f t="shared" si="0"/>
        <v>533920</v>
      </c>
      <c r="P13" s="151">
        <v>8</v>
      </c>
      <c r="Q13" s="208">
        <f t="shared" si="1"/>
        <v>66740</v>
      </c>
      <c r="R13" s="76">
        <v>2750000</v>
      </c>
      <c r="S13" s="76">
        <f t="shared" si="2"/>
        <v>2898920</v>
      </c>
      <c r="T13" s="152">
        <f t="shared" si="3"/>
        <v>8</v>
      </c>
      <c r="U13" s="208">
        <f t="shared" si="4"/>
        <v>362365</v>
      </c>
    </row>
    <row r="14" spans="1:21" x14ac:dyDescent="0.25">
      <c r="A14" s="204" t="s">
        <v>298</v>
      </c>
      <c r="B14" s="205" t="s">
        <v>299</v>
      </c>
      <c r="C14" s="205" t="s">
        <v>300</v>
      </c>
      <c r="D14" s="205" t="s">
        <v>301</v>
      </c>
      <c r="F14" s="211" t="s">
        <v>384</v>
      </c>
      <c r="G14">
        <v>35</v>
      </c>
      <c r="H14">
        <v>108</v>
      </c>
      <c r="I14" s="121">
        <v>12.5</v>
      </c>
      <c r="J14" s="124">
        <v>5</v>
      </c>
      <c r="K14" s="76">
        <v>1296</v>
      </c>
      <c r="L14" s="76">
        <v>255000</v>
      </c>
      <c r="M14" s="143">
        <v>3</v>
      </c>
      <c r="N14" s="76">
        <v>375000</v>
      </c>
      <c r="O14" s="76">
        <f t="shared" si="0"/>
        <v>630000</v>
      </c>
      <c r="P14" s="151">
        <v>8</v>
      </c>
      <c r="Q14" s="208">
        <f t="shared" si="1"/>
        <v>78750</v>
      </c>
      <c r="R14" s="76">
        <v>2700000</v>
      </c>
      <c r="S14" s="76">
        <f t="shared" si="2"/>
        <v>2955000</v>
      </c>
      <c r="T14" s="152">
        <f t="shared" si="3"/>
        <v>8</v>
      </c>
      <c r="U14" s="208">
        <f t="shared" si="4"/>
        <v>369375</v>
      </c>
    </row>
    <row r="15" spans="1:21" x14ac:dyDescent="0.25">
      <c r="A15" s="206" t="s">
        <v>302</v>
      </c>
      <c r="B15" s="207" t="s">
        <v>303</v>
      </c>
      <c r="C15" s="207" t="s">
        <v>304</v>
      </c>
      <c r="D15" s="207" t="s">
        <v>305</v>
      </c>
      <c r="F15" s="211" t="s">
        <v>378</v>
      </c>
      <c r="G15">
        <v>39</v>
      </c>
      <c r="H15">
        <v>27</v>
      </c>
      <c r="I15" s="121">
        <v>13.2</v>
      </c>
      <c r="J15" s="124">
        <v>5</v>
      </c>
      <c r="K15" s="76">
        <v>384</v>
      </c>
      <c r="L15" s="76">
        <v>500000</v>
      </c>
      <c r="M15" s="143">
        <v>3</v>
      </c>
      <c r="N15" s="153">
        <v>355000</v>
      </c>
      <c r="O15" s="76">
        <f t="shared" si="0"/>
        <v>855000</v>
      </c>
      <c r="P15" s="151">
        <v>8</v>
      </c>
      <c r="Q15" s="208">
        <f t="shared" si="1"/>
        <v>106875</v>
      </c>
      <c r="R15" s="76">
        <v>2495000</v>
      </c>
      <c r="S15" s="76">
        <f t="shared" si="2"/>
        <v>2995000</v>
      </c>
      <c r="T15" s="152">
        <f t="shared" si="3"/>
        <v>8</v>
      </c>
      <c r="U15" s="208">
        <f t="shared" si="4"/>
        <v>374375</v>
      </c>
    </row>
    <row r="16" spans="1:21" x14ac:dyDescent="0.25">
      <c r="A16" s="204" t="s">
        <v>306</v>
      </c>
      <c r="B16" s="205" t="s">
        <v>307</v>
      </c>
      <c r="C16" s="205" t="s">
        <v>308</v>
      </c>
      <c r="D16" s="205" t="s">
        <v>309</v>
      </c>
      <c r="F16" s="211" t="s">
        <v>377</v>
      </c>
      <c r="G16">
        <v>36</v>
      </c>
      <c r="H16">
        <v>50</v>
      </c>
      <c r="I16" s="121">
        <v>13.2</v>
      </c>
      <c r="J16" s="124">
        <v>5</v>
      </c>
      <c r="K16" s="76">
        <v>1884</v>
      </c>
      <c r="L16" s="76">
        <v>510000</v>
      </c>
      <c r="M16" s="143">
        <v>3</v>
      </c>
      <c r="N16" s="76">
        <v>355000</v>
      </c>
      <c r="O16" s="76">
        <f t="shared" si="0"/>
        <v>865000</v>
      </c>
      <c r="P16" s="151">
        <v>8</v>
      </c>
      <c r="Q16" s="208">
        <f t="shared" si="1"/>
        <v>108125</v>
      </c>
      <c r="R16" s="76">
        <v>2495000</v>
      </c>
      <c r="S16" s="76">
        <f t="shared" si="2"/>
        <v>3005000</v>
      </c>
      <c r="T16" s="152">
        <f t="shared" si="3"/>
        <v>8</v>
      </c>
      <c r="U16" s="208">
        <f t="shared" si="4"/>
        <v>375625</v>
      </c>
    </row>
    <row r="17" spans="1:21" x14ac:dyDescent="0.25">
      <c r="A17" s="206" t="s">
        <v>310</v>
      </c>
      <c r="B17" s="207" t="s">
        <v>311</v>
      </c>
      <c r="C17" s="207" t="s">
        <v>312</v>
      </c>
      <c r="D17" s="207" t="s">
        <v>313</v>
      </c>
      <c r="F17" s="211" t="s">
        <v>331</v>
      </c>
      <c r="G17">
        <v>43</v>
      </c>
      <c r="H17">
        <v>37</v>
      </c>
      <c r="I17" s="121">
        <v>17.2</v>
      </c>
      <c r="J17" s="124">
        <v>5</v>
      </c>
      <c r="K17" s="76">
        <v>324</v>
      </c>
      <c r="L17" s="76">
        <v>1200000</v>
      </c>
      <c r="M17" s="143">
        <v>3</v>
      </c>
      <c r="N17" s="76">
        <v>273000</v>
      </c>
      <c r="O17" s="76">
        <f t="shared" si="0"/>
        <v>1473000</v>
      </c>
      <c r="P17" s="151">
        <v>8</v>
      </c>
      <c r="Q17" s="208">
        <f t="shared" si="1"/>
        <v>184125</v>
      </c>
      <c r="R17" s="76">
        <v>1940000</v>
      </c>
      <c r="S17" s="76">
        <f t="shared" si="2"/>
        <v>3140000</v>
      </c>
      <c r="T17" s="152">
        <f t="shared" si="3"/>
        <v>8</v>
      </c>
      <c r="U17" s="208">
        <f t="shared" si="4"/>
        <v>392500</v>
      </c>
    </row>
    <row r="18" spans="1:21" x14ac:dyDescent="0.25">
      <c r="A18" s="204" t="s">
        <v>314</v>
      </c>
      <c r="B18" s="205" t="s">
        <v>315</v>
      </c>
      <c r="C18" s="205" t="s">
        <v>316</v>
      </c>
      <c r="D18" s="205" t="s">
        <v>317</v>
      </c>
      <c r="F18" s="211" t="s">
        <v>376</v>
      </c>
      <c r="G18">
        <v>39</v>
      </c>
      <c r="H18">
        <v>27</v>
      </c>
      <c r="I18" s="121">
        <v>13.3</v>
      </c>
      <c r="J18" s="124">
        <v>5</v>
      </c>
      <c r="K18" s="76">
        <v>396</v>
      </c>
      <c r="L18" s="76">
        <v>700000</v>
      </c>
      <c r="M18" s="143">
        <v>3</v>
      </c>
      <c r="N18" s="76">
        <v>355000</v>
      </c>
      <c r="O18" s="76">
        <f t="shared" si="0"/>
        <v>1055000</v>
      </c>
      <c r="P18" s="151">
        <v>8</v>
      </c>
      <c r="Q18" s="208">
        <f t="shared" si="1"/>
        <v>131875</v>
      </c>
      <c r="R18" s="76">
        <v>2495000</v>
      </c>
      <c r="S18" s="76">
        <f t="shared" si="2"/>
        <v>3195000</v>
      </c>
      <c r="T18" s="152">
        <f t="shared" si="3"/>
        <v>8</v>
      </c>
      <c r="U18" s="208">
        <f t="shared" si="4"/>
        <v>399375</v>
      </c>
    </row>
    <row r="19" spans="1:21" x14ac:dyDescent="0.25">
      <c r="F19" s="211" t="s">
        <v>392</v>
      </c>
      <c r="G19">
        <v>42</v>
      </c>
      <c r="H19">
        <v>63</v>
      </c>
      <c r="I19" s="121">
        <v>16</v>
      </c>
      <c r="J19" s="124">
        <v>5</v>
      </c>
      <c r="K19" s="76">
        <v>300</v>
      </c>
      <c r="L19" s="76">
        <v>1193000</v>
      </c>
      <c r="M19" s="143">
        <v>3</v>
      </c>
      <c r="N19" s="76">
        <v>296000</v>
      </c>
      <c r="O19" s="76">
        <f t="shared" si="0"/>
        <v>1489000</v>
      </c>
      <c r="P19" s="151">
        <v>8</v>
      </c>
      <c r="Q19" s="208">
        <f t="shared" si="1"/>
        <v>186125</v>
      </c>
      <c r="R19" s="76">
        <v>2105200</v>
      </c>
      <c r="S19" s="76">
        <f t="shared" si="2"/>
        <v>3298200</v>
      </c>
      <c r="T19" s="152">
        <f t="shared" si="3"/>
        <v>8</v>
      </c>
      <c r="U19" s="208">
        <f t="shared" si="4"/>
        <v>412275</v>
      </c>
    </row>
    <row r="20" spans="1:21" x14ac:dyDescent="0.25">
      <c r="A20" s="11" t="s">
        <v>256</v>
      </c>
      <c r="B20" s="11" t="s">
        <v>257</v>
      </c>
      <c r="F20" s="209" t="s">
        <v>326</v>
      </c>
      <c r="G20">
        <v>37</v>
      </c>
      <c r="H20">
        <v>47</v>
      </c>
      <c r="I20" s="121">
        <v>20.100000000000001</v>
      </c>
      <c r="J20" s="124">
        <v>4</v>
      </c>
      <c r="K20" s="76">
        <f>2240*1.2</f>
        <v>2688</v>
      </c>
      <c r="L20" s="76">
        <v>510001</v>
      </c>
      <c r="M20" s="143">
        <v>3</v>
      </c>
      <c r="N20" s="76">
        <v>235000</v>
      </c>
      <c r="O20" s="76">
        <f t="shared" si="0"/>
        <v>745001</v>
      </c>
      <c r="P20" s="151">
        <v>6.5</v>
      </c>
      <c r="Q20" s="208">
        <f t="shared" si="1"/>
        <v>114615.53846153847</v>
      </c>
      <c r="R20" s="76">
        <v>1600000</v>
      </c>
      <c r="S20" s="76">
        <f t="shared" si="2"/>
        <v>2110001</v>
      </c>
      <c r="T20" s="152">
        <f t="shared" si="3"/>
        <v>6.5</v>
      </c>
      <c r="U20" s="208">
        <f t="shared" si="4"/>
        <v>324615.53846153844</v>
      </c>
    </row>
    <row r="21" spans="1:21" x14ac:dyDescent="0.25">
      <c r="A21" s="240" t="s">
        <v>255</v>
      </c>
      <c r="B21" s="240">
        <v>2</v>
      </c>
      <c r="F21" s="209" t="s">
        <v>336</v>
      </c>
      <c r="G21">
        <v>36</v>
      </c>
      <c r="H21">
        <v>51</v>
      </c>
      <c r="I21" s="121">
        <v>22.6</v>
      </c>
      <c r="J21" s="124">
        <v>4</v>
      </c>
      <c r="K21" s="76">
        <v>6540</v>
      </c>
      <c r="L21" s="76">
        <v>692580</v>
      </c>
      <c r="M21" s="143">
        <v>3</v>
      </c>
      <c r="N21" s="76">
        <v>225000</v>
      </c>
      <c r="O21" s="76">
        <f t="shared" si="0"/>
        <v>917580</v>
      </c>
      <c r="P21" s="151">
        <v>6.5</v>
      </c>
      <c r="Q21" s="208">
        <f t="shared" si="1"/>
        <v>141166.15384615384</v>
      </c>
      <c r="R21" s="76">
        <v>1550000</v>
      </c>
      <c r="S21" s="76">
        <f t="shared" si="2"/>
        <v>2242580</v>
      </c>
      <c r="T21" s="152">
        <f t="shared" si="3"/>
        <v>6.5</v>
      </c>
      <c r="U21" s="208">
        <f t="shared" si="4"/>
        <v>345012.30769230769</v>
      </c>
    </row>
    <row r="22" spans="1:21" x14ac:dyDescent="0.25">
      <c r="A22" s="240" t="s">
        <v>254</v>
      </c>
      <c r="B22" s="240">
        <v>1.5</v>
      </c>
      <c r="F22" s="211" t="s">
        <v>373</v>
      </c>
      <c r="G22">
        <v>41</v>
      </c>
      <c r="H22">
        <v>59</v>
      </c>
      <c r="I22" s="121">
        <v>16.3</v>
      </c>
      <c r="J22" s="124">
        <v>4</v>
      </c>
      <c r="K22" s="76">
        <v>312</v>
      </c>
      <c r="L22" s="76">
        <v>463000</v>
      </c>
      <c r="M22" s="143">
        <v>4</v>
      </c>
      <c r="N22" s="153">
        <v>289000</v>
      </c>
      <c r="O22" s="76">
        <f t="shared" si="0"/>
        <v>752000</v>
      </c>
      <c r="P22" s="151">
        <v>6.5</v>
      </c>
      <c r="Q22" s="208">
        <f t="shared" si="1"/>
        <v>115692.30769230769</v>
      </c>
      <c r="R22" s="76">
        <v>2015000</v>
      </c>
      <c r="S22" s="76">
        <f t="shared" si="2"/>
        <v>2478000</v>
      </c>
      <c r="T22" s="152">
        <f t="shared" si="3"/>
        <v>6.5</v>
      </c>
      <c r="U22" s="208">
        <f t="shared" si="4"/>
        <v>381230.76923076925</v>
      </c>
    </row>
    <row r="23" spans="1:21" x14ac:dyDescent="0.25">
      <c r="A23" s="240" t="s">
        <v>253</v>
      </c>
      <c r="B23" s="240">
        <v>1.5</v>
      </c>
      <c r="F23" s="211" t="s">
        <v>362</v>
      </c>
      <c r="G23">
        <v>37</v>
      </c>
      <c r="H23">
        <v>4</v>
      </c>
      <c r="I23" s="121">
        <v>16.899999999999999</v>
      </c>
      <c r="J23" s="124">
        <v>4</v>
      </c>
      <c r="K23" s="76">
        <v>3384</v>
      </c>
      <c r="L23" s="76">
        <v>500000</v>
      </c>
      <c r="M23" s="143">
        <v>3</v>
      </c>
      <c r="N23" s="76">
        <v>280000</v>
      </c>
      <c r="O23" s="76">
        <f t="shared" si="0"/>
        <v>780000</v>
      </c>
      <c r="P23" s="151">
        <v>6.5</v>
      </c>
      <c r="Q23" s="208">
        <f t="shared" si="1"/>
        <v>120000</v>
      </c>
      <c r="R23" s="76">
        <v>1999000</v>
      </c>
      <c r="S23" s="76">
        <f t="shared" si="2"/>
        <v>2499000</v>
      </c>
      <c r="T23" s="152">
        <f t="shared" si="3"/>
        <v>6.5</v>
      </c>
      <c r="U23" s="208">
        <f t="shared" si="4"/>
        <v>384461.53846153844</v>
      </c>
    </row>
    <row r="24" spans="1:21" x14ac:dyDescent="0.25">
      <c r="A24" s="240" t="s">
        <v>250</v>
      </c>
      <c r="B24" s="240">
        <v>1.5</v>
      </c>
      <c r="F24" s="211" t="s">
        <v>364</v>
      </c>
      <c r="G24">
        <v>36</v>
      </c>
      <c r="H24">
        <v>83</v>
      </c>
      <c r="I24" s="121">
        <v>16.600000000000001</v>
      </c>
      <c r="J24" s="124">
        <v>4</v>
      </c>
      <c r="K24" s="76">
        <v>3552</v>
      </c>
      <c r="L24" s="76">
        <v>569000</v>
      </c>
      <c r="M24" s="143">
        <v>3</v>
      </c>
      <c r="N24" s="76">
        <v>284000</v>
      </c>
      <c r="O24" s="76">
        <f t="shared" si="0"/>
        <v>853000</v>
      </c>
      <c r="P24" s="151">
        <v>6.5</v>
      </c>
      <c r="Q24" s="208">
        <f t="shared" si="1"/>
        <v>131230.76923076922</v>
      </c>
      <c r="R24" s="76">
        <v>2000000</v>
      </c>
      <c r="S24" s="76">
        <f t="shared" si="2"/>
        <v>2569000</v>
      </c>
      <c r="T24" s="152">
        <f t="shared" si="3"/>
        <v>6.5</v>
      </c>
      <c r="U24" s="208">
        <f t="shared" si="4"/>
        <v>395230.76923076925</v>
      </c>
    </row>
    <row r="25" spans="1:21" x14ac:dyDescent="0.25">
      <c r="A25" s="240" t="s">
        <v>251</v>
      </c>
      <c r="B25" s="240">
        <v>1.5</v>
      </c>
      <c r="F25" s="211" t="s">
        <v>385</v>
      </c>
      <c r="G25">
        <v>39</v>
      </c>
      <c r="H25">
        <v>107</v>
      </c>
      <c r="I25" s="121">
        <v>16.3</v>
      </c>
      <c r="J25" s="124">
        <v>4</v>
      </c>
      <c r="K25" s="76">
        <v>1008</v>
      </c>
      <c r="L25" s="76">
        <v>600000</v>
      </c>
      <c r="M25" s="143">
        <v>3</v>
      </c>
      <c r="N25" s="76">
        <v>289000</v>
      </c>
      <c r="O25" s="76">
        <f t="shared" si="0"/>
        <v>889000</v>
      </c>
      <c r="P25" s="151">
        <v>6.5</v>
      </c>
      <c r="Q25" s="208">
        <f t="shared" si="1"/>
        <v>136769.23076923078</v>
      </c>
      <c r="R25" s="76">
        <v>2015000</v>
      </c>
      <c r="S25" s="76">
        <f t="shared" si="2"/>
        <v>2615000</v>
      </c>
      <c r="T25" s="152">
        <f t="shared" si="3"/>
        <v>6.5</v>
      </c>
      <c r="U25" s="208">
        <f t="shared" si="4"/>
        <v>402307.69230769231</v>
      </c>
    </row>
    <row r="26" spans="1:21" x14ac:dyDescent="0.25">
      <c r="A26" s="240" t="s">
        <v>252</v>
      </c>
      <c r="B26" s="240">
        <v>1.5</v>
      </c>
      <c r="F26" s="211" t="s">
        <v>363</v>
      </c>
      <c r="G26">
        <v>37</v>
      </c>
      <c r="H26">
        <v>48</v>
      </c>
      <c r="I26" s="121">
        <v>18.399999999999999</v>
      </c>
      <c r="J26" s="124">
        <v>4</v>
      </c>
      <c r="K26" s="76">
        <v>1872</v>
      </c>
      <c r="L26" s="76">
        <v>849660</v>
      </c>
      <c r="M26" s="143">
        <v>3</v>
      </c>
      <c r="N26" s="76">
        <v>258000</v>
      </c>
      <c r="O26" s="76">
        <f t="shared" si="0"/>
        <v>1107660</v>
      </c>
      <c r="P26" s="151">
        <v>6.5</v>
      </c>
      <c r="Q26" s="208">
        <f t="shared" si="1"/>
        <v>170409.23076923078</v>
      </c>
      <c r="R26" s="76">
        <v>1820000</v>
      </c>
      <c r="S26" s="76">
        <f t="shared" si="2"/>
        <v>2669660</v>
      </c>
      <c r="T26" s="152">
        <f t="shared" si="3"/>
        <v>6.5</v>
      </c>
      <c r="U26" s="208">
        <f t="shared" si="4"/>
        <v>410716.92307692306</v>
      </c>
    </row>
    <row r="27" spans="1:21" x14ac:dyDescent="0.25">
      <c r="A27" s="240"/>
      <c r="B27" s="240"/>
      <c r="F27" s="211" t="s">
        <v>395</v>
      </c>
      <c r="G27">
        <v>38</v>
      </c>
      <c r="H27">
        <v>37</v>
      </c>
      <c r="I27" s="121">
        <v>19.2</v>
      </c>
      <c r="J27" s="124">
        <v>4</v>
      </c>
      <c r="K27" s="76">
        <v>1500</v>
      </c>
      <c r="L27" s="76">
        <v>1019000</v>
      </c>
      <c r="M27" s="143">
        <v>3</v>
      </c>
      <c r="N27" s="76">
        <v>245000</v>
      </c>
      <c r="O27" s="76">
        <f>L27+N27</f>
        <v>1264000</v>
      </c>
      <c r="P27" s="151">
        <v>6.5</v>
      </c>
      <c r="Q27" s="208">
        <f>O27/P27</f>
        <v>194461.53846153847</v>
      </c>
      <c r="R27" s="76">
        <v>1700000</v>
      </c>
      <c r="S27" s="76">
        <f>R27+L27</f>
        <v>2719000</v>
      </c>
      <c r="T27" s="152">
        <f>P27</f>
        <v>6.5</v>
      </c>
      <c r="U27" s="208">
        <f>S27/T27</f>
        <v>418307.69230769231</v>
      </c>
    </row>
    <row r="28" spans="1:21" x14ac:dyDescent="0.25">
      <c r="A28" s="11" t="s">
        <v>319</v>
      </c>
      <c r="B28" s="11" t="s">
        <v>320</v>
      </c>
      <c r="F28" s="211" t="s">
        <v>397</v>
      </c>
      <c r="G28">
        <v>37</v>
      </c>
      <c r="H28">
        <v>75</v>
      </c>
      <c r="I28" s="121">
        <v>18.8</v>
      </c>
      <c r="J28" s="124">
        <v>4</v>
      </c>
      <c r="K28" s="76">
        <v>2496</v>
      </c>
      <c r="L28" s="76">
        <v>995000</v>
      </c>
      <c r="M28" s="143">
        <v>3</v>
      </c>
      <c r="N28" s="76">
        <v>255000</v>
      </c>
      <c r="O28" s="76">
        <f>L28+N28</f>
        <v>1250000</v>
      </c>
      <c r="P28" s="151">
        <v>6.5</v>
      </c>
      <c r="Q28" s="208">
        <f>O28/P28</f>
        <v>192307.69230769231</v>
      </c>
      <c r="R28" s="76">
        <v>1800000</v>
      </c>
      <c r="S28" s="76">
        <f>R28+L28</f>
        <v>2795000</v>
      </c>
      <c r="T28" s="152">
        <f>P28</f>
        <v>6.5</v>
      </c>
      <c r="U28" s="208">
        <f>S28/T28</f>
        <v>430000</v>
      </c>
    </row>
    <row r="29" spans="1:21" x14ac:dyDescent="0.25">
      <c r="A29" s="240" t="s">
        <v>148</v>
      </c>
      <c r="B29" s="42">
        <v>9.5</v>
      </c>
      <c r="F29" s="209" t="s">
        <v>361</v>
      </c>
      <c r="G29">
        <v>35</v>
      </c>
      <c r="H29">
        <v>102</v>
      </c>
      <c r="I29" s="121">
        <v>18.899999999999999</v>
      </c>
      <c r="J29" s="124">
        <v>4</v>
      </c>
      <c r="K29" s="76">
        <v>8052</v>
      </c>
      <c r="L29" s="76">
        <v>1250000</v>
      </c>
      <c r="M29" s="143">
        <v>3</v>
      </c>
      <c r="N29" s="76">
        <v>251000</v>
      </c>
      <c r="O29" s="76">
        <f t="shared" si="0"/>
        <v>1501000</v>
      </c>
      <c r="P29" s="151">
        <v>6.5</v>
      </c>
      <c r="Q29" s="208">
        <f t="shared" si="1"/>
        <v>230923.07692307694</v>
      </c>
      <c r="R29" s="76">
        <v>1778000</v>
      </c>
      <c r="S29" s="76">
        <f t="shared" si="2"/>
        <v>3028000</v>
      </c>
      <c r="T29" s="152">
        <f t="shared" si="3"/>
        <v>6.5</v>
      </c>
      <c r="U29" s="208">
        <f t="shared" si="4"/>
        <v>465846.15384615387</v>
      </c>
    </row>
    <row r="30" spans="1:21" x14ac:dyDescent="0.25">
      <c r="A30" s="240" t="s">
        <v>109</v>
      </c>
      <c r="B30" s="42">
        <v>8</v>
      </c>
      <c r="F30" s="211" t="s">
        <v>396</v>
      </c>
      <c r="G30">
        <v>33</v>
      </c>
      <c r="H30">
        <v>38</v>
      </c>
      <c r="I30" s="121">
        <v>18.5</v>
      </c>
      <c r="J30" s="124">
        <v>4</v>
      </c>
      <c r="K30" s="76">
        <v>21756</v>
      </c>
      <c r="L30" s="76">
        <v>1246441</v>
      </c>
      <c r="M30" s="143">
        <v>3</v>
      </c>
      <c r="N30" s="76">
        <v>258000</v>
      </c>
      <c r="O30" s="76">
        <f>L30+N30</f>
        <v>1504441</v>
      </c>
      <c r="P30" s="151">
        <v>6.5</v>
      </c>
      <c r="Q30" s="208">
        <f>O30/P30</f>
        <v>231452.46153846153</v>
      </c>
      <c r="R30" s="76">
        <v>1830000</v>
      </c>
      <c r="S30" s="76">
        <f>R30+L30</f>
        <v>3076441</v>
      </c>
      <c r="T30" s="152">
        <f>P30</f>
        <v>6.5</v>
      </c>
      <c r="U30" s="208">
        <f>S30/T30</f>
        <v>473298.61538461538</v>
      </c>
    </row>
    <row r="31" spans="1:21" x14ac:dyDescent="0.25">
      <c r="A31" s="240" t="s">
        <v>110</v>
      </c>
      <c r="B31" s="42">
        <f>B30-1.5</f>
        <v>6.5</v>
      </c>
      <c r="F31" s="211" t="s">
        <v>365</v>
      </c>
      <c r="G31">
        <v>34</v>
      </c>
      <c r="H31">
        <v>43</v>
      </c>
      <c r="I31" s="121">
        <v>18.2</v>
      </c>
      <c r="J31" s="124">
        <v>4</v>
      </c>
      <c r="K31" s="76">
        <v>9804</v>
      </c>
      <c r="L31" s="76">
        <v>1400000</v>
      </c>
      <c r="M31" s="143">
        <v>3</v>
      </c>
      <c r="N31" s="76">
        <v>258000</v>
      </c>
      <c r="O31" s="76">
        <f t="shared" si="0"/>
        <v>1658000</v>
      </c>
      <c r="P31" s="151">
        <v>6.5</v>
      </c>
      <c r="Q31" s="208">
        <f t="shared" si="1"/>
        <v>255076.92307692306</v>
      </c>
      <c r="R31" s="76">
        <v>1830000</v>
      </c>
      <c r="S31" s="76">
        <f t="shared" si="2"/>
        <v>3230000</v>
      </c>
      <c r="T31" s="152">
        <f t="shared" si="3"/>
        <v>6.5</v>
      </c>
      <c r="U31" s="208">
        <f t="shared" si="4"/>
        <v>496923.07692307694</v>
      </c>
    </row>
    <row r="32" spans="1:21" x14ac:dyDescent="0.25">
      <c r="A32" s="240" t="s">
        <v>111</v>
      </c>
      <c r="B32" s="42">
        <f t="shared" ref="B32" si="5">B31-1.5</f>
        <v>5</v>
      </c>
      <c r="F32" s="211" t="s">
        <v>371</v>
      </c>
      <c r="G32">
        <v>36</v>
      </c>
      <c r="H32">
        <v>16</v>
      </c>
      <c r="I32" s="121">
        <v>19.3</v>
      </c>
      <c r="J32" s="124">
        <v>4</v>
      </c>
      <c r="K32" s="76">
        <v>7020</v>
      </c>
      <c r="L32" s="76">
        <v>1745000</v>
      </c>
      <c r="M32" s="143">
        <v>4</v>
      </c>
      <c r="N32" s="76">
        <v>245000</v>
      </c>
      <c r="O32" s="76">
        <f t="shared" si="0"/>
        <v>1990000</v>
      </c>
      <c r="P32" s="151">
        <v>6.5</v>
      </c>
      <c r="Q32" s="208">
        <f t="shared" si="1"/>
        <v>306153.84615384613</v>
      </c>
      <c r="R32" s="76">
        <v>1700000</v>
      </c>
      <c r="S32" s="76">
        <f t="shared" si="2"/>
        <v>3445000</v>
      </c>
      <c r="T32" s="152">
        <f t="shared" si="3"/>
        <v>6.5</v>
      </c>
      <c r="U32" s="208">
        <f t="shared" si="4"/>
        <v>530000</v>
      </c>
    </row>
    <row r="33" spans="1:21" x14ac:dyDescent="0.25">
      <c r="A33" s="240" t="s">
        <v>112</v>
      </c>
      <c r="B33" s="42">
        <f>2+1.5</f>
        <v>3.5</v>
      </c>
      <c r="F33" s="211" t="s">
        <v>367</v>
      </c>
      <c r="G33">
        <v>34</v>
      </c>
      <c r="H33">
        <v>105</v>
      </c>
      <c r="I33" s="121">
        <v>28.5</v>
      </c>
      <c r="J33" s="124">
        <v>4</v>
      </c>
      <c r="K33" s="76">
        <v>15024</v>
      </c>
      <c r="L33" s="76">
        <v>2554080</v>
      </c>
      <c r="M33" s="143">
        <v>3</v>
      </c>
      <c r="N33" s="153">
        <v>178000</v>
      </c>
      <c r="O33" s="76">
        <f t="shared" si="0"/>
        <v>2732080</v>
      </c>
      <c r="P33" s="151">
        <v>6.5</v>
      </c>
      <c r="Q33" s="208">
        <f t="shared" si="1"/>
        <v>420320</v>
      </c>
      <c r="R33" s="76">
        <v>1369000</v>
      </c>
      <c r="S33" s="76">
        <f t="shared" si="2"/>
        <v>3923080</v>
      </c>
      <c r="T33" s="152">
        <f t="shared" si="3"/>
        <v>6.5</v>
      </c>
      <c r="U33" s="208">
        <f t="shared" si="4"/>
        <v>603550.76923076925</v>
      </c>
    </row>
    <row r="34" spans="1:21" x14ac:dyDescent="0.25">
      <c r="A34" s="240" t="s">
        <v>322</v>
      </c>
      <c r="B34" s="42">
        <v>2</v>
      </c>
      <c r="F34" s="211" t="s">
        <v>370</v>
      </c>
      <c r="G34">
        <v>38</v>
      </c>
      <c r="H34">
        <v>2</v>
      </c>
      <c r="I34" s="121">
        <v>22.7</v>
      </c>
      <c r="J34" s="124">
        <v>3</v>
      </c>
      <c r="K34" s="76">
        <v>1980</v>
      </c>
      <c r="L34" s="76">
        <v>153000</v>
      </c>
      <c r="M34" s="143">
        <v>4</v>
      </c>
      <c r="N34" s="76">
        <v>225000</v>
      </c>
      <c r="O34" s="76">
        <f t="shared" si="0"/>
        <v>378000</v>
      </c>
      <c r="P34" s="151">
        <v>5</v>
      </c>
      <c r="Q34" s="208">
        <f t="shared" si="1"/>
        <v>75600</v>
      </c>
      <c r="R34" s="76">
        <v>1555000</v>
      </c>
      <c r="S34" s="76">
        <f t="shared" si="2"/>
        <v>1708000</v>
      </c>
      <c r="T34" s="152">
        <f t="shared" si="3"/>
        <v>5</v>
      </c>
      <c r="U34" s="208">
        <f t="shared" si="4"/>
        <v>341600</v>
      </c>
    </row>
    <row r="35" spans="1:21" x14ac:dyDescent="0.25">
      <c r="A35" s="240" t="s">
        <v>321</v>
      </c>
      <c r="B35" s="42">
        <v>1</v>
      </c>
      <c r="F35" s="211" t="s">
        <v>329</v>
      </c>
      <c r="G35">
        <v>39</v>
      </c>
      <c r="H35">
        <v>26</v>
      </c>
      <c r="I35" s="121">
        <v>20.100000000000001</v>
      </c>
      <c r="J35" s="124">
        <v>3</v>
      </c>
      <c r="K35" s="76">
        <v>888</v>
      </c>
      <c r="L35" s="76">
        <v>213180</v>
      </c>
      <c r="M35" s="143">
        <v>3</v>
      </c>
      <c r="N35" s="76">
        <v>235000</v>
      </c>
      <c r="O35" s="76">
        <f t="shared" si="0"/>
        <v>448180</v>
      </c>
      <c r="P35" s="151">
        <v>5</v>
      </c>
      <c r="Q35" s="208">
        <f t="shared" si="1"/>
        <v>89636</v>
      </c>
      <c r="R35" s="76">
        <v>1600000</v>
      </c>
      <c r="S35" s="76">
        <f t="shared" si="2"/>
        <v>1813180</v>
      </c>
      <c r="T35" s="152">
        <f t="shared" si="3"/>
        <v>5</v>
      </c>
      <c r="U35" s="208">
        <f t="shared" si="4"/>
        <v>362636</v>
      </c>
    </row>
    <row r="36" spans="1:21" x14ac:dyDescent="0.25">
      <c r="F36" s="211" t="s">
        <v>398</v>
      </c>
      <c r="G36">
        <v>40</v>
      </c>
      <c r="H36">
        <v>31</v>
      </c>
      <c r="I36" s="121">
        <v>18.7</v>
      </c>
      <c r="J36" s="124">
        <v>3</v>
      </c>
      <c r="K36" s="76">
        <v>432</v>
      </c>
      <c r="L36" s="76">
        <v>75480</v>
      </c>
      <c r="M36" s="143">
        <v>3</v>
      </c>
      <c r="N36" s="153">
        <v>257000</v>
      </c>
      <c r="O36" s="76">
        <f>L36+N36</f>
        <v>332480</v>
      </c>
      <c r="P36" s="151">
        <v>5</v>
      </c>
      <c r="Q36" s="208">
        <f>O36/P36</f>
        <v>66496</v>
      </c>
      <c r="R36" s="76">
        <v>1810000</v>
      </c>
      <c r="S36" s="76">
        <f>R36+L36</f>
        <v>1885480</v>
      </c>
      <c r="T36" s="152">
        <f>P36</f>
        <v>5</v>
      </c>
      <c r="U36" s="208">
        <f>S36/T36</f>
        <v>377096</v>
      </c>
    </row>
    <row r="37" spans="1:21" x14ac:dyDescent="0.25">
      <c r="F37" s="211" t="s">
        <v>391</v>
      </c>
      <c r="G37">
        <v>39</v>
      </c>
      <c r="H37">
        <v>27</v>
      </c>
      <c r="I37" s="121">
        <v>19.8</v>
      </c>
      <c r="J37" s="124">
        <v>3</v>
      </c>
      <c r="K37" s="76">
        <v>552</v>
      </c>
      <c r="L37" s="76">
        <v>230520</v>
      </c>
      <c r="M37" s="143">
        <v>3</v>
      </c>
      <c r="N37" s="76">
        <v>240000</v>
      </c>
      <c r="O37" s="76">
        <f t="shared" si="0"/>
        <v>470520</v>
      </c>
      <c r="P37" s="151">
        <v>5</v>
      </c>
      <c r="Q37" s="208">
        <f t="shared" si="1"/>
        <v>94104</v>
      </c>
      <c r="R37" s="76">
        <v>1700000</v>
      </c>
      <c r="S37" s="76">
        <f t="shared" si="2"/>
        <v>1930520</v>
      </c>
      <c r="T37" s="152">
        <f t="shared" si="3"/>
        <v>5</v>
      </c>
      <c r="U37" s="208">
        <f t="shared" si="4"/>
        <v>386104</v>
      </c>
    </row>
    <row r="38" spans="1:21" x14ac:dyDescent="0.25">
      <c r="F38" s="211" t="s">
        <v>325</v>
      </c>
      <c r="G38">
        <v>38</v>
      </c>
      <c r="H38">
        <v>39</v>
      </c>
      <c r="I38" s="121">
        <v>18.8</v>
      </c>
      <c r="J38" s="124">
        <v>3</v>
      </c>
      <c r="K38" s="76">
        <v>864</v>
      </c>
      <c r="L38" s="76">
        <v>235620</v>
      </c>
      <c r="M38" s="143">
        <v>3</v>
      </c>
      <c r="N38" s="76">
        <v>255000</v>
      </c>
      <c r="O38" s="76">
        <f t="shared" si="0"/>
        <v>490620</v>
      </c>
      <c r="P38" s="151">
        <v>5</v>
      </c>
      <c r="Q38" s="208">
        <f t="shared" si="1"/>
        <v>98124</v>
      </c>
      <c r="R38" s="76">
        <v>1795000</v>
      </c>
      <c r="S38" s="76">
        <f t="shared" si="2"/>
        <v>2030620</v>
      </c>
      <c r="T38" s="152">
        <f t="shared" si="3"/>
        <v>5</v>
      </c>
      <c r="U38" s="208">
        <f t="shared" si="4"/>
        <v>406124</v>
      </c>
    </row>
    <row r="39" spans="1:21" x14ac:dyDescent="0.25">
      <c r="F39" s="211" t="s">
        <v>382</v>
      </c>
      <c r="G39">
        <v>41</v>
      </c>
      <c r="H39">
        <v>100</v>
      </c>
      <c r="I39" s="121">
        <v>16.3</v>
      </c>
      <c r="J39" s="124">
        <v>3</v>
      </c>
      <c r="K39" s="76">
        <v>444</v>
      </c>
      <c r="L39" s="76">
        <v>32000</v>
      </c>
      <c r="M39" s="143">
        <v>3</v>
      </c>
      <c r="N39" s="76">
        <v>289000</v>
      </c>
      <c r="O39" s="76">
        <f t="shared" ref="O39:O65" si="6">L39+N39</f>
        <v>321000</v>
      </c>
      <c r="P39" s="151">
        <v>5</v>
      </c>
      <c r="Q39" s="208">
        <f t="shared" ref="Q39:Q65" si="7">O39/P39</f>
        <v>64200</v>
      </c>
      <c r="R39" s="76">
        <v>2015000</v>
      </c>
      <c r="S39" s="76">
        <f t="shared" ref="S39:S65" si="8">R39+L39</f>
        <v>2047000</v>
      </c>
      <c r="T39" s="152">
        <f t="shared" ref="T39:T65" si="9">P39</f>
        <v>5</v>
      </c>
      <c r="U39" s="208">
        <f t="shared" ref="U39:U65" si="10">S39/T39</f>
        <v>409400</v>
      </c>
    </row>
    <row r="40" spans="1:21" x14ac:dyDescent="0.25">
      <c r="F40" s="211" t="s">
        <v>383</v>
      </c>
      <c r="G40">
        <v>39</v>
      </c>
      <c r="H40">
        <v>66</v>
      </c>
      <c r="I40" s="121">
        <v>16.7</v>
      </c>
      <c r="J40" s="124">
        <v>3</v>
      </c>
      <c r="K40" s="76">
        <v>492</v>
      </c>
      <c r="L40" s="76">
        <v>51000</v>
      </c>
      <c r="M40" s="143">
        <v>3</v>
      </c>
      <c r="N40" s="153">
        <v>284000</v>
      </c>
      <c r="O40" s="76">
        <f t="shared" si="6"/>
        <v>335000</v>
      </c>
      <c r="P40" s="151">
        <v>5</v>
      </c>
      <c r="Q40" s="208">
        <f t="shared" si="7"/>
        <v>67000</v>
      </c>
      <c r="R40" s="76">
        <v>2000000</v>
      </c>
      <c r="S40" s="76">
        <f t="shared" si="8"/>
        <v>2051000</v>
      </c>
      <c r="T40" s="152">
        <f t="shared" si="9"/>
        <v>5</v>
      </c>
      <c r="U40" s="208">
        <f t="shared" si="10"/>
        <v>410200</v>
      </c>
    </row>
    <row r="41" spans="1:21" x14ac:dyDescent="0.25">
      <c r="F41" s="209" t="s">
        <v>328</v>
      </c>
      <c r="G41">
        <v>39</v>
      </c>
      <c r="H41">
        <v>103</v>
      </c>
      <c r="I41" s="121">
        <v>16.7</v>
      </c>
      <c r="J41" s="124">
        <v>3</v>
      </c>
      <c r="K41" s="76">
        <v>972</v>
      </c>
      <c r="L41" s="76">
        <v>242500</v>
      </c>
      <c r="M41" s="143">
        <v>3</v>
      </c>
      <c r="N41" s="76">
        <v>285000</v>
      </c>
      <c r="O41" s="76">
        <f t="shared" si="6"/>
        <v>527500</v>
      </c>
      <c r="P41" s="151">
        <v>5</v>
      </c>
      <c r="Q41" s="208">
        <f t="shared" si="7"/>
        <v>105500</v>
      </c>
      <c r="R41" s="76">
        <v>2000000</v>
      </c>
      <c r="S41" s="76">
        <f t="shared" si="8"/>
        <v>2242500</v>
      </c>
      <c r="T41" s="152">
        <f t="shared" si="9"/>
        <v>5</v>
      </c>
      <c r="U41" s="208">
        <f t="shared" si="10"/>
        <v>448500</v>
      </c>
    </row>
    <row r="42" spans="1:21" x14ac:dyDescent="0.25">
      <c r="F42" s="211" t="s">
        <v>393</v>
      </c>
      <c r="G42">
        <v>35</v>
      </c>
      <c r="H42">
        <v>58</v>
      </c>
      <c r="I42" s="121">
        <v>18.8</v>
      </c>
      <c r="J42" s="124">
        <v>3</v>
      </c>
      <c r="K42" s="76">
        <v>9432</v>
      </c>
      <c r="L42" s="76">
        <v>955800</v>
      </c>
      <c r="M42" s="143">
        <v>3</v>
      </c>
      <c r="N42" s="153">
        <v>255000</v>
      </c>
      <c r="O42" s="76">
        <f>L42+N42</f>
        <v>1210800</v>
      </c>
      <c r="P42" s="151">
        <v>5</v>
      </c>
      <c r="Q42" s="208">
        <f>O42/P42</f>
        <v>242160</v>
      </c>
      <c r="R42" s="76">
        <v>1800000</v>
      </c>
      <c r="S42" s="76">
        <f>R42+L42</f>
        <v>2755800</v>
      </c>
      <c r="T42" s="152">
        <f>P42</f>
        <v>5</v>
      </c>
      <c r="U42" s="208">
        <f>S42/T42</f>
        <v>551160</v>
      </c>
    </row>
    <row r="43" spans="1:21" x14ac:dyDescent="0.25">
      <c r="F43" s="211" t="s">
        <v>390</v>
      </c>
      <c r="G43">
        <v>36</v>
      </c>
      <c r="H43">
        <v>51</v>
      </c>
      <c r="I43" s="121">
        <v>16.8</v>
      </c>
      <c r="J43" s="124">
        <v>3</v>
      </c>
      <c r="K43" s="76">
        <v>1836</v>
      </c>
      <c r="L43" s="76">
        <v>796620</v>
      </c>
      <c r="M43" s="143">
        <v>3</v>
      </c>
      <c r="N43" s="76">
        <v>284000</v>
      </c>
      <c r="O43" s="76">
        <f t="shared" si="6"/>
        <v>1080620</v>
      </c>
      <c r="P43" s="151">
        <v>5</v>
      </c>
      <c r="Q43" s="208">
        <f t="shared" si="7"/>
        <v>216124</v>
      </c>
      <c r="R43" s="76">
        <v>2000000</v>
      </c>
      <c r="S43" s="76">
        <f t="shared" si="8"/>
        <v>2796620</v>
      </c>
      <c r="T43" s="152">
        <f t="shared" si="9"/>
        <v>5</v>
      </c>
      <c r="U43" s="208">
        <f t="shared" si="10"/>
        <v>559324</v>
      </c>
    </row>
    <row r="44" spans="1:21" x14ac:dyDescent="0.25">
      <c r="F44" s="209" t="s">
        <v>330</v>
      </c>
      <c r="G44">
        <v>40</v>
      </c>
      <c r="H44">
        <v>0</v>
      </c>
      <c r="I44" s="121">
        <v>35.5</v>
      </c>
      <c r="J44" s="124">
        <v>2</v>
      </c>
      <c r="K44" s="76">
        <v>420</v>
      </c>
      <c r="L44" s="76">
        <v>102000</v>
      </c>
      <c r="M44" s="143">
        <v>3</v>
      </c>
      <c r="N44" s="76">
        <v>150000</v>
      </c>
      <c r="O44" s="76">
        <f t="shared" si="6"/>
        <v>252000</v>
      </c>
      <c r="P44" s="151">
        <v>3.5</v>
      </c>
      <c r="Q44" s="208">
        <f t="shared" si="7"/>
        <v>72000</v>
      </c>
      <c r="R44" s="76">
        <v>1000000</v>
      </c>
      <c r="S44" s="76">
        <f t="shared" si="8"/>
        <v>1102000</v>
      </c>
      <c r="T44" s="152">
        <f t="shared" si="9"/>
        <v>3.5</v>
      </c>
      <c r="U44" s="208">
        <f t="shared" si="10"/>
        <v>314857.14285714284</v>
      </c>
    </row>
    <row r="45" spans="1:21" x14ac:dyDescent="0.25">
      <c r="F45" s="211" t="s">
        <v>335</v>
      </c>
      <c r="G45">
        <v>57</v>
      </c>
      <c r="H45">
        <v>111</v>
      </c>
      <c r="I45" s="121">
        <v>33.5</v>
      </c>
      <c r="J45" s="124">
        <v>2</v>
      </c>
      <c r="K45" s="76">
        <v>300</v>
      </c>
      <c r="L45" s="76">
        <v>240000</v>
      </c>
      <c r="M45" s="143">
        <v>3</v>
      </c>
      <c r="N45" s="76">
        <v>165000</v>
      </c>
      <c r="O45" s="76">
        <f t="shared" si="6"/>
        <v>405000</v>
      </c>
      <c r="P45" s="151">
        <v>3.5</v>
      </c>
      <c r="Q45" s="208">
        <f t="shared" si="7"/>
        <v>115714.28571428571</v>
      </c>
      <c r="R45" s="76">
        <v>1150000</v>
      </c>
      <c r="S45" s="76">
        <f t="shared" si="8"/>
        <v>1390000</v>
      </c>
      <c r="T45" s="152">
        <f t="shared" si="9"/>
        <v>3.5</v>
      </c>
      <c r="U45" s="208">
        <f t="shared" si="10"/>
        <v>397142.85714285716</v>
      </c>
    </row>
    <row r="46" spans="1:21" x14ac:dyDescent="0.25">
      <c r="F46" s="209" t="s">
        <v>332</v>
      </c>
      <c r="G46">
        <v>42</v>
      </c>
      <c r="H46">
        <v>4</v>
      </c>
      <c r="I46" s="121">
        <v>23.5</v>
      </c>
      <c r="J46" s="124">
        <v>2</v>
      </c>
      <c r="K46" s="76">
        <f>250*1.2</f>
        <v>300</v>
      </c>
      <c r="L46" s="76">
        <v>41000</v>
      </c>
      <c r="M46" s="143">
        <v>3</v>
      </c>
      <c r="N46" s="76">
        <v>210000</v>
      </c>
      <c r="O46" s="76">
        <f t="shared" si="6"/>
        <v>251000</v>
      </c>
      <c r="P46" s="151">
        <v>3.5</v>
      </c>
      <c r="Q46" s="208">
        <f t="shared" si="7"/>
        <v>71714.28571428571</v>
      </c>
      <c r="R46" s="76">
        <v>1500000</v>
      </c>
      <c r="S46" s="76">
        <f t="shared" si="8"/>
        <v>1541000</v>
      </c>
      <c r="T46" s="152">
        <f t="shared" si="9"/>
        <v>3.5</v>
      </c>
      <c r="U46" s="208">
        <f t="shared" si="10"/>
        <v>440285.71428571426</v>
      </c>
    </row>
    <row r="47" spans="1:21" x14ac:dyDescent="0.25">
      <c r="F47" s="209" t="s">
        <v>334</v>
      </c>
      <c r="G47">
        <v>46</v>
      </c>
      <c r="H47">
        <v>23</v>
      </c>
      <c r="I47" s="121">
        <v>25.2</v>
      </c>
      <c r="J47" s="124">
        <v>2</v>
      </c>
      <c r="K47" s="76">
        <v>300</v>
      </c>
      <c r="L47" s="76">
        <v>120000</v>
      </c>
      <c r="M47" s="143">
        <v>3</v>
      </c>
      <c r="N47" s="76">
        <v>202000</v>
      </c>
      <c r="O47" s="76">
        <f t="shared" si="6"/>
        <v>322000</v>
      </c>
      <c r="P47" s="151">
        <v>3.5</v>
      </c>
      <c r="Q47" s="208">
        <f t="shared" si="7"/>
        <v>92000</v>
      </c>
      <c r="R47" s="76">
        <v>1465000</v>
      </c>
      <c r="S47" s="76">
        <f t="shared" si="8"/>
        <v>1585000</v>
      </c>
      <c r="T47" s="152">
        <f t="shared" si="9"/>
        <v>3.5</v>
      </c>
      <c r="U47" s="208">
        <f t="shared" si="10"/>
        <v>452857.14285714284</v>
      </c>
    </row>
    <row r="48" spans="1:21" x14ac:dyDescent="0.25">
      <c r="F48" s="211" t="s">
        <v>366</v>
      </c>
      <c r="G48">
        <v>49</v>
      </c>
      <c r="H48">
        <v>63</v>
      </c>
      <c r="I48" s="121">
        <v>29</v>
      </c>
      <c r="J48" s="124">
        <v>2</v>
      </c>
      <c r="K48" s="76">
        <v>300</v>
      </c>
      <c r="L48" s="76">
        <v>301000</v>
      </c>
      <c r="M48" s="143">
        <v>3</v>
      </c>
      <c r="N48" s="76">
        <v>175000</v>
      </c>
      <c r="O48" s="76">
        <f t="shared" si="6"/>
        <v>476000</v>
      </c>
      <c r="P48" s="151">
        <v>3.5</v>
      </c>
      <c r="Q48" s="208">
        <f t="shared" si="7"/>
        <v>136000</v>
      </c>
      <c r="R48" s="76">
        <v>1350000</v>
      </c>
      <c r="S48" s="76">
        <f t="shared" si="8"/>
        <v>1651000</v>
      </c>
      <c r="T48" s="152">
        <f t="shared" si="9"/>
        <v>3.5</v>
      </c>
      <c r="U48" s="208">
        <f t="shared" si="10"/>
        <v>471714.28571428574</v>
      </c>
    </row>
    <row r="49" spans="1:21" x14ac:dyDescent="0.25">
      <c r="F49" s="211" t="s">
        <v>337</v>
      </c>
      <c r="G49">
        <v>41</v>
      </c>
      <c r="H49">
        <v>41</v>
      </c>
      <c r="I49" s="121">
        <v>20.100000000000001</v>
      </c>
      <c r="J49" s="124">
        <v>2</v>
      </c>
      <c r="K49" s="76">
        <v>480</v>
      </c>
      <c r="L49" s="76">
        <v>109000</v>
      </c>
      <c r="M49" s="143">
        <v>3</v>
      </c>
      <c r="N49" s="76">
        <v>235000</v>
      </c>
      <c r="O49" s="76">
        <f t="shared" si="6"/>
        <v>344000</v>
      </c>
      <c r="P49" s="151">
        <v>3.5</v>
      </c>
      <c r="Q49" s="208">
        <f t="shared" si="7"/>
        <v>98285.71428571429</v>
      </c>
      <c r="R49" s="76">
        <v>1600000</v>
      </c>
      <c r="S49" s="76">
        <f t="shared" si="8"/>
        <v>1709000</v>
      </c>
      <c r="T49" s="152">
        <f t="shared" si="9"/>
        <v>3.5</v>
      </c>
      <c r="U49" s="208">
        <f t="shared" si="10"/>
        <v>488285.71428571426</v>
      </c>
    </row>
    <row r="50" spans="1:21" x14ac:dyDescent="0.25">
      <c r="A50" s="33"/>
      <c r="F50" s="211" t="s">
        <v>369</v>
      </c>
      <c r="G50">
        <v>36</v>
      </c>
      <c r="H50">
        <v>12</v>
      </c>
      <c r="I50" s="121">
        <v>25.9</v>
      </c>
      <c r="J50" s="124">
        <v>2</v>
      </c>
      <c r="K50" s="76">
        <v>4632</v>
      </c>
      <c r="L50" s="76">
        <v>435000</v>
      </c>
      <c r="M50" s="143">
        <v>4</v>
      </c>
      <c r="N50" s="76">
        <v>200000</v>
      </c>
      <c r="O50" s="76">
        <f t="shared" si="6"/>
        <v>635000</v>
      </c>
      <c r="P50" s="151">
        <v>3.5</v>
      </c>
      <c r="Q50" s="208">
        <f t="shared" si="7"/>
        <v>181428.57142857142</v>
      </c>
      <c r="R50" s="76">
        <v>1450000</v>
      </c>
      <c r="S50" s="76">
        <f t="shared" si="8"/>
        <v>1885000</v>
      </c>
      <c r="T50" s="152">
        <f t="shared" si="9"/>
        <v>3.5</v>
      </c>
      <c r="U50" s="208">
        <f t="shared" si="10"/>
        <v>538571.42857142852</v>
      </c>
    </row>
    <row r="51" spans="1:21" x14ac:dyDescent="0.25">
      <c r="A51" s="33"/>
      <c r="F51" s="211" t="s">
        <v>372</v>
      </c>
      <c r="G51">
        <v>36</v>
      </c>
      <c r="H51">
        <v>108</v>
      </c>
      <c r="I51" s="121">
        <v>30.1</v>
      </c>
      <c r="J51" s="124">
        <v>2</v>
      </c>
      <c r="K51" s="76">
        <v>8448</v>
      </c>
      <c r="L51" s="76">
        <v>638000</v>
      </c>
      <c r="M51" s="143">
        <v>4</v>
      </c>
      <c r="N51" s="76">
        <v>170000</v>
      </c>
      <c r="O51" s="76">
        <f t="shared" si="6"/>
        <v>808000</v>
      </c>
      <c r="P51" s="151">
        <v>3.5</v>
      </c>
      <c r="Q51" s="208">
        <f t="shared" si="7"/>
        <v>230857.14285714287</v>
      </c>
      <c r="R51" s="76">
        <v>1300000</v>
      </c>
      <c r="S51" s="76">
        <f t="shared" si="8"/>
        <v>1938000</v>
      </c>
      <c r="T51" s="152">
        <f t="shared" si="9"/>
        <v>3.5</v>
      </c>
      <c r="U51" s="208">
        <f t="shared" si="10"/>
        <v>553714.28571428568</v>
      </c>
    </row>
    <row r="52" spans="1:21" x14ac:dyDescent="0.25">
      <c r="A52" s="33"/>
      <c r="F52" s="211" t="s">
        <v>333</v>
      </c>
      <c r="G52">
        <v>39</v>
      </c>
      <c r="H52">
        <v>5</v>
      </c>
      <c r="I52" s="121">
        <v>25.9</v>
      </c>
      <c r="J52" s="124">
        <v>1</v>
      </c>
      <c r="K52" s="76">
        <v>636</v>
      </c>
      <c r="L52" s="76">
        <v>60000</v>
      </c>
      <c r="M52" s="143">
        <v>3</v>
      </c>
      <c r="N52" s="76">
        <v>200000</v>
      </c>
      <c r="O52" s="76">
        <f t="shared" si="6"/>
        <v>260000</v>
      </c>
      <c r="P52" s="151">
        <v>2</v>
      </c>
      <c r="Q52" s="208">
        <f t="shared" si="7"/>
        <v>130000</v>
      </c>
      <c r="R52" s="76">
        <v>1450000</v>
      </c>
      <c r="S52" s="76">
        <f t="shared" si="8"/>
        <v>1510000</v>
      </c>
      <c r="T52" s="152">
        <f t="shared" si="9"/>
        <v>2</v>
      </c>
      <c r="U52" s="208">
        <f t="shared" si="10"/>
        <v>755000</v>
      </c>
    </row>
    <row r="53" spans="1:21" x14ac:dyDescent="0.25">
      <c r="I53" s="121">
        <v>0</v>
      </c>
      <c r="J53" s="124">
        <v>0</v>
      </c>
      <c r="K53" s="76"/>
      <c r="L53" s="76"/>
      <c r="M53" s="143">
        <v>3</v>
      </c>
      <c r="N53" s="76"/>
      <c r="O53" s="76">
        <f t="shared" si="6"/>
        <v>0</v>
      </c>
      <c r="P53" s="151">
        <v>9</v>
      </c>
      <c r="Q53" s="208">
        <f t="shared" si="7"/>
        <v>0</v>
      </c>
      <c r="R53" s="76"/>
      <c r="S53" s="76">
        <f t="shared" si="8"/>
        <v>0</v>
      </c>
      <c r="T53" s="152">
        <f t="shared" si="9"/>
        <v>9</v>
      </c>
      <c r="U53" s="208">
        <f t="shared" si="10"/>
        <v>0</v>
      </c>
    </row>
    <row r="54" spans="1:21" x14ac:dyDescent="0.25">
      <c r="I54" s="121">
        <v>0</v>
      </c>
      <c r="J54" s="124">
        <v>0</v>
      </c>
      <c r="K54" s="76"/>
      <c r="L54" s="76"/>
      <c r="M54" s="143">
        <v>3</v>
      </c>
      <c r="N54" s="76"/>
      <c r="O54" s="76">
        <f t="shared" si="6"/>
        <v>0</v>
      </c>
      <c r="P54" s="151">
        <v>9</v>
      </c>
      <c r="Q54" s="208">
        <f t="shared" si="7"/>
        <v>0</v>
      </c>
      <c r="R54" s="76"/>
      <c r="S54" s="76">
        <f t="shared" si="8"/>
        <v>0</v>
      </c>
      <c r="T54" s="152">
        <f t="shared" si="9"/>
        <v>9</v>
      </c>
      <c r="U54" s="208">
        <f t="shared" si="10"/>
        <v>0</v>
      </c>
    </row>
    <row r="55" spans="1:21" x14ac:dyDescent="0.25">
      <c r="I55" s="121">
        <v>0</v>
      </c>
      <c r="J55" s="124">
        <v>0</v>
      </c>
      <c r="K55" s="76"/>
      <c r="L55" s="76"/>
      <c r="M55" s="143">
        <v>3</v>
      </c>
      <c r="N55" s="76"/>
      <c r="O55" s="76">
        <f t="shared" si="6"/>
        <v>0</v>
      </c>
      <c r="P55" s="151">
        <v>9</v>
      </c>
      <c r="Q55" s="208">
        <f t="shared" si="7"/>
        <v>0</v>
      </c>
      <c r="R55" s="76"/>
      <c r="S55" s="76">
        <f t="shared" si="8"/>
        <v>0</v>
      </c>
      <c r="T55" s="152">
        <f t="shared" si="9"/>
        <v>9</v>
      </c>
      <c r="U55" s="208">
        <f t="shared" si="10"/>
        <v>0</v>
      </c>
    </row>
    <row r="56" spans="1:21" x14ac:dyDescent="0.25">
      <c r="I56" s="121">
        <v>0</v>
      </c>
      <c r="J56" s="124">
        <v>0</v>
      </c>
      <c r="K56" s="76"/>
      <c r="L56" s="76"/>
      <c r="M56" s="143">
        <v>3</v>
      </c>
      <c r="N56" s="76"/>
      <c r="O56" s="76">
        <f t="shared" si="6"/>
        <v>0</v>
      </c>
      <c r="P56" s="151">
        <v>9</v>
      </c>
      <c r="Q56" s="208">
        <f t="shared" si="7"/>
        <v>0</v>
      </c>
      <c r="R56" s="76"/>
      <c r="S56" s="76">
        <f t="shared" si="8"/>
        <v>0</v>
      </c>
      <c r="T56" s="152">
        <f t="shared" si="9"/>
        <v>9</v>
      </c>
      <c r="U56" s="208">
        <f t="shared" si="10"/>
        <v>0</v>
      </c>
    </row>
    <row r="57" spans="1:21" x14ac:dyDescent="0.25">
      <c r="A57" s="33"/>
      <c r="I57" s="121">
        <v>0</v>
      </c>
      <c r="J57" s="124">
        <v>0</v>
      </c>
      <c r="K57" s="76"/>
      <c r="L57" s="76"/>
      <c r="M57" s="143">
        <v>3</v>
      </c>
      <c r="N57" s="153"/>
      <c r="O57" s="76">
        <f t="shared" si="6"/>
        <v>0</v>
      </c>
      <c r="P57" s="151">
        <v>9</v>
      </c>
      <c r="Q57" s="208">
        <f t="shared" si="7"/>
        <v>0</v>
      </c>
      <c r="R57" s="76"/>
      <c r="S57" s="76">
        <f t="shared" si="8"/>
        <v>0</v>
      </c>
      <c r="T57" s="152">
        <f t="shared" si="9"/>
        <v>9</v>
      </c>
      <c r="U57" s="208">
        <f t="shared" si="10"/>
        <v>0</v>
      </c>
    </row>
    <row r="58" spans="1:21" x14ac:dyDescent="0.25">
      <c r="A58" s="33"/>
      <c r="I58" s="121">
        <v>0</v>
      </c>
      <c r="J58" s="124">
        <v>0</v>
      </c>
      <c r="K58" s="76"/>
      <c r="L58" s="76"/>
      <c r="M58" s="143">
        <v>3</v>
      </c>
      <c r="N58" s="76"/>
      <c r="O58" s="76">
        <f t="shared" si="6"/>
        <v>0</v>
      </c>
      <c r="P58" s="151">
        <v>9</v>
      </c>
      <c r="Q58" s="208">
        <f t="shared" si="7"/>
        <v>0</v>
      </c>
      <c r="R58" s="76"/>
      <c r="S58" s="76">
        <f t="shared" si="8"/>
        <v>0</v>
      </c>
      <c r="T58" s="152">
        <f t="shared" si="9"/>
        <v>9</v>
      </c>
      <c r="U58" s="208">
        <f t="shared" si="10"/>
        <v>0</v>
      </c>
    </row>
    <row r="59" spans="1:21" x14ac:dyDescent="0.25">
      <c r="A59" s="33"/>
      <c r="I59" s="121">
        <v>0</v>
      </c>
      <c r="J59" s="124">
        <v>0</v>
      </c>
      <c r="K59" s="76"/>
      <c r="L59" s="76"/>
      <c r="M59" s="143">
        <v>3</v>
      </c>
      <c r="N59" s="76"/>
      <c r="O59" s="76">
        <f t="shared" si="6"/>
        <v>0</v>
      </c>
      <c r="P59" s="151">
        <v>9</v>
      </c>
      <c r="Q59" s="208">
        <f t="shared" si="7"/>
        <v>0</v>
      </c>
      <c r="R59" s="76"/>
      <c r="S59" s="76">
        <f t="shared" si="8"/>
        <v>0</v>
      </c>
      <c r="T59" s="152">
        <f t="shared" si="9"/>
        <v>9</v>
      </c>
      <c r="U59" s="208">
        <f t="shared" si="10"/>
        <v>0</v>
      </c>
    </row>
    <row r="60" spans="1:21" x14ac:dyDescent="0.25">
      <c r="I60" s="121">
        <v>0</v>
      </c>
      <c r="J60" s="124">
        <v>0</v>
      </c>
      <c r="K60" s="76"/>
      <c r="L60" s="76"/>
      <c r="M60" s="143">
        <v>3</v>
      </c>
      <c r="N60" s="76"/>
      <c r="O60" s="76">
        <f t="shared" si="6"/>
        <v>0</v>
      </c>
      <c r="P60" s="151">
        <v>9</v>
      </c>
      <c r="Q60" s="208">
        <f t="shared" si="7"/>
        <v>0</v>
      </c>
      <c r="R60" s="76"/>
      <c r="S60" s="76">
        <f t="shared" si="8"/>
        <v>0</v>
      </c>
      <c r="T60" s="152">
        <f t="shared" si="9"/>
        <v>9</v>
      </c>
      <c r="U60" s="208">
        <f t="shared" si="10"/>
        <v>0</v>
      </c>
    </row>
    <row r="61" spans="1:21" x14ac:dyDescent="0.25">
      <c r="I61" s="121">
        <v>0</v>
      </c>
      <c r="J61" s="124">
        <v>0</v>
      </c>
      <c r="K61" s="76"/>
      <c r="L61" s="76"/>
      <c r="M61" s="143">
        <v>3</v>
      </c>
      <c r="N61" s="76"/>
      <c r="O61" s="76">
        <f t="shared" si="6"/>
        <v>0</v>
      </c>
      <c r="P61" s="151">
        <v>9</v>
      </c>
      <c r="Q61" s="208">
        <f t="shared" si="7"/>
        <v>0</v>
      </c>
      <c r="R61" s="76"/>
      <c r="S61" s="76">
        <f t="shared" si="8"/>
        <v>0</v>
      </c>
      <c r="T61" s="152">
        <f t="shared" si="9"/>
        <v>9</v>
      </c>
      <c r="U61" s="208">
        <f t="shared" si="10"/>
        <v>0</v>
      </c>
    </row>
    <row r="62" spans="1:21" x14ac:dyDescent="0.25">
      <c r="I62" s="121">
        <v>0</v>
      </c>
      <c r="J62" s="124">
        <v>0</v>
      </c>
      <c r="K62" s="76"/>
      <c r="L62" s="76"/>
      <c r="M62" s="143">
        <v>3</v>
      </c>
      <c r="N62" s="153"/>
      <c r="O62" s="76">
        <f t="shared" si="6"/>
        <v>0</v>
      </c>
      <c r="P62" s="151">
        <v>9</v>
      </c>
      <c r="Q62" s="208">
        <f t="shared" si="7"/>
        <v>0</v>
      </c>
      <c r="R62" s="76"/>
      <c r="S62" s="76">
        <f t="shared" si="8"/>
        <v>0</v>
      </c>
      <c r="T62" s="152">
        <f t="shared" si="9"/>
        <v>9</v>
      </c>
      <c r="U62" s="208">
        <f t="shared" si="10"/>
        <v>0</v>
      </c>
    </row>
    <row r="63" spans="1:21" x14ac:dyDescent="0.25">
      <c r="I63" s="121">
        <v>0</v>
      </c>
      <c r="J63" s="124">
        <v>0</v>
      </c>
      <c r="K63" s="76"/>
      <c r="L63" s="76"/>
      <c r="M63" s="143">
        <v>3</v>
      </c>
      <c r="N63" s="76"/>
      <c r="O63" s="76">
        <f t="shared" si="6"/>
        <v>0</v>
      </c>
      <c r="P63" s="151">
        <v>9</v>
      </c>
      <c r="Q63" s="208">
        <f t="shared" si="7"/>
        <v>0</v>
      </c>
      <c r="R63" s="76"/>
      <c r="S63" s="76">
        <f t="shared" si="8"/>
        <v>0</v>
      </c>
      <c r="T63" s="152">
        <f t="shared" si="9"/>
        <v>9</v>
      </c>
      <c r="U63" s="208">
        <f t="shared" si="10"/>
        <v>0</v>
      </c>
    </row>
    <row r="64" spans="1:21" x14ac:dyDescent="0.25">
      <c r="I64" s="121">
        <v>0</v>
      </c>
      <c r="J64" s="124">
        <v>0</v>
      </c>
      <c r="K64" s="76"/>
      <c r="L64" s="76"/>
      <c r="M64" s="143">
        <v>3</v>
      </c>
      <c r="N64" s="76"/>
      <c r="O64" s="76">
        <f t="shared" si="6"/>
        <v>0</v>
      </c>
      <c r="P64" s="151">
        <v>9</v>
      </c>
      <c r="Q64" s="208">
        <f t="shared" si="7"/>
        <v>0</v>
      </c>
      <c r="R64" s="76"/>
      <c r="S64" s="76">
        <f t="shared" si="8"/>
        <v>0</v>
      </c>
      <c r="T64" s="152">
        <f t="shared" si="9"/>
        <v>9</v>
      </c>
      <c r="U64" s="208">
        <f t="shared" si="10"/>
        <v>0</v>
      </c>
    </row>
    <row r="65" spans="9:21" x14ac:dyDescent="0.25">
      <c r="I65" s="121">
        <v>0</v>
      </c>
      <c r="J65" s="124">
        <v>0</v>
      </c>
      <c r="K65" s="76"/>
      <c r="L65" s="76"/>
      <c r="M65" s="143">
        <v>3</v>
      </c>
      <c r="N65" s="76"/>
      <c r="O65" s="76">
        <f t="shared" si="6"/>
        <v>0</v>
      </c>
      <c r="P65" s="151">
        <v>9</v>
      </c>
      <c r="Q65" s="208">
        <f t="shared" si="7"/>
        <v>0</v>
      </c>
      <c r="R65" s="76"/>
      <c r="S65" s="76">
        <f t="shared" si="8"/>
        <v>0</v>
      </c>
      <c r="T65" s="152">
        <f t="shared" si="9"/>
        <v>9</v>
      </c>
      <c r="U65" s="208">
        <f t="shared" si="10"/>
        <v>0</v>
      </c>
    </row>
    <row r="66" spans="9:21" x14ac:dyDescent="0.25">
      <c r="I66" s="121">
        <v>0</v>
      </c>
      <c r="J66" s="124">
        <v>0</v>
      </c>
      <c r="K66" s="76"/>
      <c r="L66" s="76"/>
      <c r="M66" s="143">
        <v>3</v>
      </c>
      <c r="N66" s="76"/>
      <c r="O66" s="76">
        <f t="shared" ref="O66:O97" si="11">L66+N66</f>
        <v>0</v>
      </c>
      <c r="P66" s="151">
        <v>9</v>
      </c>
      <c r="Q66" s="208">
        <f t="shared" ref="Q66:Q97" si="12">O66/P66</f>
        <v>0</v>
      </c>
      <c r="R66" s="76"/>
      <c r="S66" s="76">
        <f t="shared" ref="S66:S97" si="13">R66+L66</f>
        <v>0</v>
      </c>
      <c r="T66" s="152">
        <f t="shared" ref="T66:T97" si="14">P66</f>
        <v>9</v>
      </c>
      <c r="U66" s="208">
        <f t="shared" ref="U66:U97" si="15">S66/T66</f>
        <v>0</v>
      </c>
    </row>
    <row r="67" spans="9:21" x14ac:dyDescent="0.25">
      <c r="I67" s="121">
        <v>0</v>
      </c>
      <c r="J67" s="124">
        <v>0</v>
      </c>
      <c r="K67" s="76"/>
      <c r="L67" s="76"/>
      <c r="M67" s="143">
        <v>3</v>
      </c>
      <c r="N67" s="153"/>
      <c r="O67" s="76">
        <f t="shared" si="11"/>
        <v>0</v>
      </c>
      <c r="P67" s="151">
        <v>9</v>
      </c>
      <c r="Q67" s="208">
        <f t="shared" si="12"/>
        <v>0</v>
      </c>
      <c r="R67" s="76"/>
      <c r="S67" s="76">
        <f t="shared" si="13"/>
        <v>0</v>
      </c>
      <c r="T67" s="152">
        <f t="shared" si="14"/>
        <v>9</v>
      </c>
      <c r="U67" s="208">
        <f t="shared" si="15"/>
        <v>0</v>
      </c>
    </row>
    <row r="68" spans="9:21" x14ac:dyDescent="0.25">
      <c r="I68" s="121">
        <v>0</v>
      </c>
      <c r="J68" s="124">
        <v>0</v>
      </c>
      <c r="K68" s="76"/>
      <c r="L68" s="76"/>
      <c r="M68" s="143">
        <v>3</v>
      </c>
      <c r="N68" s="76"/>
      <c r="O68" s="76">
        <f t="shared" si="11"/>
        <v>0</v>
      </c>
      <c r="P68" s="151">
        <v>9</v>
      </c>
      <c r="Q68" s="208">
        <f t="shared" si="12"/>
        <v>0</v>
      </c>
      <c r="R68" s="76"/>
      <c r="S68" s="76">
        <f t="shared" si="13"/>
        <v>0</v>
      </c>
      <c r="T68" s="152">
        <f t="shared" si="14"/>
        <v>9</v>
      </c>
      <c r="U68" s="208">
        <f t="shared" si="15"/>
        <v>0</v>
      </c>
    </row>
    <row r="69" spans="9:21" x14ac:dyDescent="0.25">
      <c r="I69" s="121">
        <v>0</v>
      </c>
      <c r="J69" s="124">
        <v>0</v>
      </c>
      <c r="K69" s="76"/>
      <c r="L69" s="76"/>
      <c r="M69" s="143">
        <v>3</v>
      </c>
      <c r="N69" s="76"/>
      <c r="O69" s="76">
        <f t="shared" si="11"/>
        <v>0</v>
      </c>
      <c r="P69" s="151">
        <v>9</v>
      </c>
      <c r="Q69" s="208">
        <f t="shared" si="12"/>
        <v>0</v>
      </c>
      <c r="R69" s="76"/>
      <c r="S69" s="76">
        <f t="shared" si="13"/>
        <v>0</v>
      </c>
      <c r="T69" s="152">
        <f t="shared" si="14"/>
        <v>9</v>
      </c>
      <c r="U69" s="208">
        <f t="shared" si="15"/>
        <v>0</v>
      </c>
    </row>
    <row r="70" spans="9:21" x14ac:dyDescent="0.25">
      <c r="I70" s="121">
        <v>0</v>
      </c>
      <c r="J70" s="124">
        <v>0</v>
      </c>
      <c r="K70" s="76"/>
      <c r="L70" s="76"/>
      <c r="M70" s="143">
        <v>3</v>
      </c>
      <c r="N70" s="76"/>
      <c r="O70" s="76">
        <f t="shared" si="11"/>
        <v>0</v>
      </c>
      <c r="P70" s="151">
        <v>9</v>
      </c>
      <c r="Q70" s="208">
        <f t="shared" si="12"/>
        <v>0</v>
      </c>
      <c r="R70" s="76"/>
      <c r="S70" s="76">
        <f t="shared" si="13"/>
        <v>0</v>
      </c>
      <c r="T70" s="152">
        <f t="shared" si="14"/>
        <v>9</v>
      </c>
      <c r="U70" s="208">
        <f t="shared" si="15"/>
        <v>0</v>
      </c>
    </row>
    <row r="71" spans="9:21" x14ac:dyDescent="0.25">
      <c r="I71" s="121">
        <v>0</v>
      </c>
      <c r="J71" s="124">
        <v>0</v>
      </c>
      <c r="K71" s="76"/>
      <c r="L71" s="76"/>
      <c r="M71" s="143">
        <v>3</v>
      </c>
      <c r="N71" s="76"/>
      <c r="O71" s="76">
        <f t="shared" si="11"/>
        <v>0</v>
      </c>
      <c r="P71" s="151">
        <v>9</v>
      </c>
      <c r="Q71" s="208">
        <f t="shared" si="12"/>
        <v>0</v>
      </c>
      <c r="R71" s="76"/>
      <c r="S71" s="76">
        <f t="shared" si="13"/>
        <v>0</v>
      </c>
      <c r="T71" s="152">
        <f t="shared" si="14"/>
        <v>9</v>
      </c>
      <c r="U71" s="208">
        <f t="shared" si="15"/>
        <v>0</v>
      </c>
    </row>
    <row r="72" spans="9:21" x14ac:dyDescent="0.25">
      <c r="I72" s="121">
        <v>0</v>
      </c>
      <c r="J72" s="124">
        <v>0</v>
      </c>
      <c r="K72" s="76"/>
      <c r="L72" s="76"/>
      <c r="M72" s="143">
        <v>3</v>
      </c>
      <c r="N72" s="153"/>
      <c r="O72" s="76">
        <f t="shared" si="11"/>
        <v>0</v>
      </c>
      <c r="P72" s="151">
        <v>9</v>
      </c>
      <c r="Q72" s="208">
        <f t="shared" si="12"/>
        <v>0</v>
      </c>
      <c r="R72" s="76"/>
      <c r="S72" s="76">
        <f t="shared" si="13"/>
        <v>0</v>
      </c>
      <c r="T72" s="152">
        <f t="shared" si="14"/>
        <v>9</v>
      </c>
      <c r="U72" s="208">
        <f t="shared" si="15"/>
        <v>0</v>
      </c>
    </row>
    <row r="73" spans="9:21" x14ac:dyDescent="0.25">
      <c r="I73" s="121">
        <v>0</v>
      </c>
      <c r="J73" s="124">
        <v>0</v>
      </c>
      <c r="K73" s="76"/>
      <c r="L73" s="76"/>
      <c r="M73" s="143">
        <v>3</v>
      </c>
      <c r="N73" s="76"/>
      <c r="O73" s="76">
        <f t="shared" si="11"/>
        <v>0</v>
      </c>
      <c r="P73" s="151">
        <v>9</v>
      </c>
      <c r="Q73" s="208">
        <f t="shared" si="12"/>
        <v>0</v>
      </c>
      <c r="R73" s="76"/>
      <c r="S73" s="76">
        <f t="shared" si="13"/>
        <v>0</v>
      </c>
      <c r="T73" s="152">
        <f t="shared" si="14"/>
        <v>9</v>
      </c>
      <c r="U73" s="208">
        <f t="shared" si="15"/>
        <v>0</v>
      </c>
    </row>
    <row r="74" spans="9:21" x14ac:dyDescent="0.25">
      <c r="I74" s="121">
        <v>0</v>
      </c>
      <c r="J74" s="124">
        <v>0</v>
      </c>
      <c r="K74" s="76"/>
      <c r="L74" s="76"/>
      <c r="M74" s="143">
        <v>3</v>
      </c>
      <c r="N74" s="76"/>
      <c r="O74" s="76">
        <f t="shared" si="11"/>
        <v>0</v>
      </c>
      <c r="P74" s="151">
        <v>9</v>
      </c>
      <c r="Q74" s="208">
        <f t="shared" si="12"/>
        <v>0</v>
      </c>
      <c r="R74" s="76"/>
      <c r="S74" s="76">
        <f t="shared" si="13"/>
        <v>0</v>
      </c>
      <c r="T74" s="152">
        <f t="shared" si="14"/>
        <v>9</v>
      </c>
      <c r="U74" s="208">
        <f t="shared" si="15"/>
        <v>0</v>
      </c>
    </row>
    <row r="75" spans="9:21" x14ac:dyDescent="0.25">
      <c r="I75" s="121">
        <v>0</v>
      </c>
      <c r="J75" s="124">
        <v>0</v>
      </c>
      <c r="K75" s="76"/>
      <c r="L75" s="76"/>
      <c r="M75" s="143">
        <v>3</v>
      </c>
      <c r="N75" s="76"/>
      <c r="O75" s="76">
        <f t="shared" si="11"/>
        <v>0</v>
      </c>
      <c r="P75" s="151">
        <v>9</v>
      </c>
      <c r="Q75" s="208">
        <f t="shared" si="12"/>
        <v>0</v>
      </c>
      <c r="R75" s="76"/>
      <c r="S75" s="76">
        <f t="shared" si="13"/>
        <v>0</v>
      </c>
      <c r="T75" s="152">
        <f t="shared" si="14"/>
        <v>9</v>
      </c>
      <c r="U75" s="208">
        <f t="shared" si="15"/>
        <v>0</v>
      </c>
    </row>
    <row r="76" spans="9:21" x14ac:dyDescent="0.25">
      <c r="I76" s="121">
        <v>0</v>
      </c>
      <c r="J76" s="124">
        <v>0</v>
      </c>
      <c r="K76" s="76"/>
      <c r="L76" s="76"/>
      <c r="M76" s="143">
        <v>3</v>
      </c>
      <c r="N76" s="76"/>
      <c r="O76" s="76">
        <f t="shared" si="11"/>
        <v>0</v>
      </c>
      <c r="P76" s="151">
        <v>9</v>
      </c>
      <c r="Q76" s="208">
        <f t="shared" si="12"/>
        <v>0</v>
      </c>
      <c r="R76" s="76"/>
      <c r="S76" s="76">
        <f t="shared" si="13"/>
        <v>0</v>
      </c>
      <c r="T76" s="152">
        <f t="shared" si="14"/>
        <v>9</v>
      </c>
      <c r="U76" s="208">
        <f t="shared" si="15"/>
        <v>0</v>
      </c>
    </row>
    <row r="77" spans="9:21" x14ac:dyDescent="0.25">
      <c r="I77" s="121">
        <v>0</v>
      </c>
      <c r="J77" s="124">
        <v>0</v>
      </c>
      <c r="K77" s="76"/>
      <c r="L77" s="76"/>
      <c r="M77" s="143">
        <v>3</v>
      </c>
      <c r="N77" s="153"/>
      <c r="O77" s="76">
        <f t="shared" si="11"/>
        <v>0</v>
      </c>
      <c r="P77" s="151">
        <v>9</v>
      </c>
      <c r="Q77" s="208">
        <f t="shared" si="12"/>
        <v>0</v>
      </c>
      <c r="R77" s="76"/>
      <c r="S77" s="76">
        <f t="shared" si="13"/>
        <v>0</v>
      </c>
      <c r="T77" s="152">
        <f t="shared" si="14"/>
        <v>9</v>
      </c>
      <c r="U77" s="208">
        <f t="shared" si="15"/>
        <v>0</v>
      </c>
    </row>
    <row r="78" spans="9:21" x14ac:dyDescent="0.25">
      <c r="I78" s="121">
        <v>0</v>
      </c>
      <c r="J78" s="124">
        <v>0</v>
      </c>
      <c r="K78" s="76"/>
      <c r="L78" s="76"/>
      <c r="M78" s="143">
        <v>3</v>
      </c>
      <c r="N78" s="76"/>
      <c r="O78" s="76">
        <f t="shared" si="11"/>
        <v>0</v>
      </c>
      <c r="P78" s="151">
        <v>9</v>
      </c>
      <c r="Q78" s="208">
        <f t="shared" si="12"/>
        <v>0</v>
      </c>
      <c r="R78" s="76"/>
      <c r="S78" s="76">
        <f t="shared" si="13"/>
        <v>0</v>
      </c>
      <c r="T78" s="152">
        <f t="shared" si="14"/>
        <v>9</v>
      </c>
      <c r="U78" s="208">
        <f t="shared" si="15"/>
        <v>0</v>
      </c>
    </row>
    <row r="79" spans="9:21" x14ac:dyDescent="0.25">
      <c r="I79" s="121">
        <v>0</v>
      </c>
      <c r="J79" s="124">
        <v>0</v>
      </c>
      <c r="K79" s="76"/>
      <c r="L79" s="76"/>
      <c r="M79" s="143">
        <v>3</v>
      </c>
      <c r="N79" s="76"/>
      <c r="O79" s="76">
        <f t="shared" si="11"/>
        <v>0</v>
      </c>
      <c r="P79" s="151">
        <v>9</v>
      </c>
      <c r="Q79" s="208">
        <f t="shared" si="12"/>
        <v>0</v>
      </c>
      <c r="R79" s="76"/>
      <c r="S79" s="76">
        <f t="shared" si="13"/>
        <v>0</v>
      </c>
      <c r="T79" s="152">
        <f t="shared" si="14"/>
        <v>9</v>
      </c>
      <c r="U79" s="208">
        <f t="shared" si="15"/>
        <v>0</v>
      </c>
    </row>
    <row r="80" spans="9:21" x14ac:dyDescent="0.25">
      <c r="I80" s="121">
        <v>0</v>
      </c>
      <c r="J80" s="124">
        <v>0</v>
      </c>
      <c r="K80" s="76"/>
      <c r="L80" s="76"/>
      <c r="M80" s="143">
        <v>3</v>
      </c>
      <c r="N80" s="76"/>
      <c r="O80" s="76">
        <f t="shared" si="11"/>
        <v>0</v>
      </c>
      <c r="P80" s="151">
        <v>9</v>
      </c>
      <c r="Q80" s="208">
        <f t="shared" si="12"/>
        <v>0</v>
      </c>
      <c r="R80" s="76"/>
      <c r="S80" s="76">
        <f t="shared" si="13"/>
        <v>0</v>
      </c>
      <c r="T80" s="152">
        <f t="shared" si="14"/>
        <v>9</v>
      </c>
      <c r="U80" s="208">
        <f t="shared" si="15"/>
        <v>0</v>
      </c>
    </row>
    <row r="81" spans="9:21" x14ac:dyDescent="0.25">
      <c r="I81" s="121">
        <v>0</v>
      </c>
      <c r="J81" s="124">
        <v>0</v>
      </c>
      <c r="K81" s="76"/>
      <c r="L81" s="76"/>
      <c r="M81" s="143">
        <v>3</v>
      </c>
      <c r="N81" s="76"/>
      <c r="O81" s="76">
        <f t="shared" si="11"/>
        <v>0</v>
      </c>
      <c r="P81" s="151">
        <v>9</v>
      </c>
      <c r="Q81" s="208">
        <f t="shared" si="12"/>
        <v>0</v>
      </c>
      <c r="R81" s="76"/>
      <c r="S81" s="76">
        <f t="shared" si="13"/>
        <v>0</v>
      </c>
      <c r="T81" s="152">
        <f t="shared" si="14"/>
        <v>9</v>
      </c>
      <c r="U81" s="208">
        <f t="shared" si="15"/>
        <v>0</v>
      </c>
    </row>
    <row r="82" spans="9:21" x14ac:dyDescent="0.25">
      <c r="I82" s="121">
        <v>0</v>
      </c>
      <c r="J82" s="124">
        <v>0</v>
      </c>
      <c r="K82" s="76"/>
      <c r="L82" s="76"/>
      <c r="M82" s="143">
        <v>3</v>
      </c>
      <c r="N82" s="153"/>
      <c r="O82" s="76">
        <f t="shared" si="11"/>
        <v>0</v>
      </c>
      <c r="P82" s="151">
        <v>9</v>
      </c>
      <c r="Q82" s="208">
        <f t="shared" si="12"/>
        <v>0</v>
      </c>
      <c r="R82" s="76"/>
      <c r="S82" s="76">
        <f t="shared" si="13"/>
        <v>0</v>
      </c>
      <c r="T82" s="152">
        <f t="shared" si="14"/>
        <v>9</v>
      </c>
      <c r="U82" s="208">
        <f t="shared" si="15"/>
        <v>0</v>
      </c>
    </row>
    <row r="83" spans="9:21" x14ac:dyDescent="0.25">
      <c r="I83" s="121">
        <v>0</v>
      </c>
      <c r="J83" s="124">
        <v>0</v>
      </c>
      <c r="K83" s="76"/>
      <c r="L83" s="76"/>
      <c r="M83" s="143">
        <v>3</v>
      </c>
      <c r="N83" s="76"/>
      <c r="O83" s="76">
        <f t="shared" si="11"/>
        <v>0</v>
      </c>
      <c r="P83" s="151">
        <v>9</v>
      </c>
      <c r="Q83" s="208">
        <f t="shared" si="12"/>
        <v>0</v>
      </c>
      <c r="R83" s="76"/>
      <c r="S83" s="76">
        <f t="shared" si="13"/>
        <v>0</v>
      </c>
      <c r="T83" s="152">
        <f t="shared" si="14"/>
        <v>9</v>
      </c>
      <c r="U83" s="208">
        <f t="shared" si="15"/>
        <v>0</v>
      </c>
    </row>
    <row r="84" spans="9:21" x14ac:dyDescent="0.25">
      <c r="I84" s="121">
        <v>0</v>
      </c>
      <c r="J84" s="124">
        <v>0</v>
      </c>
      <c r="K84" s="76"/>
      <c r="L84" s="76"/>
      <c r="M84" s="143">
        <v>3</v>
      </c>
      <c r="N84" s="76"/>
      <c r="O84" s="76">
        <f t="shared" si="11"/>
        <v>0</v>
      </c>
      <c r="P84" s="151">
        <v>9</v>
      </c>
      <c r="Q84" s="208">
        <f t="shared" si="12"/>
        <v>0</v>
      </c>
      <c r="R84" s="76"/>
      <c r="S84" s="76">
        <f t="shared" si="13"/>
        <v>0</v>
      </c>
      <c r="T84" s="152">
        <f t="shared" si="14"/>
        <v>9</v>
      </c>
      <c r="U84" s="208">
        <f t="shared" si="15"/>
        <v>0</v>
      </c>
    </row>
    <row r="85" spans="9:21" x14ac:dyDescent="0.25">
      <c r="I85" s="121">
        <v>0</v>
      </c>
      <c r="J85" s="124">
        <v>0</v>
      </c>
      <c r="K85" s="76"/>
      <c r="L85" s="76"/>
      <c r="M85" s="143">
        <v>3</v>
      </c>
      <c r="N85" s="76"/>
      <c r="O85" s="76">
        <f t="shared" si="11"/>
        <v>0</v>
      </c>
      <c r="P85" s="151">
        <v>9</v>
      </c>
      <c r="Q85" s="208">
        <f t="shared" si="12"/>
        <v>0</v>
      </c>
      <c r="R85" s="76"/>
      <c r="S85" s="76">
        <f t="shared" si="13"/>
        <v>0</v>
      </c>
      <c r="T85" s="152">
        <f t="shared" si="14"/>
        <v>9</v>
      </c>
      <c r="U85" s="208">
        <f t="shared" si="15"/>
        <v>0</v>
      </c>
    </row>
    <row r="86" spans="9:21" x14ac:dyDescent="0.25">
      <c r="I86" s="121">
        <v>0</v>
      </c>
      <c r="J86" s="124">
        <v>0</v>
      </c>
      <c r="K86" s="76"/>
      <c r="L86" s="76"/>
      <c r="M86" s="143">
        <v>3</v>
      </c>
      <c r="N86" s="76"/>
      <c r="O86" s="76">
        <f t="shared" si="11"/>
        <v>0</v>
      </c>
      <c r="P86" s="151">
        <v>9</v>
      </c>
      <c r="Q86" s="208">
        <f t="shared" si="12"/>
        <v>0</v>
      </c>
      <c r="R86" s="76"/>
      <c r="S86" s="76">
        <f t="shared" si="13"/>
        <v>0</v>
      </c>
      <c r="T86" s="152">
        <f t="shared" si="14"/>
        <v>9</v>
      </c>
      <c r="U86" s="208">
        <f t="shared" si="15"/>
        <v>0</v>
      </c>
    </row>
    <row r="87" spans="9:21" x14ac:dyDescent="0.25">
      <c r="I87" s="121">
        <v>0</v>
      </c>
      <c r="J87" s="124">
        <v>0</v>
      </c>
      <c r="K87" s="76"/>
      <c r="L87" s="76"/>
      <c r="M87" s="143">
        <v>3</v>
      </c>
      <c r="N87" s="153"/>
      <c r="O87" s="76">
        <f t="shared" si="11"/>
        <v>0</v>
      </c>
      <c r="P87" s="151">
        <v>9</v>
      </c>
      <c r="Q87" s="208">
        <f t="shared" si="12"/>
        <v>0</v>
      </c>
      <c r="R87" s="76"/>
      <c r="S87" s="76">
        <f t="shared" si="13"/>
        <v>0</v>
      </c>
      <c r="T87" s="152">
        <f t="shared" si="14"/>
        <v>9</v>
      </c>
      <c r="U87" s="208">
        <f t="shared" si="15"/>
        <v>0</v>
      </c>
    </row>
    <row r="88" spans="9:21" x14ac:dyDescent="0.25">
      <c r="I88" s="121">
        <v>0</v>
      </c>
      <c r="J88" s="124">
        <v>0</v>
      </c>
      <c r="K88" s="76"/>
      <c r="L88" s="76"/>
      <c r="M88" s="143">
        <v>3</v>
      </c>
      <c r="N88" s="76"/>
      <c r="O88" s="76">
        <f t="shared" si="11"/>
        <v>0</v>
      </c>
      <c r="P88" s="151">
        <v>9</v>
      </c>
      <c r="Q88" s="208">
        <f t="shared" si="12"/>
        <v>0</v>
      </c>
      <c r="R88" s="76"/>
      <c r="S88" s="76">
        <f t="shared" si="13"/>
        <v>0</v>
      </c>
      <c r="T88" s="152">
        <f t="shared" si="14"/>
        <v>9</v>
      </c>
      <c r="U88" s="208">
        <f t="shared" si="15"/>
        <v>0</v>
      </c>
    </row>
    <row r="89" spans="9:21" x14ac:dyDescent="0.25">
      <c r="I89" s="121">
        <v>0</v>
      </c>
      <c r="J89" s="124">
        <v>0</v>
      </c>
      <c r="K89" s="76"/>
      <c r="L89" s="76"/>
      <c r="M89" s="143">
        <v>3</v>
      </c>
      <c r="N89" s="76"/>
      <c r="O89" s="76">
        <f t="shared" si="11"/>
        <v>0</v>
      </c>
      <c r="P89" s="151">
        <v>9</v>
      </c>
      <c r="Q89" s="208">
        <f t="shared" si="12"/>
        <v>0</v>
      </c>
      <c r="R89" s="76"/>
      <c r="S89" s="76">
        <f t="shared" si="13"/>
        <v>0</v>
      </c>
      <c r="T89" s="152">
        <f t="shared" si="14"/>
        <v>9</v>
      </c>
      <c r="U89" s="208">
        <f t="shared" si="15"/>
        <v>0</v>
      </c>
    </row>
    <row r="90" spans="9:21" x14ac:dyDescent="0.25">
      <c r="I90" s="121">
        <v>0</v>
      </c>
      <c r="J90" s="124">
        <v>0</v>
      </c>
      <c r="K90" s="76"/>
      <c r="L90" s="76"/>
      <c r="M90" s="143">
        <v>3</v>
      </c>
      <c r="N90" s="76"/>
      <c r="O90" s="76">
        <f t="shared" si="11"/>
        <v>0</v>
      </c>
      <c r="P90" s="151">
        <v>9</v>
      </c>
      <c r="Q90" s="208">
        <f t="shared" si="12"/>
        <v>0</v>
      </c>
      <c r="R90" s="76"/>
      <c r="S90" s="76">
        <f t="shared" si="13"/>
        <v>0</v>
      </c>
      <c r="T90" s="152">
        <f t="shared" si="14"/>
        <v>9</v>
      </c>
      <c r="U90" s="208">
        <f t="shared" si="15"/>
        <v>0</v>
      </c>
    </row>
    <row r="91" spans="9:21" x14ac:dyDescent="0.25">
      <c r="I91" s="121">
        <v>0</v>
      </c>
      <c r="J91" s="124">
        <v>0</v>
      </c>
      <c r="K91" s="76"/>
      <c r="L91" s="76"/>
      <c r="M91" s="143">
        <v>3</v>
      </c>
      <c r="N91" s="76"/>
      <c r="O91" s="76">
        <f t="shared" si="11"/>
        <v>0</v>
      </c>
      <c r="P91" s="151">
        <v>9</v>
      </c>
      <c r="Q91" s="208">
        <f t="shared" si="12"/>
        <v>0</v>
      </c>
      <c r="R91" s="76"/>
      <c r="S91" s="76">
        <f t="shared" si="13"/>
        <v>0</v>
      </c>
      <c r="T91" s="152">
        <f t="shared" si="14"/>
        <v>9</v>
      </c>
      <c r="U91" s="208">
        <f t="shared" si="15"/>
        <v>0</v>
      </c>
    </row>
    <row r="92" spans="9:21" x14ac:dyDescent="0.25">
      <c r="I92" s="121">
        <v>0</v>
      </c>
      <c r="J92" s="124">
        <v>0</v>
      </c>
      <c r="K92" s="76"/>
      <c r="L92" s="76"/>
      <c r="M92" s="143">
        <v>3</v>
      </c>
      <c r="N92" s="153"/>
      <c r="O92" s="76">
        <f t="shared" si="11"/>
        <v>0</v>
      </c>
      <c r="P92" s="151">
        <v>9</v>
      </c>
      <c r="Q92" s="208">
        <f t="shared" si="12"/>
        <v>0</v>
      </c>
      <c r="R92" s="76"/>
      <c r="S92" s="76">
        <f t="shared" si="13"/>
        <v>0</v>
      </c>
      <c r="T92" s="152">
        <f t="shared" si="14"/>
        <v>9</v>
      </c>
      <c r="U92" s="208">
        <f t="shared" si="15"/>
        <v>0</v>
      </c>
    </row>
    <row r="93" spans="9:21" x14ac:dyDescent="0.25">
      <c r="I93" s="121">
        <v>0</v>
      </c>
      <c r="J93" s="124">
        <v>0</v>
      </c>
      <c r="K93" s="76"/>
      <c r="L93" s="76"/>
      <c r="M93" s="143">
        <v>3</v>
      </c>
      <c r="N93" s="76"/>
      <c r="O93" s="76">
        <f t="shared" si="11"/>
        <v>0</v>
      </c>
      <c r="P93" s="151">
        <v>9</v>
      </c>
      <c r="Q93" s="208">
        <f t="shared" si="12"/>
        <v>0</v>
      </c>
      <c r="R93" s="76"/>
      <c r="S93" s="76">
        <f t="shared" si="13"/>
        <v>0</v>
      </c>
      <c r="T93" s="152">
        <f t="shared" si="14"/>
        <v>9</v>
      </c>
      <c r="U93" s="208">
        <f t="shared" si="15"/>
        <v>0</v>
      </c>
    </row>
    <row r="94" spans="9:21" x14ac:dyDescent="0.25">
      <c r="I94" s="121">
        <v>0</v>
      </c>
      <c r="J94" s="124">
        <v>0</v>
      </c>
      <c r="K94" s="76"/>
      <c r="L94" s="76"/>
      <c r="M94" s="143">
        <v>3</v>
      </c>
      <c r="N94" s="76"/>
      <c r="O94" s="76">
        <f t="shared" si="11"/>
        <v>0</v>
      </c>
      <c r="P94" s="151">
        <v>9</v>
      </c>
      <c r="Q94" s="208">
        <f t="shared" si="12"/>
        <v>0</v>
      </c>
      <c r="R94" s="76"/>
      <c r="S94" s="76">
        <f t="shared" si="13"/>
        <v>0</v>
      </c>
      <c r="T94" s="152">
        <f t="shared" si="14"/>
        <v>9</v>
      </c>
      <c r="U94" s="208">
        <f t="shared" si="15"/>
        <v>0</v>
      </c>
    </row>
    <row r="95" spans="9:21" x14ac:dyDescent="0.25">
      <c r="I95" s="121">
        <v>0</v>
      </c>
      <c r="J95" s="124">
        <v>0</v>
      </c>
      <c r="K95" s="76"/>
      <c r="L95" s="76"/>
      <c r="M95" s="143">
        <v>3</v>
      </c>
      <c r="N95" s="76"/>
      <c r="O95" s="76">
        <f t="shared" si="11"/>
        <v>0</v>
      </c>
      <c r="P95" s="151">
        <v>9</v>
      </c>
      <c r="Q95" s="208">
        <f t="shared" si="12"/>
        <v>0</v>
      </c>
      <c r="R95" s="76"/>
      <c r="S95" s="76">
        <f t="shared" si="13"/>
        <v>0</v>
      </c>
      <c r="T95" s="152">
        <f t="shared" si="14"/>
        <v>9</v>
      </c>
      <c r="U95" s="208">
        <f t="shared" si="15"/>
        <v>0</v>
      </c>
    </row>
    <row r="96" spans="9:21" x14ac:dyDescent="0.25">
      <c r="I96" s="121">
        <v>0</v>
      </c>
      <c r="J96" s="124">
        <v>0</v>
      </c>
      <c r="K96" s="76"/>
      <c r="L96" s="76"/>
      <c r="M96" s="143">
        <v>3</v>
      </c>
      <c r="N96" s="76"/>
      <c r="O96" s="76">
        <f t="shared" si="11"/>
        <v>0</v>
      </c>
      <c r="P96" s="151">
        <v>9</v>
      </c>
      <c r="Q96" s="208">
        <f t="shared" si="12"/>
        <v>0</v>
      </c>
      <c r="R96" s="76"/>
      <c r="S96" s="76">
        <f t="shared" si="13"/>
        <v>0</v>
      </c>
      <c r="T96" s="152">
        <f t="shared" si="14"/>
        <v>9</v>
      </c>
      <c r="U96" s="208">
        <f t="shared" si="15"/>
        <v>0</v>
      </c>
    </row>
    <row r="97" spans="9:21" x14ac:dyDescent="0.25">
      <c r="I97" s="121">
        <v>0</v>
      </c>
      <c r="J97" s="124">
        <v>0</v>
      </c>
      <c r="K97" s="76"/>
      <c r="L97" s="76"/>
      <c r="M97" s="143">
        <v>3</v>
      </c>
      <c r="N97" s="76"/>
      <c r="O97" s="76">
        <f t="shared" si="11"/>
        <v>0</v>
      </c>
      <c r="P97" s="151">
        <v>9</v>
      </c>
      <c r="Q97" s="208">
        <f t="shared" si="12"/>
        <v>0</v>
      </c>
      <c r="R97" s="76"/>
      <c r="S97" s="76">
        <f t="shared" si="13"/>
        <v>0</v>
      </c>
      <c r="T97" s="152">
        <f t="shared" si="14"/>
        <v>9</v>
      </c>
      <c r="U97" s="208">
        <f t="shared" si="15"/>
        <v>0</v>
      </c>
    </row>
    <row r="98" spans="9:21" x14ac:dyDescent="0.25">
      <c r="I98" s="121">
        <v>0</v>
      </c>
      <c r="J98" s="124">
        <v>0</v>
      </c>
      <c r="K98" s="76"/>
      <c r="L98" s="76"/>
      <c r="M98" s="143">
        <v>3</v>
      </c>
      <c r="N98" s="153"/>
      <c r="O98" s="76">
        <f t="shared" ref="O98:O127" si="16">L98+N98</f>
        <v>0</v>
      </c>
      <c r="P98" s="151">
        <v>9</v>
      </c>
      <c r="Q98" s="208">
        <f t="shared" ref="Q98:Q127" si="17">O98/P98</f>
        <v>0</v>
      </c>
      <c r="R98" s="76"/>
      <c r="S98" s="76">
        <f t="shared" ref="S98:S127" si="18">R98+L98</f>
        <v>0</v>
      </c>
      <c r="T98" s="152">
        <f t="shared" ref="T98:T127" si="19">P98</f>
        <v>9</v>
      </c>
      <c r="U98" s="208">
        <f t="shared" ref="U98:U127" si="20">S98/T98</f>
        <v>0</v>
      </c>
    </row>
    <row r="99" spans="9:21" x14ac:dyDescent="0.25">
      <c r="I99" s="121">
        <v>0</v>
      </c>
      <c r="J99" s="124">
        <v>0</v>
      </c>
      <c r="K99" s="76"/>
      <c r="L99" s="76"/>
      <c r="M99" s="143">
        <v>3</v>
      </c>
      <c r="N99" s="76"/>
      <c r="O99" s="76">
        <f t="shared" si="16"/>
        <v>0</v>
      </c>
      <c r="P99" s="151">
        <v>9</v>
      </c>
      <c r="Q99" s="208">
        <f t="shared" si="17"/>
        <v>0</v>
      </c>
      <c r="R99" s="76"/>
      <c r="S99" s="76">
        <f t="shared" si="18"/>
        <v>0</v>
      </c>
      <c r="T99" s="152">
        <f t="shared" si="19"/>
        <v>9</v>
      </c>
      <c r="U99" s="208">
        <f t="shared" si="20"/>
        <v>0</v>
      </c>
    </row>
    <row r="100" spans="9:21" x14ac:dyDescent="0.25">
      <c r="I100" s="121">
        <v>0</v>
      </c>
      <c r="J100" s="124">
        <v>0</v>
      </c>
      <c r="K100" s="76"/>
      <c r="L100" s="76"/>
      <c r="M100" s="143">
        <v>3</v>
      </c>
      <c r="N100" s="76"/>
      <c r="O100" s="76">
        <f t="shared" si="16"/>
        <v>0</v>
      </c>
      <c r="P100" s="151">
        <v>9</v>
      </c>
      <c r="Q100" s="208">
        <f t="shared" si="17"/>
        <v>0</v>
      </c>
      <c r="R100" s="76"/>
      <c r="S100" s="76">
        <f t="shared" si="18"/>
        <v>0</v>
      </c>
      <c r="T100" s="152">
        <f t="shared" si="19"/>
        <v>9</v>
      </c>
      <c r="U100" s="208">
        <f t="shared" si="20"/>
        <v>0</v>
      </c>
    </row>
    <row r="101" spans="9:21" x14ac:dyDescent="0.25">
      <c r="I101" s="121">
        <v>0</v>
      </c>
      <c r="J101" s="124">
        <v>0</v>
      </c>
      <c r="K101" s="76"/>
      <c r="L101" s="76"/>
      <c r="M101" s="143">
        <v>3</v>
      </c>
      <c r="N101" s="76"/>
      <c r="O101" s="76">
        <f t="shared" si="16"/>
        <v>0</v>
      </c>
      <c r="P101" s="151">
        <v>9</v>
      </c>
      <c r="Q101" s="208">
        <f t="shared" si="17"/>
        <v>0</v>
      </c>
      <c r="R101" s="76"/>
      <c r="S101" s="76">
        <f t="shared" si="18"/>
        <v>0</v>
      </c>
      <c r="T101" s="152">
        <f t="shared" si="19"/>
        <v>9</v>
      </c>
      <c r="U101" s="208">
        <f t="shared" si="20"/>
        <v>0</v>
      </c>
    </row>
    <row r="102" spans="9:21" x14ac:dyDescent="0.25">
      <c r="I102" s="121">
        <v>0</v>
      </c>
      <c r="J102" s="124">
        <v>0</v>
      </c>
      <c r="K102" s="76"/>
      <c r="L102" s="76"/>
      <c r="M102" s="143">
        <v>3</v>
      </c>
      <c r="N102" s="76"/>
      <c r="O102" s="76">
        <f t="shared" si="16"/>
        <v>0</v>
      </c>
      <c r="P102" s="151">
        <v>9</v>
      </c>
      <c r="Q102" s="208">
        <f t="shared" si="17"/>
        <v>0</v>
      </c>
      <c r="R102" s="76"/>
      <c r="S102" s="76">
        <f t="shared" si="18"/>
        <v>0</v>
      </c>
      <c r="T102" s="152">
        <f t="shared" si="19"/>
        <v>9</v>
      </c>
      <c r="U102" s="208">
        <f t="shared" si="20"/>
        <v>0</v>
      </c>
    </row>
    <row r="103" spans="9:21" x14ac:dyDescent="0.25">
      <c r="I103" s="121">
        <v>0</v>
      </c>
      <c r="J103" s="124">
        <v>0</v>
      </c>
      <c r="K103" s="76"/>
      <c r="L103" s="76"/>
      <c r="M103" s="143">
        <v>3</v>
      </c>
      <c r="N103" s="153"/>
      <c r="O103" s="76">
        <f t="shared" si="16"/>
        <v>0</v>
      </c>
      <c r="P103" s="151">
        <v>9</v>
      </c>
      <c r="Q103" s="208">
        <f t="shared" si="17"/>
        <v>0</v>
      </c>
      <c r="R103" s="76"/>
      <c r="S103" s="76">
        <f t="shared" si="18"/>
        <v>0</v>
      </c>
      <c r="T103" s="152">
        <f t="shared" si="19"/>
        <v>9</v>
      </c>
      <c r="U103" s="208">
        <f t="shared" si="20"/>
        <v>0</v>
      </c>
    </row>
    <row r="104" spans="9:21" x14ac:dyDescent="0.25">
      <c r="I104" s="121">
        <v>0</v>
      </c>
      <c r="J104" s="124">
        <v>0</v>
      </c>
      <c r="K104" s="76"/>
      <c r="L104" s="76"/>
      <c r="M104" s="143">
        <v>3</v>
      </c>
      <c r="N104" s="76"/>
      <c r="O104" s="76">
        <f t="shared" si="16"/>
        <v>0</v>
      </c>
      <c r="P104" s="151">
        <v>9</v>
      </c>
      <c r="Q104" s="208">
        <f t="shared" si="17"/>
        <v>0</v>
      </c>
      <c r="R104" s="76"/>
      <c r="S104" s="76">
        <f t="shared" si="18"/>
        <v>0</v>
      </c>
      <c r="T104" s="152">
        <f t="shared" si="19"/>
        <v>9</v>
      </c>
      <c r="U104" s="208">
        <f t="shared" si="20"/>
        <v>0</v>
      </c>
    </row>
    <row r="105" spans="9:21" x14ac:dyDescent="0.25">
      <c r="I105" s="121">
        <v>0</v>
      </c>
      <c r="J105" s="124">
        <v>0</v>
      </c>
      <c r="K105" s="76"/>
      <c r="L105" s="76"/>
      <c r="M105" s="143">
        <v>3</v>
      </c>
      <c r="N105" s="76"/>
      <c r="O105" s="76">
        <f t="shared" si="16"/>
        <v>0</v>
      </c>
      <c r="P105" s="151">
        <v>9</v>
      </c>
      <c r="Q105" s="208">
        <f t="shared" si="17"/>
        <v>0</v>
      </c>
      <c r="R105" s="76"/>
      <c r="S105" s="76">
        <f t="shared" si="18"/>
        <v>0</v>
      </c>
      <c r="T105" s="152">
        <f t="shared" si="19"/>
        <v>9</v>
      </c>
      <c r="U105" s="208">
        <f t="shared" si="20"/>
        <v>0</v>
      </c>
    </row>
    <row r="106" spans="9:21" x14ac:dyDescent="0.25">
      <c r="I106" s="121">
        <v>0</v>
      </c>
      <c r="J106" s="124">
        <v>0</v>
      </c>
      <c r="K106" s="76"/>
      <c r="L106" s="76"/>
      <c r="M106" s="143">
        <v>3</v>
      </c>
      <c r="N106" s="76"/>
      <c r="O106" s="76">
        <f t="shared" si="16"/>
        <v>0</v>
      </c>
      <c r="P106" s="151">
        <v>9</v>
      </c>
      <c r="Q106" s="208">
        <f t="shared" si="17"/>
        <v>0</v>
      </c>
      <c r="R106" s="76"/>
      <c r="S106" s="76">
        <f t="shared" si="18"/>
        <v>0</v>
      </c>
      <c r="T106" s="152">
        <f t="shared" si="19"/>
        <v>9</v>
      </c>
      <c r="U106" s="208">
        <f t="shared" si="20"/>
        <v>0</v>
      </c>
    </row>
    <row r="107" spans="9:21" x14ac:dyDescent="0.25">
      <c r="I107" s="121">
        <v>0</v>
      </c>
      <c r="J107" s="124">
        <v>0</v>
      </c>
      <c r="K107" s="76"/>
      <c r="L107" s="76"/>
      <c r="M107" s="143">
        <v>3</v>
      </c>
      <c r="N107" s="76"/>
      <c r="O107" s="76">
        <f t="shared" si="16"/>
        <v>0</v>
      </c>
      <c r="P107" s="151">
        <v>9</v>
      </c>
      <c r="Q107" s="208">
        <f t="shared" si="17"/>
        <v>0</v>
      </c>
      <c r="R107" s="76"/>
      <c r="S107" s="76">
        <f t="shared" si="18"/>
        <v>0</v>
      </c>
      <c r="T107" s="152">
        <f t="shared" si="19"/>
        <v>9</v>
      </c>
      <c r="U107" s="208">
        <f t="shared" si="20"/>
        <v>0</v>
      </c>
    </row>
    <row r="108" spans="9:21" x14ac:dyDescent="0.25">
      <c r="I108" s="121">
        <v>0</v>
      </c>
      <c r="J108" s="124">
        <v>0</v>
      </c>
      <c r="K108" s="76"/>
      <c r="L108" s="76"/>
      <c r="M108" s="143">
        <v>3</v>
      </c>
      <c r="N108" s="76"/>
      <c r="O108" s="76">
        <f t="shared" si="16"/>
        <v>0</v>
      </c>
      <c r="P108" s="151">
        <v>9</v>
      </c>
      <c r="Q108" s="208">
        <f t="shared" si="17"/>
        <v>0</v>
      </c>
      <c r="R108" s="76"/>
      <c r="S108" s="76">
        <f t="shared" si="18"/>
        <v>0</v>
      </c>
      <c r="T108" s="152">
        <f t="shared" si="19"/>
        <v>9</v>
      </c>
      <c r="U108" s="208">
        <f t="shared" si="20"/>
        <v>0</v>
      </c>
    </row>
    <row r="109" spans="9:21" x14ac:dyDescent="0.25">
      <c r="I109" s="121">
        <v>0</v>
      </c>
      <c r="J109" s="124">
        <v>0</v>
      </c>
      <c r="K109" s="76"/>
      <c r="L109" s="76"/>
      <c r="M109" s="143">
        <v>3</v>
      </c>
      <c r="N109" s="153"/>
      <c r="O109" s="76">
        <f t="shared" si="16"/>
        <v>0</v>
      </c>
      <c r="P109" s="151">
        <v>9</v>
      </c>
      <c r="Q109" s="208">
        <f t="shared" si="17"/>
        <v>0</v>
      </c>
      <c r="R109" s="76"/>
      <c r="S109" s="76">
        <f t="shared" si="18"/>
        <v>0</v>
      </c>
      <c r="T109" s="152">
        <f t="shared" si="19"/>
        <v>9</v>
      </c>
      <c r="U109" s="208">
        <f t="shared" si="20"/>
        <v>0</v>
      </c>
    </row>
    <row r="110" spans="9:21" x14ac:dyDescent="0.25">
      <c r="I110" s="121">
        <v>0</v>
      </c>
      <c r="J110" s="124">
        <v>0</v>
      </c>
      <c r="K110" s="76"/>
      <c r="L110" s="76"/>
      <c r="M110" s="143">
        <v>3</v>
      </c>
      <c r="N110" s="76"/>
      <c r="O110" s="76">
        <f t="shared" si="16"/>
        <v>0</v>
      </c>
      <c r="P110" s="151">
        <v>9</v>
      </c>
      <c r="Q110" s="208">
        <f t="shared" si="17"/>
        <v>0</v>
      </c>
      <c r="R110" s="76"/>
      <c r="S110" s="76">
        <f t="shared" si="18"/>
        <v>0</v>
      </c>
      <c r="T110" s="152">
        <f t="shared" si="19"/>
        <v>9</v>
      </c>
      <c r="U110" s="208">
        <f t="shared" si="20"/>
        <v>0</v>
      </c>
    </row>
    <row r="111" spans="9:21" x14ac:dyDescent="0.25">
      <c r="I111" s="121">
        <v>0</v>
      </c>
      <c r="J111" s="124">
        <v>0</v>
      </c>
      <c r="K111" s="76"/>
      <c r="L111" s="76"/>
      <c r="M111" s="143">
        <v>3</v>
      </c>
      <c r="N111" s="76"/>
      <c r="O111" s="76">
        <f t="shared" si="16"/>
        <v>0</v>
      </c>
      <c r="P111" s="151">
        <v>9</v>
      </c>
      <c r="Q111" s="208">
        <f t="shared" si="17"/>
        <v>0</v>
      </c>
      <c r="R111" s="76"/>
      <c r="S111" s="76">
        <f t="shared" si="18"/>
        <v>0</v>
      </c>
      <c r="T111" s="152">
        <f t="shared" si="19"/>
        <v>9</v>
      </c>
      <c r="U111" s="208">
        <f t="shared" si="20"/>
        <v>0</v>
      </c>
    </row>
    <row r="112" spans="9:21" x14ac:dyDescent="0.25">
      <c r="I112" s="121">
        <v>0</v>
      </c>
      <c r="J112" s="124">
        <v>0</v>
      </c>
      <c r="K112" s="76"/>
      <c r="L112" s="76"/>
      <c r="M112" s="143">
        <v>3</v>
      </c>
      <c r="N112" s="76"/>
      <c r="O112" s="76">
        <f t="shared" si="16"/>
        <v>0</v>
      </c>
      <c r="P112" s="151">
        <v>9</v>
      </c>
      <c r="Q112" s="208">
        <f t="shared" si="17"/>
        <v>0</v>
      </c>
      <c r="R112" s="76"/>
      <c r="S112" s="76">
        <f t="shared" si="18"/>
        <v>0</v>
      </c>
      <c r="T112" s="152">
        <f t="shared" si="19"/>
        <v>9</v>
      </c>
      <c r="U112" s="208">
        <f t="shared" si="20"/>
        <v>0</v>
      </c>
    </row>
    <row r="113" spans="9:21" x14ac:dyDescent="0.25">
      <c r="I113" s="121">
        <v>0</v>
      </c>
      <c r="J113" s="124">
        <v>0</v>
      </c>
      <c r="K113" s="76"/>
      <c r="L113" s="76"/>
      <c r="M113" s="143">
        <v>3</v>
      </c>
      <c r="N113" s="76"/>
      <c r="O113" s="76">
        <f t="shared" si="16"/>
        <v>0</v>
      </c>
      <c r="P113" s="151">
        <v>9</v>
      </c>
      <c r="Q113" s="208">
        <f t="shared" si="17"/>
        <v>0</v>
      </c>
      <c r="R113" s="76"/>
      <c r="S113" s="76">
        <f t="shared" si="18"/>
        <v>0</v>
      </c>
      <c r="T113" s="152">
        <f t="shared" si="19"/>
        <v>9</v>
      </c>
      <c r="U113" s="208">
        <f t="shared" si="20"/>
        <v>0</v>
      </c>
    </row>
    <row r="114" spans="9:21" x14ac:dyDescent="0.25">
      <c r="I114" s="121">
        <v>0</v>
      </c>
      <c r="J114" s="124">
        <v>0</v>
      </c>
      <c r="K114" s="76"/>
      <c r="L114" s="76"/>
      <c r="M114" s="143">
        <v>3</v>
      </c>
      <c r="N114" s="153"/>
      <c r="O114" s="76">
        <f t="shared" si="16"/>
        <v>0</v>
      </c>
      <c r="P114" s="151">
        <v>9</v>
      </c>
      <c r="Q114" s="208">
        <f t="shared" si="17"/>
        <v>0</v>
      </c>
      <c r="R114" s="76"/>
      <c r="S114" s="76">
        <f t="shared" si="18"/>
        <v>0</v>
      </c>
      <c r="T114" s="152">
        <f t="shared" si="19"/>
        <v>9</v>
      </c>
      <c r="U114" s="208">
        <f t="shared" si="20"/>
        <v>0</v>
      </c>
    </row>
    <row r="115" spans="9:21" x14ac:dyDescent="0.25">
      <c r="I115" s="121">
        <v>0</v>
      </c>
      <c r="J115" s="124">
        <v>0</v>
      </c>
      <c r="K115" s="76"/>
      <c r="L115" s="76"/>
      <c r="M115" s="143">
        <v>3</v>
      </c>
      <c r="N115" s="76"/>
      <c r="O115" s="76">
        <f t="shared" si="16"/>
        <v>0</v>
      </c>
      <c r="P115" s="151">
        <v>9</v>
      </c>
      <c r="Q115" s="208">
        <f t="shared" si="17"/>
        <v>0</v>
      </c>
      <c r="R115" s="76"/>
      <c r="S115" s="76">
        <f t="shared" si="18"/>
        <v>0</v>
      </c>
      <c r="T115" s="152">
        <f t="shared" si="19"/>
        <v>9</v>
      </c>
      <c r="U115" s="208">
        <f t="shared" si="20"/>
        <v>0</v>
      </c>
    </row>
    <row r="116" spans="9:21" x14ac:dyDescent="0.25">
      <c r="I116" s="121">
        <v>0</v>
      </c>
      <c r="J116" s="124">
        <v>0</v>
      </c>
      <c r="K116" s="76"/>
      <c r="L116" s="76"/>
      <c r="M116" s="143">
        <v>3</v>
      </c>
      <c r="N116" s="76"/>
      <c r="O116" s="76">
        <f t="shared" si="16"/>
        <v>0</v>
      </c>
      <c r="P116" s="151">
        <v>9</v>
      </c>
      <c r="Q116" s="208">
        <f t="shared" si="17"/>
        <v>0</v>
      </c>
      <c r="R116" s="76"/>
      <c r="S116" s="76">
        <f t="shared" si="18"/>
        <v>0</v>
      </c>
      <c r="T116" s="152">
        <f t="shared" si="19"/>
        <v>9</v>
      </c>
      <c r="U116" s="208">
        <f t="shared" si="20"/>
        <v>0</v>
      </c>
    </row>
    <row r="117" spans="9:21" x14ac:dyDescent="0.25">
      <c r="I117" s="121">
        <v>0</v>
      </c>
      <c r="J117" s="124">
        <v>0</v>
      </c>
      <c r="K117" s="76"/>
      <c r="L117" s="76"/>
      <c r="M117" s="143">
        <v>3</v>
      </c>
      <c r="N117" s="76"/>
      <c r="O117" s="76">
        <f t="shared" si="16"/>
        <v>0</v>
      </c>
      <c r="P117" s="151">
        <v>9</v>
      </c>
      <c r="Q117" s="208">
        <f t="shared" si="17"/>
        <v>0</v>
      </c>
      <c r="R117" s="76"/>
      <c r="S117" s="76">
        <f t="shared" si="18"/>
        <v>0</v>
      </c>
      <c r="T117" s="152">
        <f t="shared" si="19"/>
        <v>9</v>
      </c>
      <c r="U117" s="208">
        <f t="shared" si="20"/>
        <v>0</v>
      </c>
    </row>
    <row r="118" spans="9:21" x14ac:dyDescent="0.25">
      <c r="I118" s="121">
        <v>0</v>
      </c>
      <c r="J118" s="124">
        <v>0</v>
      </c>
      <c r="K118" s="76"/>
      <c r="L118" s="76"/>
      <c r="M118" s="143">
        <v>3</v>
      </c>
      <c r="N118" s="76"/>
      <c r="O118" s="76">
        <f t="shared" si="16"/>
        <v>0</v>
      </c>
      <c r="P118" s="151">
        <v>9</v>
      </c>
      <c r="Q118" s="208">
        <f t="shared" si="17"/>
        <v>0</v>
      </c>
      <c r="R118" s="76"/>
      <c r="S118" s="76">
        <f t="shared" si="18"/>
        <v>0</v>
      </c>
      <c r="T118" s="152">
        <f t="shared" si="19"/>
        <v>9</v>
      </c>
      <c r="U118" s="208">
        <f t="shared" si="20"/>
        <v>0</v>
      </c>
    </row>
    <row r="119" spans="9:21" x14ac:dyDescent="0.25">
      <c r="I119" s="121">
        <v>0</v>
      </c>
      <c r="J119" s="124">
        <v>0</v>
      </c>
      <c r="K119" s="76"/>
      <c r="L119" s="76"/>
      <c r="M119" s="143">
        <v>3</v>
      </c>
      <c r="N119" s="76"/>
      <c r="O119" s="76">
        <f t="shared" si="16"/>
        <v>0</v>
      </c>
      <c r="P119" s="151">
        <v>9</v>
      </c>
      <c r="Q119" s="208">
        <f t="shared" si="17"/>
        <v>0</v>
      </c>
      <c r="R119" s="76"/>
      <c r="S119" s="76">
        <f t="shared" si="18"/>
        <v>0</v>
      </c>
      <c r="T119" s="152">
        <f t="shared" si="19"/>
        <v>9</v>
      </c>
      <c r="U119" s="208">
        <f t="shared" si="20"/>
        <v>0</v>
      </c>
    </row>
    <row r="120" spans="9:21" x14ac:dyDescent="0.25">
      <c r="I120" s="121">
        <v>0</v>
      </c>
      <c r="J120" s="124">
        <v>0</v>
      </c>
      <c r="K120" s="76"/>
      <c r="L120" s="76"/>
      <c r="M120" s="143">
        <v>3</v>
      </c>
      <c r="N120" s="153"/>
      <c r="O120" s="76">
        <f t="shared" si="16"/>
        <v>0</v>
      </c>
      <c r="P120" s="151">
        <v>9</v>
      </c>
      <c r="Q120" s="208">
        <f t="shared" si="17"/>
        <v>0</v>
      </c>
      <c r="R120" s="76"/>
      <c r="S120" s="76">
        <f t="shared" si="18"/>
        <v>0</v>
      </c>
      <c r="T120" s="152">
        <f t="shared" si="19"/>
        <v>9</v>
      </c>
      <c r="U120" s="208">
        <f t="shared" si="20"/>
        <v>0</v>
      </c>
    </row>
    <row r="121" spans="9:21" x14ac:dyDescent="0.25">
      <c r="I121" s="121">
        <v>0</v>
      </c>
      <c r="J121" s="124">
        <v>0</v>
      </c>
      <c r="K121" s="76"/>
      <c r="L121" s="76"/>
      <c r="M121" s="143">
        <v>3</v>
      </c>
      <c r="N121" s="76"/>
      <c r="O121" s="76">
        <f t="shared" si="16"/>
        <v>0</v>
      </c>
      <c r="P121" s="151">
        <v>9</v>
      </c>
      <c r="Q121" s="208">
        <f t="shared" si="17"/>
        <v>0</v>
      </c>
      <c r="R121" s="76"/>
      <c r="S121" s="76">
        <f t="shared" si="18"/>
        <v>0</v>
      </c>
      <c r="T121" s="152">
        <f t="shared" si="19"/>
        <v>9</v>
      </c>
      <c r="U121" s="208">
        <f t="shared" si="20"/>
        <v>0</v>
      </c>
    </row>
    <row r="122" spans="9:21" x14ac:dyDescent="0.25">
      <c r="I122" s="121">
        <v>0</v>
      </c>
      <c r="J122" s="124">
        <v>0</v>
      </c>
      <c r="K122" s="76"/>
      <c r="L122" s="76"/>
      <c r="M122" s="143">
        <v>3</v>
      </c>
      <c r="N122" s="76"/>
      <c r="O122" s="76">
        <f t="shared" si="16"/>
        <v>0</v>
      </c>
      <c r="P122" s="151">
        <v>9</v>
      </c>
      <c r="Q122" s="208">
        <f t="shared" si="17"/>
        <v>0</v>
      </c>
      <c r="R122" s="76"/>
      <c r="S122" s="76">
        <f t="shared" si="18"/>
        <v>0</v>
      </c>
      <c r="T122" s="152">
        <f t="shared" si="19"/>
        <v>9</v>
      </c>
      <c r="U122" s="208">
        <f t="shared" si="20"/>
        <v>0</v>
      </c>
    </row>
    <row r="123" spans="9:21" x14ac:dyDescent="0.25">
      <c r="I123" s="121">
        <v>0</v>
      </c>
      <c r="J123" s="124">
        <v>0</v>
      </c>
      <c r="K123" s="76"/>
      <c r="L123" s="76"/>
      <c r="M123" s="143">
        <v>3</v>
      </c>
      <c r="N123" s="76"/>
      <c r="O123" s="76">
        <f t="shared" si="16"/>
        <v>0</v>
      </c>
      <c r="P123" s="151">
        <v>9</v>
      </c>
      <c r="Q123" s="208">
        <f t="shared" si="17"/>
        <v>0</v>
      </c>
      <c r="R123" s="76"/>
      <c r="S123" s="76">
        <f t="shared" si="18"/>
        <v>0</v>
      </c>
      <c r="T123" s="152">
        <f t="shared" si="19"/>
        <v>9</v>
      </c>
      <c r="U123" s="208">
        <f t="shared" si="20"/>
        <v>0</v>
      </c>
    </row>
    <row r="124" spans="9:21" x14ac:dyDescent="0.25">
      <c r="I124" s="121">
        <v>0</v>
      </c>
      <c r="J124" s="124">
        <v>0</v>
      </c>
      <c r="K124" s="76"/>
      <c r="L124" s="76"/>
      <c r="M124" s="143">
        <v>3</v>
      </c>
      <c r="N124" s="76"/>
      <c r="O124" s="76">
        <f t="shared" si="16"/>
        <v>0</v>
      </c>
      <c r="P124" s="151">
        <v>9</v>
      </c>
      <c r="Q124" s="208">
        <f t="shared" si="17"/>
        <v>0</v>
      </c>
      <c r="R124" s="76"/>
      <c r="S124" s="76">
        <f t="shared" si="18"/>
        <v>0</v>
      </c>
      <c r="T124" s="152">
        <f t="shared" si="19"/>
        <v>9</v>
      </c>
      <c r="U124" s="208">
        <f t="shared" si="20"/>
        <v>0</v>
      </c>
    </row>
    <row r="125" spans="9:21" x14ac:dyDescent="0.25">
      <c r="I125" s="121">
        <v>0</v>
      </c>
      <c r="J125" s="124">
        <v>0</v>
      </c>
      <c r="K125" s="76"/>
      <c r="L125" s="76"/>
      <c r="M125" s="143">
        <v>3</v>
      </c>
      <c r="N125" s="153"/>
      <c r="O125" s="76">
        <f t="shared" si="16"/>
        <v>0</v>
      </c>
      <c r="P125" s="151">
        <v>9</v>
      </c>
      <c r="Q125" s="208">
        <f t="shared" si="17"/>
        <v>0</v>
      </c>
      <c r="R125" s="76"/>
      <c r="S125" s="76">
        <f t="shared" si="18"/>
        <v>0</v>
      </c>
      <c r="T125" s="152">
        <f t="shared" si="19"/>
        <v>9</v>
      </c>
      <c r="U125" s="208">
        <f t="shared" si="20"/>
        <v>0</v>
      </c>
    </row>
    <row r="126" spans="9:21" x14ac:dyDescent="0.25">
      <c r="I126" s="121">
        <v>0</v>
      </c>
      <c r="J126" s="124">
        <v>0</v>
      </c>
      <c r="K126" s="76"/>
      <c r="L126" s="76"/>
      <c r="M126" s="143">
        <v>3</v>
      </c>
      <c r="N126" s="76"/>
      <c r="O126" s="76">
        <f t="shared" si="16"/>
        <v>0</v>
      </c>
      <c r="P126" s="151">
        <v>9</v>
      </c>
      <c r="Q126" s="208">
        <f t="shared" si="17"/>
        <v>0</v>
      </c>
      <c r="R126" s="76"/>
      <c r="S126" s="76">
        <f t="shared" si="18"/>
        <v>0</v>
      </c>
      <c r="T126" s="152">
        <f t="shared" si="19"/>
        <v>9</v>
      </c>
      <c r="U126" s="208">
        <f t="shared" si="20"/>
        <v>0</v>
      </c>
    </row>
    <row r="127" spans="9:21" x14ac:dyDescent="0.25">
      <c r="I127" s="121">
        <v>0</v>
      </c>
      <c r="J127" s="124">
        <v>0</v>
      </c>
      <c r="K127" s="76"/>
      <c r="L127" s="76"/>
      <c r="M127" s="143">
        <v>3</v>
      </c>
      <c r="N127" s="76"/>
      <c r="O127" s="76">
        <f t="shared" si="16"/>
        <v>0</v>
      </c>
      <c r="P127" s="151">
        <v>9</v>
      </c>
      <c r="Q127" s="208">
        <f t="shared" si="17"/>
        <v>0</v>
      </c>
      <c r="R127" s="76"/>
      <c r="S127" s="76">
        <f t="shared" si="18"/>
        <v>0</v>
      </c>
      <c r="T127" s="152">
        <f t="shared" si="19"/>
        <v>9</v>
      </c>
      <c r="U127" s="208">
        <f t="shared" si="20"/>
        <v>0</v>
      </c>
    </row>
  </sheetData>
  <sortState ref="F2:U127">
    <sortCondition descending="1" ref="J2:J127"/>
    <sortCondition ref="U2:U127"/>
  </sortState>
  <mergeCells count="5">
    <mergeCell ref="A1:D1"/>
    <mergeCell ref="A2:A3"/>
    <mergeCell ref="B2:B3"/>
    <mergeCell ref="C2:C3"/>
    <mergeCell ref="D2:D3"/>
  </mergeCells>
  <conditionalFormatting sqref="J2">
    <cfRule type="colorScale" priority="2">
      <colorScale>
        <cfvo type="min"/>
        <cfvo type="max"/>
        <color rgb="FFFCFCFF"/>
        <color rgb="FFF8696B"/>
      </colorScale>
    </cfRule>
  </conditionalFormatting>
  <conditionalFormatting sqref="J3:J127">
    <cfRule type="colorScale" priority="4018">
      <colorScale>
        <cfvo type="min"/>
        <cfvo type="max"/>
        <color rgb="FFFCFCFF"/>
        <color rgb="FFF8696B"/>
      </colorScale>
    </cfRule>
  </conditionalFormatting>
  <conditionalFormatting sqref="I2:I127">
    <cfRule type="dataBar" priority="4020">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I2:I127</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71"/>
  <sheetViews>
    <sheetView zoomScale="90" zoomScaleNormal="90" workbookViewId="0">
      <selection activeCell="I16" sqref="I16"/>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21.42578125" bestFit="1" customWidth="1"/>
    <col min="5" max="5" width="6"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7" width="6.140625" bestFit="1" customWidth="1"/>
    <col min="18" max="18" width="5.28515625" bestFit="1" customWidth="1"/>
    <col min="19" max="19" width="6.140625" bestFit="1" customWidth="1"/>
    <col min="20" max="27" width="6" bestFit="1" customWidth="1"/>
    <col min="28" max="28" width="5.7109375" bestFit="1" customWidth="1"/>
    <col min="29" max="29" width="4.85546875" bestFit="1" customWidth="1"/>
    <col min="30" max="34" width="5.5703125" bestFit="1" customWidth="1"/>
    <col min="35" max="35" width="4.5703125" bestFit="1" customWidth="1"/>
    <col min="36" max="36" width="5.5703125" bestFit="1" customWidth="1"/>
    <col min="37" max="43" width="5" bestFit="1" customWidth="1"/>
    <col min="45" max="45" width="5.140625" bestFit="1" customWidth="1"/>
    <col min="46" max="46" width="18.42578125" bestFit="1" customWidth="1"/>
    <col min="47" max="48" width="8.5703125" bestFit="1" customWidth="1"/>
    <col min="49" max="49" width="8" bestFit="1" customWidth="1"/>
    <col min="50" max="50" width="7.42578125" bestFit="1" customWidth="1"/>
    <col min="51" max="52" width="7" bestFit="1" customWidth="1"/>
    <col min="53" max="53" width="6.42578125" bestFit="1" customWidth="1"/>
    <col min="54" max="55" width="6.7109375" bestFit="1" customWidth="1"/>
    <col min="56" max="57" width="6.5703125" bestFit="1" customWidth="1"/>
    <col min="59" max="59" width="12.140625" bestFit="1" customWidth="1"/>
    <col min="60" max="60" width="6" bestFit="1" customWidth="1"/>
    <col min="61" max="61" width="12.42578125" bestFit="1" customWidth="1"/>
    <col min="62" max="62" width="15.140625" bestFit="1" customWidth="1"/>
    <col min="63" max="64" width="10.5703125" bestFit="1" customWidth="1"/>
  </cols>
  <sheetData>
    <row r="1" spans="1:64" ht="18.75" x14ac:dyDescent="0.3">
      <c r="C1" s="157"/>
      <c r="D1" s="119"/>
      <c r="G1" s="69"/>
      <c r="H1" s="56"/>
      <c r="J1" s="69"/>
      <c r="K1" s="69"/>
      <c r="M1" s="158"/>
      <c r="T1" s="259"/>
      <c r="U1" s="259"/>
      <c r="V1" s="259"/>
      <c r="W1" s="159"/>
      <c r="X1" s="259" t="s">
        <v>180</v>
      </c>
      <c r="Y1" s="259"/>
      <c r="Z1" s="125">
        <f>T2+U2+V2+W2+X2+Y2+Z2</f>
        <v>1</v>
      </c>
      <c r="AC1" s="69"/>
      <c r="AD1" s="69"/>
      <c r="AE1" s="69"/>
      <c r="AF1" s="69"/>
      <c r="AG1" s="69"/>
      <c r="AH1" s="69"/>
      <c r="AI1" s="69"/>
      <c r="AJ1" s="69"/>
      <c r="AS1" s="259" t="s">
        <v>207</v>
      </c>
      <c r="AT1" s="259"/>
      <c r="AU1" s="259"/>
      <c r="AV1" s="259"/>
      <c r="AW1" s="259"/>
      <c r="AX1" s="259"/>
      <c r="AY1" s="259"/>
      <c r="AZ1" s="259"/>
      <c r="BA1" s="259"/>
      <c r="BB1" s="259"/>
      <c r="BC1" s="259"/>
      <c r="BD1" s="259"/>
      <c r="BE1" s="259"/>
      <c r="BG1" s="112" t="s">
        <v>173</v>
      </c>
      <c r="BH1" s="112" t="s">
        <v>174</v>
      </c>
      <c r="BI1" s="112" t="s">
        <v>208</v>
      </c>
      <c r="BJ1" s="113" t="s">
        <v>209</v>
      </c>
      <c r="BK1" s="69" t="s">
        <v>210</v>
      </c>
      <c r="BL1" s="69" t="s">
        <v>211</v>
      </c>
    </row>
    <row r="2" spans="1:64" ht="18.75" x14ac:dyDescent="0.3">
      <c r="A2" s="160"/>
      <c r="B2" s="160"/>
      <c r="C2" s="161"/>
      <c r="D2" s="162">
        <f ca="1">TODAY()</f>
        <v>43060</v>
      </c>
      <c r="G2" s="69"/>
      <c r="H2" s="163"/>
      <c r="I2" s="163"/>
      <c r="J2" s="164"/>
      <c r="K2" s="164"/>
      <c r="L2" s="163"/>
      <c r="M2" s="165"/>
      <c r="N2" s="163"/>
      <c r="O2" s="163"/>
      <c r="P2" s="163"/>
      <c r="Q2" s="163"/>
      <c r="R2" s="163"/>
      <c r="S2" s="163"/>
      <c r="T2" s="168">
        <v>0</v>
      </c>
      <c r="U2" s="169">
        <v>0</v>
      </c>
      <c r="V2" s="169">
        <v>0</v>
      </c>
      <c r="W2" s="168">
        <v>0</v>
      </c>
      <c r="X2" s="170">
        <v>1</v>
      </c>
      <c r="Y2" s="170">
        <v>0</v>
      </c>
      <c r="Z2" s="170">
        <v>0</v>
      </c>
      <c r="AA2" s="166"/>
      <c r="AB2" s="167"/>
      <c r="AC2" s="167"/>
      <c r="AD2" s="167"/>
      <c r="AE2" s="167"/>
      <c r="AF2" s="167"/>
      <c r="AG2" s="167"/>
      <c r="AH2" s="167"/>
      <c r="AI2" s="167"/>
      <c r="AJ2" s="167"/>
      <c r="AK2" s="160"/>
      <c r="AL2" s="160"/>
      <c r="AM2" s="160"/>
      <c r="AN2" s="160"/>
      <c r="AO2" s="160"/>
      <c r="AP2" s="160"/>
      <c r="AQ2" s="160"/>
      <c r="AR2" s="160"/>
      <c r="AS2" s="160"/>
      <c r="AT2" s="160"/>
      <c r="AU2" s="171">
        <f>SUM(AU4:AU14)*$BJ$3</f>
        <v>0</v>
      </c>
      <c r="AV2" s="171">
        <f>SUM(AV4:AV14)*$BJ$3</f>
        <v>0</v>
      </c>
      <c r="AW2" s="171">
        <f>SUM(AW4:AW14)*$BJ$2</f>
        <v>0</v>
      </c>
      <c r="AX2" s="171">
        <f>SUM(AX4:AX14)*$BJ$4</f>
        <v>0</v>
      </c>
      <c r="AY2" s="171">
        <f>SUM(AY4:AY14)*$BJ$5</f>
        <v>3.251378205128197E-2</v>
      </c>
      <c r="AZ2" s="171">
        <f>SUM(AZ4:AZ14)*$BJ$5</f>
        <v>2.715373931623926E-2</v>
      </c>
      <c r="BA2" s="171">
        <f>SUM(BA4:BA14)*$BJ$6</f>
        <v>4.6422764957264884E-2</v>
      </c>
      <c r="BB2" s="172">
        <f>SUM(BB4:BB14)</f>
        <v>0</v>
      </c>
      <c r="BC2" s="172">
        <f>SUM(BC4:BC14)</f>
        <v>0</v>
      </c>
      <c r="BD2" s="172">
        <f t="shared" ref="BD2:BE2" si="0">SUM(BD4:BD14)</f>
        <v>12.261517857142856</v>
      </c>
      <c r="BE2" s="172">
        <f t="shared" si="0"/>
        <v>5.8482142857142705E-2</v>
      </c>
      <c r="BF2" s="160"/>
      <c r="BG2" s="114" t="s">
        <v>175</v>
      </c>
      <c r="BH2" s="115">
        <v>1</v>
      </c>
      <c r="BI2" s="173">
        <v>0.624</v>
      </c>
      <c r="BJ2" s="174">
        <v>0.245</v>
      </c>
      <c r="BK2" s="72">
        <f>BJ2*10</f>
        <v>2.4500000000000002</v>
      </c>
      <c r="BL2" s="72">
        <f>BJ2*15</f>
        <v>3.6749999999999998</v>
      </c>
    </row>
    <row r="3" spans="1:64" ht="18.75" x14ac:dyDescent="0.3">
      <c r="A3" s="11" t="s">
        <v>1</v>
      </c>
      <c r="B3" s="11" t="s">
        <v>2</v>
      </c>
      <c r="C3" s="12" t="s">
        <v>198</v>
      </c>
      <c r="D3" s="13" t="s">
        <v>3</v>
      </c>
      <c r="E3" s="11" t="s">
        <v>4</v>
      </c>
      <c r="F3" s="11" t="s">
        <v>5</v>
      </c>
      <c r="G3" s="11" t="s">
        <v>6</v>
      </c>
      <c r="H3" s="11" t="s">
        <v>7</v>
      </c>
      <c r="I3" s="11" t="s">
        <v>8</v>
      </c>
      <c r="J3" s="11" t="s">
        <v>9</v>
      </c>
      <c r="K3" s="14" t="s">
        <v>212</v>
      </c>
      <c r="L3" s="14" t="s">
        <v>213</v>
      </c>
      <c r="M3" s="11" t="s">
        <v>15</v>
      </c>
      <c r="N3" s="11" t="s">
        <v>16</v>
      </c>
      <c r="O3" s="11" t="s">
        <v>17</v>
      </c>
      <c r="P3" s="11" t="s">
        <v>18</v>
      </c>
      <c r="Q3" s="11" t="s">
        <v>19</v>
      </c>
      <c r="R3" s="11" t="s">
        <v>20</v>
      </c>
      <c r="S3" s="11" t="s">
        <v>6</v>
      </c>
      <c r="T3" s="176" t="s">
        <v>15</v>
      </c>
      <c r="U3" s="176" t="s">
        <v>16</v>
      </c>
      <c r="V3" s="176" t="s">
        <v>17</v>
      </c>
      <c r="W3" s="176" t="s">
        <v>18</v>
      </c>
      <c r="X3" s="176" t="s">
        <v>19</v>
      </c>
      <c r="Y3" s="176" t="s">
        <v>20</v>
      </c>
      <c r="Z3" s="176" t="s">
        <v>6</v>
      </c>
      <c r="AA3" s="175" t="s">
        <v>4</v>
      </c>
      <c r="AB3" s="175" t="s">
        <v>5</v>
      </c>
      <c r="AC3" s="176" t="s">
        <v>8</v>
      </c>
      <c r="AD3" s="176" t="s">
        <v>15</v>
      </c>
      <c r="AE3" s="176" t="s">
        <v>16</v>
      </c>
      <c r="AF3" s="176" t="s">
        <v>17</v>
      </c>
      <c r="AG3" s="176" t="s">
        <v>18</v>
      </c>
      <c r="AH3" s="176" t="s">
        <v>19</v>
      </c>
      <c r="AI3" s="176" t="s">
        <v>20</v>
      </c>
      <c r="AJ3" s="176" t="s">
        <v>6</v>
      </c>
      <c r="AK3" s="176" t="s">
        <v>15</v>
      </c>
      <c r="AL3" s="176" t="s">
        <v>16</v>
      </c>
      <c r="AM3" s="176" t="s">
        <v>17</v>
      </c>
      <c r="AN3" s="176" t="s">
        <v>18</v>
      </c>
      <c r="AO3" s="176" t="s">
        <v>19</v>
      </c>
      <c r="AP3" s="176" t="s">
        <v>20</v>
      </c>
      <c r="AQ3" s="176" t="s">
        <v>6</v>
      </c>
      <c r="AS3" s="257" t="s">
        <v>229</v>
      </c>
      <c r="AT3" s="258"/>
      <c r="AU3" s="177" t="s">
        <v>214</v>
      </c>
      <c r="AV3" s="177" t="s">
        <v>215</v>
      </c>
      <c r="AW3" s="177" t="s">
        <v>216</v>
      </c>
      <c r="AX3" s="177" t="s">
        <v>217</v>
      </c>
      <c r="AY3" s="177" t="s">
        <v>218</v>
      </c>
      <c r="AZ3" s="177" t="s">
        <v>219</v>
      </c>
      <c r="BA3" s="177" t="s">
        <v>220</v>
      </c>
      <c r="BB3" s="177" t="s">
        <v>221</v>
      </c>
      <c r="BC3" s="177" t="s">
        <v>222</v>
      </c>
      <c r="BD3" s="177" t="s">
        <v>22</v>
      </c>
      <c r="BE3" s="177" t="s">
        <v>223</v>
      </c>
      <c r="BG3" s="114" t="s">
        <v>176</v>
      </c>
      <c r="BH3" s="115">
        <v>1</v>
      </c>
      <c r="BI3" s="173">
        <v>1.002</v>
      </c>
      <c r="BJ3" s="174">
        <v>0.34</v>
      </c>
      <c r="BK3" s="72">
        <f t="shared" ref="BK3:BK6" si="1">BJ3*10</f>
        <v>3.4000000000000004</v>
      </c>
      <c r="BL3" s="72">
        <f t="shared" ref="BL3:BL6" si="2">BJ3*15</f>
        <v>5.1000000000000005</v>
      </c>
    </row>
    <row r="4" spans="1:64" ht="18.75" x14ac:dyDescent="0.3">
      <c r="A4" s="16" t="str">
        <f>PLANTILLA!A4</f>
        <v>#1</v>
      </c>
      <c r="B4" s="16" t="str">
        <f>PLANTILLA!B4</f>
        <v>POR</v>
      </c>
      <c r="C4" s="132">
        <f ca="1">PLANTILLA!C4</f>
        <v>2.7767857142857144</v>
      </c>
      <c r="D4" s="17" t="str">
        <f>PLANTILLA!D4</f>
        <v>Damián Sala</v>
      </c>
      <c r="E4" s="18">
        <f>PLANTILLA!E4</f>
        <v>30</v>
      </c>
      <c r="F4" s="19">
        <f ca="1">PLANTILLA!F4</f>
        <v>25</v>
      </c>
      <c r="G4" s="20">
        <f>PLANTILLA!G4</f>
        <v>0</v>
      </c>
      <c r="H4" s="5">
        <f>PLANTILLA!H4</f>
        <v>2</v>
      </c>
      <c r="I4" s="30">
        <f>PLANTILLA!I4</f>
        <v>10.6</v>
      </c>
      <c r="J4" s="21">
        <f>PLANTILLA!O4</f>
        <v>7.9</v>
      </c>
      <c r="K4" s="7">
        <f>(H4)*(H4)*(I4)</f>
        <v>42.4</v>
      </c>
      <c r="L4" s="7">
        <f>(H4+1)*(H4+1)*I4</f>
        <v>95.399999999999991</v>
      </c>
      <c r="M4" s="23">
        <f>PLANTILLA!X4</f>
        <v>14</v>
      </c>
      <c r="N4" s="23">
        <f>PLANTILLA!Y4</f>
        <v>11.066666666666666</v>
      </c>
      <c r="O4" s="23">
        <f>PLANTILLA!Z4</f>
        <v>0.17999999999999997</v>
      </c>
      <c r="P4" s="23">
        <f>PLANTILLA!AA4</f>
        <v>0.01</v>
      </c>
      <c r="Q4" s="23">
        <f>PLANTILLA!AB4</f>
        <v>2.3299999999999996</v>
      </c>
      <c r="R4" s="23">
        <f>PLANTILLA!AC4</f>
        <v>1.8100000000000005</v>
      </c>
      <c r="S4" s="23">
        <f>PLANTILLA!AD4</f>
        <v>19.149999999999999</v>
      </c>
      <c r="T4" s="180">
        <v>1</v>
      </c>
      <c r="U4" s="180">
        <v>1</v>
      </c>
      <c r="V4" s="180">
        <v>0.13</v>
      </c>
      <c r="W4" s="180">
        <v>0.13</v>
      </c>
      <c r="X4" s="180">
        <f>0.17</f>
        <v>0.17</v>
      </c>
      <c r="Y4" s="180">
        <f t="shared" ref="Y4:Y14" si="3">0.17</f>
        <v>0.17</v>
      </c>
      <c r="Z4" s="180">
        <v>1.25</v>
      </c>
      <c r="AA4" s="178">
        <f t="shared" ref="AA4:AA18" si="4">E4</f>
        <v>30</v>
      </c>
      <c r="AB4" s="179">
        <f t="shared" ref="AB4:AB18" ca="1" si="5">F4+7</f>
        <v>32</v>
      </c>
      <c r="AC4" s="27">
        <f t="shared" ref="AC4:AC18" si="6">I4+$AC$2</f>
        <v>10.6</v>
      </c>
      <c r="AD4" s="181">
        <f>M4+(T4*T$2/12)</f>
        <v>14</v>
      </c>
      <c r="AE4" s="181">
        <f>N4+(U$2/14)</f>
        <v>11.066666666666666</v>
      </c>
      <c r="AF4" s="181">
        <f t="shared" ref="AF4:AH4" si="7">O4</f>
        <v>0.17999999999999997</v>
      </c>
      <c r="AG4" s="181">
        <f t="shared" si="7"/>
        <v>0.01</v>
      </c>
      <c r="AH4" s="181">
        <f t="shared" si="7"/>
        <v>2.3299999999999996</v>
      </c>
      <c r="AI4" s="181">
        <f>R4</f>
        <v>1.8100000000000005</v>
      </c>
      <c r="AJ4" s="181">
        <f>S4+(Z$2/4)</f>
        <v>19.149999999999999</v>
      </c>
      <c r="AK4" s="182">
        <f t="shared" ref="AK4:AQ6" si="8">AD4-M4</f>
        <v>0</v>
      </c>
      <c r="AL4" s="182">
        <f t="shared" si="8"/>
        <v>0</v>
      </c>
      <c r="AM4" s="182">
        <f t="shared" si="8"/>
        <v>0</v>
      </c>
      <c r="AN4" s="182">
        <f t="shared" si="8"/>
        <v>0</v>
      </c>
      <c r="AO4" s="182">
        <f t="shared" si="8"/>
        <v>0</v>
      </c>
      <c r="AP4" s="182">
        <f t="shared" si="8"/>
        <v>0</v>
      </c>
      <c r="AQ4" s="182">
        <f t="shared" si="8"/>
        <v>0</v>
      </c>
      <c r="AR4" s="183"/>
      <c r="AS4" s="201" t="s">
        <v>28</v>
      </c>
      <c r="AT4" s="185" t="str">
        <f>D4</f>
        <v>Damián Sala</v>
      </c>
      <c r="AU4" s="186">
        <f>(AK4*0.597)+(AL4*0.276)</f>
        <v>0</v>
      </c>
      <c r="AV4" s="186">
        <f>AU4</f>
        <v>0</v>
      </c>
      <c r="AW4" s="186">
        <f>(AK4*0.866)+(AL4*0.425)</f>
        <v>0</v>
      </c>
      <c r="AX4" s="186">
        <v>0</v>
      </c>
      <c r="AY4" s="186">
        <v>0</v>
      </c>
      <c r="AZ4" s="186">
        <v>0</v>
      </c>
      <c r="BA4" s="186">
        <v>0</v>
      </c>
      <c r="BB4" s="199">
        <v>0</v>
      </c>
      <c r="BC4" s="199">
        <f>0.08*AK4+0.1*AQ4</f>
        <v>0</v>
      </c>
      <c r="BD4" s="199">
        <v>0</v>
      </c>
      <c r="BE4" s="199">
        <v>0</v>
      </c>
      <c r="BF4" s="183"/>
      <c r="BG4" s="114" t="s">
        <v>177</v>
      </c>
      <c r="BH4" s="115">
        <v>1</v>
      </c>
      <c r="BI4" s="173">
        <v>0.46800000000000003</v>
      </c>
      <c r="BJ4" s="174">
        <v>0.125</v>
      </c>
      <c r="BK4" s="72">
        <f t="shared" si="1"/>
        <v>1.25</v>
      </c>
      <c r="BL4" s="72">
        <f t="shared" si="2"/>
        <v>1.875</v>
      </c>
    </row>
    <row r="5" spans="1:64" ht="18.75" x14ac:dyDescent="0.3">
      <c r="A5" s="16" t="str">
        <f>PLANTILLA!A5</f>
        <v>#2</v>
      </c>
      <c r="B5" s="16" t="str">
        <f>PLANTILLA!B5</f>
        <v>DEF</v>
      </c>
      <c r="C5" s="132">
        <f ca="1">PLANTILLA!C5</f>
        <v>1.0446428571428572</v>
      </c>
      <c r="D5" s="31" t="str">
        <f>PLANTILLA!D5</f>
        <v>Mario Omarini</v>
      </c>
      <c r="E5" s="18">
        <f>PLANTILLA!E5</f>
        <v>31</v>
      </c>
      <c r="F5" s="19">
        <f ca="1">PLANTILLA!F5</f>
        <v>107</v>
      </c>
      <c r="G5" s="20" t="str">
        <f>PLANTILLA!G5</f>
        <v>TEC</v>
      </c>
      <c r="H5" s="5">
        <f>PLANTILLA!H5</f>
        <v>3</v>
      </c>
      <c r="I5" s="30">
        <f>PLANTILLA!I5</f>
        <v>9.6999999999999993</v>
      </c>
      <c r="J5" s="21">
        <f>PLANTILLA!O5</f>
        <v>7.2</v>
      </c>
      <c r="K5" s="7">
        <f t="shared" ref="K5:K18" si="9">(H5)*(H5)*(I5)</f>
        <v>87.3</v>
      </c>
      <c r="L5" s="7">
        <f t="shared" ref="L5:L18" si="10">(H5+1)*(H5+1)*I5</f>
        <v>155.19999999999999</v>
      </c>
      <c r="M5" s="23">
        <f>PLANTILLA!X5</f>
        <v>0</v>
      </c>
      <c r="N5" s="23">
        <f>PLANTILLA!Y5</f>
        <v>14</v>
      </c>
      <c r="O5" s="23">
        <f>PLANTILLA!Z5</f>
        <v>7.1099999999999994</v>
      </c>
      <c r="P5" s="23">
        <f>PLANTILLA!AA5</f>
        <v>11.035714285714286</v>
      </c>
      <c r="Q5" s="23">
        <f>PLANTILLA!AB5</f>
        <v>7.0499999999999989</v>
      </c>
      <c r="R5" s="23">
        <f>PLANTILLA!AC5</f>
        <v>2.0099999999999998</v>
      </c>
      <c r="S5" s="23">
        <f>PLANTILLA!AD5</f>
        <v>15.333333333333332</v>
      </c>
      <c r="T5" s="180">
        <v>0</v>
      </c>
      <c r="U5" s="180">
        <v>1</v>
      </c>
      <c r="V5" s="180">
        <v>0.13</v>
      </c>
      <c r="W5" s="180">
        <v>0.5</v>
      </c>
      <c r="X5" s="180">
        <v>1</v>
      </c>
      <c r="Y5" s="180">
        <f t="shared" si="3"/>
        <v>0.17</v>
      </c>
      <c r="Z5" s="180">
        <v>1.25</v>
      </c>
      <c r="AA5" s="178">
        <f t="shared" si="4"/>
        <v>31</v>
      </c>
      <c r="AB5" s="179">
        <f t="shared" ca="1" si="5"/>
        <v>114</v>
      </c>
      <c r="AC5" s="27">
        <f t="shared" si="6"/>
        <v>9.6999999999999993</v>
      </c>
      <c r="AD5" s="181">
        <f>M5</f>
        <v>0</v>
      </c>
      <c r="AE5" s="181">
        <f>N5+(U$2/11)</f>
        <v>14</v>
      </c>
      <c r="AF5" s="181">
        <f>O5+(V$2/34)</f>
        <v>7.1099999999999994</v>
      </c>
      <c r="AG5" s="181">
        <f>P5+(W$2/14)</f>
        <v>11.035714285714286</v>
      </c>
      <c r="AH5" s="181">
        <f>Q5+(X$2/10)</f>
        <v>7.1499999999999986</v>
      </c>
      <c r="AI5" s="181">
        <f>R5+(Y$2/40)</f>
        <v>2.0099999999999998</v>
      </c>
      <c r="AJ5" s="181">
        <f>S5+(Z$2/7)</f>
        <v>15.333333333333332</v>
      </c>
      <c r="AK5" s="182">
        <f t="shared" si="8"/>
        <v>0</v>
      </c>
      <c r="AL5" s="182">
        <f t="shared" si="8"/>
        <v>0</v>
      </c>
      <c r="AM5" s="182">
        <f t="shared" si="8"/>
        <v>0</v>
      </c>
      <c r="AN5" s="182">
        <f t="shared" si="8"/>
        <v>0</v>
      </c>
      <c r="AO5" s="182">
        <f t="shared" si="8"/>
        <v>9.9999999999999645E-2</v>
      </c>
      <c r="AP5" s="182">
        <f t="shared" si="8"/>
        <v>0</v>
      </c>
      <c r="AQ5" s="182">
        <f t="shared" si="8"/>
        <v>0</v>
      </c>
      <c r="AR5" s="187"/>
      <c r="AS5" s="188" t="s">
        <v>224</v>
      </c>
      <c r="AT5" s="189" t="str">
        <f>D5</f>
        <v>Mario Omarini</v>
      </c>
      <c r="AU5" s="190">
        <f>(AL5*0.919)</f>
        <v>0</v>
      </c>
      <c r="AV5" s="190">
        <v>0</v>
      </c>
      <c r="AW5" s="190">
        <f>AL5*0.414</f>
        <v>0</v>
      </c>
      <c r="AX5" s="190">
        <f>AM5*0.167</f>
        <v>0</v>
      </c>
      <c r="AY5" s="190">
        <f>AN5*0.588</f>
        <v>0</v>
      </c>
      <c r="AZ5" s="190">
        <v>0</v>
      </c>
      <c r="BA5" s="190">
        <v>0</v>
      </c>
      <c r="BB5" s="191">
        <f>(0.5*AP5+0.3*AQ5)/10</f>
        <v>0</v>
      </c>
      <c r="BC5" s="191">
        <f>(0.4*AL5+0.3*AQ5)/10</f>
        <v>0</v>
      </c>
      <c r="BD5" s="191">
        <f>((AE5+1)+(AH5+1)*2)/8</f>
        <v>3.9124999999999996</v>
      </c>
      <c r="BE5" s="191">
        <f>((AL5)+(AO5)*2)/8</f>
        <v>2.4999999999999911E-2</v>
      </c>
      <c r="BF5" s="187"/>
      <c r="BG5" s="114" t="s">
        <v>178</v>
      </c>
      <c r="BH5" s="115">
        <v>1</v>
      </c>
      <c r="BI5" s="173">
        <v>0.877</v>
      </c>
      <c r="BJ5" s="174">
        <v>0.25</v>
      </c>
      <c r="BK5" s="72">
        <f t="shared" si="1"/>
        <v>2.5</v>
      </c>
      <c r="BL5" s="72">
        <f t="shared" si="2"/>
        <v>3.75</v>
      </c>
    </row>
    <row r="6" spans="1:64" ht="18.75" x14ac:dyDescent="0.3">
      <c r="A6" s="16" t="str">
        <f>PLANTILLA!A6</f>
        <v>#3</v>
      </c>
      <c r="B6" s="26" t="str">
        <f>PLANTILLA!B6</f>
        <v>DEF</v>
      </c>
      <c r="C6" s="132">
        <f ca="1">PLANTILLA!C6</f>
        <v>1.2410714285714286</v>
      </c>
      <c r="D6" s="1" t="str">
        <f>PLANTILLA!D6</f>
        <v>Csaba Mező</v>
      </c>
      <c r="E6" s="2">
        <f>PLANTILLA!E6</f>
        <v>31</v>
      </c>
      <c r="F6" s="3">
        <f ca="1">PLANTILLA!F6</f>
        <v>85</v>
      </c>
      <c r="G6" s="4">
        <f>PLANTILLA!G6</f>
        <v>0</v>
      </c>
      <c r="H6" s="5">
        <f>PLANTILLA!H6</f>
        <v>3</v>
      </c>
      <c r="I6" s="6">
        <f>PLANTILLA!I6</f>
        <v>9.1</v>
      </c>
      <c r="J6" s="21">
        <f>PLANTILLA!O6</f>
        <v>7.1</v>
      </c>
      <c r="K6" s="7">
        <f t="shared" si="9"/>
        <v>81.899999999999991</v>
      </c>
      <c r="L6" s="7">
        <f t="shared" si="10"/>
        <v>145.6</v>
      </c>
      <c r="M6" s="23">
        <f>PLANTILLA!X6</f>
        <v>0</v>
      </c>
      <c r="N6" s="23">
        <f>PLANTILLA!Y6</f>
        <v>13.05</v>
      </c>
      <c r="O6" s="23">
        <f>PLANTILLA!Z6</f>
        <v>3.18</v>
      </c>
      <c r="P6" s="23">
        <f>PLANTILLA!AA6</f>
        <v>12.033333333333333</v>
      </c>
      <c r="Q6" s="23">
        <f>PLANTILLA!AB6</f>
        <v>9.0399999999999991</v>
      </c>
      <c r="R6" s="23">
        <f>PLANTILLA!AC6</f>
        <v>4.01</v>
      </c>
      <c r="S6" s="23">
        <f>PLANTILLA!AD6</f>
        <v>10</v>
      </c>
      <c r="T6" s="180">
        <v>0</v>
      </c>
      <c r="U6" s="180">
        <v>1</v>
      </c>
      <c r="V6" s="180">
        <v>0.13</v>
      </c>
      <c r="W6" s="180">
        <v>0.5</v>
      </c>
      <c r="X6" s="180">
        <v>1</v>
      </c>
      <c r="Y6" s="180">
        <f t="shared" si="3"/>
        <v>0.17</v>
      </c>
      <c r="Z6" s="180">
        <v>1</v>
      </c>
      <c r="AA6" s="178">
        <f t="shared" si="4"/>
        <v>31</v>
      </c>
      <c r="AB6" s="179">
        <f t="shared" ca="1" si="5"/>
        <v>92</v>
      </c>
      <c r="AC6" s="27">
        <f t="shared" si="6"/>
        <v>9.1</v>
      </c>
      <c r="AD6" s="181">
        <f t="shared" ref="AD6:AD18" si="11">M6</f>
        <v>0</v>
      </c>
      <c r="AE6" s="181">
        <f>N6+(U$2/15)</f>
        <v>13.05</v>
      </c>
      <c r="AF6" s="181">
        <f>O6+(V$2/60)</f>
        <v>3.18</v>
      </c>
      <c r="AG6" s="181">
        <f>P6+(W$2/16)</f>
        <v>12.033333333333333</v>
      </c>
      <c r="AH6" s="181">
        <f>Q6+(X$2/16)</f>
        <v>9.1024999999999991</v>
      </c>
      <c r="AI6" s="181">
        <f>R6+(Y$2/40)</f>
        <v>4.01</v>
      </c>
      <c r="AJ6" s="181">
        <f>S6+(Z$2/4)</f>
        <v>10</v>
      </c>
      <c r="AK6" s="182">
        <f t="shared" si="8"/>
        <v>0</v>
      </c>
      <c r="AL6" s="182">
        <f t="shared" si="8"/>
        <v>0</v>
      </c>
      <c r="AM6" s="182">
        <f t="shared" si="8"/>
        <v>0</v>
      </c>
      <c r="AN6" s="182">
        <f t="shared" si="8"/>
        <v>0</v>
      </c>
      <c r="AO6" s="182">
        <f t="shared" si="8"/>
        <v>6.25E-2</v>
      </c>
      <c r="AP6" s="182">
        <f t="shared" si="8"/>
        <v>0</v>
      </c>
      <c r="AQ6" s="182">
        <f t="shared" si="8"/>
        <v>0</v>
      </c>
      <c r="AR6" s="34"/>
      <c r="AS6" s="123" t="s">
        <v>232</v>
      </c>
      <c r="AT6" s="26" t="str">
        <f>D9</f>
        <v>Ibiur Altxakoa</v>
      </c>
      <c r="AU6" s="192">
        <f>AL9*0.378</f>
        <v>0</v>
      </c>
      <c r="AV6" s="192">
        <f>AU6</f>
        <v>0</v>
      </c>
      <c r="AW6" s="192">
        <f>AL9*1</f>
        <v>0</v>
      </c>
      <c r="AX6" s="192">
        <f>AM9*0.236</f>
        <v>0</v>
      </c>
      <c r="AY6" s="192">
        <v>0</v>
      </c>
      <c r="AZ6" s="192">
        <v>0</v>
      </c>
      <c r="BA6" s="192">
        <v>0</v>
      </c>
      <c r="BB6" s="200">
        <f>(0.5*AP9+0.3*AQ9)/10</f>
        <v>0</v>
      </c>
      <c r="BC6" s="200">
        <f>(0.4*AL9+0.3*AQ9)/10</f>
        <v>0</v>
      </c>
      <c r="BD6" s="191">
        <f>((AE9+1)+(AH9+1)*2)/8</f>
        <v>4.0671428571428567</v>
      </c>
      <c r="BE6" s="191">
        <f>((AL9)+(AO9)*2)/8</f>
        <v>1.7857142857142794E-2</v>
      </c>
      <c r="BF6" s="34"/>
      <c r="BG6" s="114" t="s">
        <v>179</v>
      </c>
      <c r="BH6" s="115">
        <v>1</v>
      </c>
      <c r="BI6" s="173">
        <v>0.59299999999999997</v>
      </c>
      <c r="BJ6" s="174">
        <v>0.19</v>
      </c>
      <c r="BK6" s="72">
        <f t="shared" si="1"/>
        <v>1.9</v>
      </c>
      <c r="BL6" s="72">
        <f t="shared" si="2"/>
        <v>2.85</v>
      </c>
    </row>
    <row r="7" spans="1:64" x14ac:dyDescent="0.25">
      <c r="A7" s="16" t="str">
        <f>PLANTILLA!A7</f>
        <v>#5</v>
      </c>
      <c r="B7" s="16" t="str">
        <f>PLANTILLA!B7</f>
        <v>DEF</v>
      </c>
      <c r="C7" s="132">
        <f ca="1">PLANTILLA!C7</f>
        <v>1.7410714285714286</v>
      </c>
      <c r="D7" s="1" t="str">
        <f>PLANTILLA!D7</f>
        <v>Mateuz Brzostowski</v>
      </c>
      <c r="E7" s="2">
        <f>PLANTILLA!E7</f>
        <v>31</v>
      </c>
      <c r="F7" s="3">
        <f ca="1">PLANTILLA!F7</f>
        <v>29</v>
      </c>
      <c r="G7" s="4">
        <f>PLANTILLA!G7</f>
        <v>0</v>
      </c>
      <c r="H7" s="138">
        <f>PLANTILLA!H7</f>
        <v>2</v>
      </c>
      <c r="I7" s="6">
        <f>PLANTILLA!I7</f>
        <v>8.9</v>
      </c>
      <c r="J7" s="21">
        <f>PLANTILLA!O7</f>
        <v>7</v>
      </c>
      <c r="K7" s="7">
        <f t="shared" si="9"/>
        <v>35.6</v>
      </c>
      <c r="L7" s="7">
        <f t="shared" si="10"/>
        <v>80.100000000000009</v>
      </c>
      <c r="M7" s="23">
        <f>PLANTILLA!X7</f>
        <v>0</v>
      </c>
      <c r="N7" s="23">
        <f>PLANTILLA!Y7</f>
        <v>14</v>
      </c>
      <c r="O7" s="23">
        <f>PLANTILLA!Z7</f>
        <v>5.0199999999999996</v>
      </c>
      <c r="P7" s="23">
        <f>PLANTILLA!AA7</f>
        <v>10.01</v>
      </c>
      <c r="Q7" s="23">
        <f>PLANTILLA!AB7</f>
        <v>9.0399999999999991</v>
      </c>
      <c r="R7" s="23">
        <f>PLANTILLA!AC7</f>
        <v>1.01</v>
      </c>
      <c r="S7" s="23">
        <f>PLANTILLA!AD7</f>
        <v>13.2</v>
      </c>
      <c r="T7" s="180">
        <v>0</v>
      </c>
      <c r="U7" s="180">
        <v>1</v>
      </c>
      <c r="V7" s="180">
        <v>0.13</v>
      </c>
      <c r="W7" s="180">
        <v>0.13</v>
      </c>
      <c r="X7" s="180">
        <v>1</v>
      </c>
      <c r="Y7" s="180">
        <f t="shared" si="3"/>
        <v>0.17</v>
      </c>
      <c r="Z7" s="180">
        <v>1</v>
      </c>
      <c r="AA7" s="178">
        <f t="shared" si="4"/>
        <v>31</v>
      </c>
      <c r="AB7" s="179">
        <f t="shared" ca="1" si="5"/>
        <v>36</v>
      </c>
      <c r="AC7" s="27">
        <f t="shared" si="6"/>
        <v>8.9</v>
      </c>
      <c r="AD7" s="181">
        <f t="shared" si="11"/>
        <v>0</v>
      </c>
      <c r="AE7" s="181">
        <f>N7+(U$2/20)</f>
        <v>14</v>
      </c>
      <c r="AF7" s="181">
        <f>O7+(V$2/50)</f>
        <v>5.0199999999999996</v>
      </c>
      <c r="AG7" s="181">
        <f>P7+(W$2/43)</f>
        <v>10.01</v>
      </c>
      <c r="AH7" s="181">
        <f>Q7+(X$2/7)</f>
        <v>9.1828571428571415</v>
      </c>
      <c r="AI7" s="181">
        <f>R7+(Y$2/32)</f>
        <v>1.01</v>
      </c>
      <c r="AJ7" s="181">
        <f>S7+(Z$2/3)</f>
        <v>13.2</v>
      </c>
      <c r="AK7" s="182">
        <v>0</v>
      </c>
      <c r="AL7" s="182">
        <f t="shared" ref="AL7" si="12">AE7-N7</f>
        <v>0</v>
      </c>
      <c r="AM7" s="182">
        <f t="shared" ref="AM7" si="13">AF7-O7</f>
        <v>0</v>
      </c>
      <c r="AN7" s="182">
        <f t="shared" ref="AN7" si="14">AG7-P7</f>
        <v>0</v>
      </c>
      <c r="AO7" s="182">
        <f t="shared" ref="AO7" si="15">AH7-Q7</f>
        <v>0.14285714285714235</v>
      </c>
      <c r="AP7" s="182">
        <f t="shared" ref="AP7" si="16">AI7-R7</f>
        <v>0</v>
      </c>
      <c r="AQ7" s="182">
        <f t="shared" ref="AQ7" si="17">AJ7-S7</f>
        <v>0</v>
      </c>
      <c r="AR7" s="34"/>
      <c r="AS7" s="188" t="s">
        <v>224</v>
      </c>
      <c r="AT7" s="26" t="str">
        <f>D6</f>
        <v>Csaba Mező</v>
      </c>
      <c r="AU7" s="192">
        <v>0</v>
      </c>
      <c r="AV7" s="192">
        <f>AL6*0.919</f>
        <v>0</v>
      </c>
      <c r="AW7" s="192">
        <f>AL6*0.414</f>
        <v>0</v>
      </c>
      <c r="AX7" s="192">
        <f>AM6*0.167</f>
        <v>0</v>
      </c>
      <c r="AY7" s="192">
        <v>0</v>
      </c>
      <c r="AZ7" s="192">
        <f>AN6*0.588</f>
        <v>0</v>
      </c>
      <c r="BA7" s="192">
        <v>0</v>
      </c>
      <c r="BB7" s="200">
        <f>(0.5*AP6+0.3*AQ6)/10</f>
        <v>0</v>
      </c>
      <c r="BC7" s="200">
        <f>(0.4*AL6+0.3*AQ6)/10</f>
        <v>0</v>
      </c>
      <c r="BD7" s="191">
        <f>((AE6+1)+(AH6+1)*2)/8</f>
        <v>4.2818749999999994</v>
      </c>
      <c r="BE7" s="191">
        <f>((AL6)+(AO6)*2)/8</f>
        <v>1.5625E-2</v>
      </c>
      <c r="BF7" s="34"/>
      <c r="BG7" s="34"/>
      <c r="BH7" s="34"/>
      <c r="BI7" s="34"/>
      <c r="BJ7" s="34"/>
      <c r="BK7" s="34"/>
      <c r="BL7" s="34"/>
    </row>
    <row r="8" spans="1:64" x14ac:dyDescent="0.25">
      <c r="A8" s="16" t="str">
        <f>PLANTILLA!A8</f>
        <v>#8</v>
      </c>
      <c r="B8" s="26" t="str">
        <f>PLANTILLA!B8</f>
        <v>DEF</v>
      </c>
      <c r="C8" s="132">
        <f ca="1">PLANTILLA!C8</f>
        <v>1.8928571428571428</v>
      </c>
      <c r="D8" s="1" t="str">
        <f>PLANTILLA!D8</f>
        <v>Andrea Califano</v>
      </c>
      <c r="E8" s="2">
        <f>PLANTILLA!E8</f>
        <v>31</v>
      </c>
      <c r="F8" s="3">
        <f ca="1">PLANTILLA!F8</f>
        <v>12</v>
      </c>
      <c r="G8" s="4">
        <f>PLANTILLA!G8</f>
        <v>0</v>
      </c>
      <c r="H8" s="5">
        <f>PLANTILLA!H8</f>
        <v>3</v>
      </c>
      <c r="I8" s="6">
        <f>PLANTILLA!I8</f>
        <v>8.3000000000000007</v>
      </c>
      <c r="J8" s="21">
        <f>PLANTILLA!O8</f>
        <v>7</v>
      </c>
      <c r="K8" s="7">
        <f t="shared" si="9"/>
        <v>74.7</v>
      </c>
      <c r="L8" s="7">
        <f t="shared" si="10"/>
        <v>132.80000000000001</v>
      </c>
      <c r="M8" s="23">
        <f>PLANTILLA!X8</f>
        <v>0</v>
      </c>
      <c r="N8" s="23">
        <f>PLANTILLA!Y8</f>
        <v>14</v>
      </c>
      <c r="O8" s="23">
        <f>PLANTILLA!Z8</f>
        <v>3.02</v>
      </c>
      <c r="P8" s="23">
        <f>PLANTILLA!AA8</f>
        <v>3.01</v>
      </c>
      <c r="Q8" s="23">
        <f>PLANTILLA!AB8</f>
        <v>10.01</v>
      </c>
      <c r="R8" s="23">
        <f>PLANTILLA!AC8</f>
        <v>3</v>
      </c>
      <c r="S8" s="23">
        <f>PLANTILLA!AD8</f>
        <v>17</v>
      </c>
      <c r="T8" s="180">
        <v>0</v>
      </c>
      <c r="U8" s="180">
        <v>1</v>
      </c>
      <c r="V8" s="180">
        <v>0.13</v>
      </c>
      <c r="W8" s="180">
        <v>0.5</v>
      </c>
      <c r="X8" s="180">
        <v>1</v>
      </c>
      <c r="Y8" s="180">
        <f t="shared" si="3"/>
        <v>0.17</v>
      </c>
      <c r="Z8" s="180">
        <v>1</v>
      </c>
      <c r="AA8" s="178">
        <f t="shared" si="4"/>
        <v>31</v>
      </c>
      <c r="AB8" s="179">
        <f t="shared" ca="1" si="5"/>
        <v>19</v>
      </c>
      <c r="AC8" s="27">
        <f t="shared" si="6"/>
        <v>8.3000000000000007</v>
      </c>
      <c r="AD8" s="181">
        <f t="shared" si="11"/>
        <v>0</v>
      </c>
      <c r="AE8" s="181">
        <f>N8+(U$2/18)</f>
        <v>14</v>
      </c>
      <c r="AF8" s="181">
        <f>O8+(V$2/56)</f>
        <v>3.02</v>
      </c>
      <c r="AG8" s="181">
        <f>P8+(W$2/10)</f>
        <v>3.01</v>
      </c>
      <c r="AH8" s="181">
        <f>Q8+(X$2/6)</f>
        <v>10.176666666666666</v>
      </c>
      <c r="AI8" s="181">
        <f>R8+(Y$2/40)</f>
        <v>3</v>
      </c>
      <c r="AJ8" s="181">
        <f>S8+(Z$2/2.5)</f>
        <v>17</v>
      </c>
      <c r="AK8" s="182">
        <v>0</v>
      </c>
      <c r="AL8" s="182">
        <f t="shared" ref="AL8" si="18">AE8-N8</f>
        <v>0</v>
      </c>
      <c r="AM8" s="182">
        <f t="shared" ref="AM8" si="19">AF8-O8</f>
        <v>0</v>
      </c>
      <c r="AN8" s="182">
        <f t="shared" ref="AN8" si="20">AG8-P8</f>
        <v>0</v>
      </c>
      <c r="AO8" s="182">
        <f t="shared" ref="AO8" si="21">AH8-Q8</f>
        <v>0.16666666666666607</v>
      </c>
      <c r="AP8" s="182">
        <f t="shared" ref="AP8" si="22">AI8-R8</f>
        <v>0</v>
      </c>
      <c r="AQ8" s="182">
        <f t="shared" ref="AQ8" si="23">AJ8-S8</f>
        <v>0</v>
      </c>
      <c r="AR8" s="193"/>
      <c r="AS8" s="201" t="s">
        <v>230</v>
      </c>
      <c r="AT8" s="185" t="str">
        <f>D13</f>
        <v>Iyad Chaabo</v>
      </c>
      <c r="AU8" s="186">
        <f>AL13*0.284</f>
        <v>0</v>
      </c>
      <c r="AV8" s="186">
        <v>0</v>
      </c>
      <c r="AW8" s="186">
        <f>AL13*0.244</f>
        <v>0</v>
      </c>
      <c r="AX8" s="186">
        <f>AM13*0.631</f>
        <v>0</v>
      </c>
      <c r="AY8" s="186">
        <f>(AN13*0.702)+(AO13*0.193)</f>
        <v>3.2166666666666552E-2</v>
      </c>
      <c r="AZ8" s="186">
        <v>0</v>
      </c>
      <c r="BA8" s="186">
        <f>(AO13*0.148)</f>
        <v>2.4666666666666576E-2</v>
      </c>
      <c r="BB8" s="200">
        <f>(0.5*AP13+0.3*AQ13)/10</f>
        <v>0</v>
      </c>
      <c r="BC8" s="200">
        <f>(0.4*AL13+0.3*AQ13)/10</f>
        <v>0</v>
      </c>
      <c r="BD8" s="199">
        <v>0</v>
      </c>
      <c r="BE8" s="199">
        <v>0</v>
      </c>
      <c r="BF8" s="193"/>
      <c r="BG8" s="56"/>
      <c r="BH8" s="193"/>
      <c r="BI8" s="193"/>
      <c r="BJ8" s="193"/>
      <c r="BK8" s="193"/>
      <c r="BL8" s="193"/>
    </row>
    <row r="9" spans="1:64" x14ac:dyDescent="0.25">
      <c r="A9" s="16" t="str">
        <f>PLANTILLA!A9</f>
        <v>#7</v>
      </c>
      <c r="B9" s="26" t="str">
        <f>PLANTILLA!B9</f>
        <v>DEF</v>
      </c>
      <c r="C9" s="132">
        <f ca="1">PLANTILLA!C9</f>
        <v>0.42857142857142855</v>
      </c>
      <c r="D9" s="1" t="str">
        <f>PLANTILLA!D9</f>
        <v>Ibiur Altxakoa</v>
      </c>
      <c r="E9" s="2">
        <f>PLANTILLA!E9</f>
        <v>32</v>
      </c>
      <c r="F9" s="3">
        <f ca="1">PLANTILLA!F9</f>
        <v>64</v>
      </c>
      <c r="G9" s="4" t="str">
        <f>PLANTILLA!G9</f>
        <v>CAB</v>
      </c>
      <c r="H9" s="138">
        <f>PLANTILLA!H9</f>
        <v>3</v>
      </c>
      <c r="I9" s="6">
        <f>PLANTILLA!I9</f>
        <v>10.9</v>
      </c>
      <c r="J9" s="21">
        <f>PLANTILLA!O9</f>
        <v>6.9</v>
      </c>
      <c r="K9" s="7">
        <f t="shared" si="9"/>
        <v>98.100000000000009</v>
      </c>
      <c r="L9" s="7">
        <f t="shared" si="10"/>
        <v>174.4</v>
      </c>
      <c r="M9" s="23">
        <f>PLANTILLA!X9</f>
        <v>0</v>
      </c>
      <c r="N9" s="23">
        <f>PLANTILLA!Y9</f>
        <v>15.028571428571428</v>
      </c>
      <c r="O9" s="23">
        <f>PLANTILLA!Z9</f>
        <v>12</v>
      </c>
      <c r="P9" s="23">
        <f>PLANTILLA!AA9</f>
        <v>2.0099999999999998</v>
      </c>
      <c r="Q9" s="23">
        <f>PLANTILLA!AB9</f>
        <v>7.1828571428571424</v>
      </c>
      <c r="R9" s="23">
        <f>PLANTILLA!AC9</f>
        <v>3.99</v>
      </c>
      <c r="S9" s="23">
        <f>PLANTILLA!AD9</f>
        <v>14.399999999999999</v>
      </c>
      <c r="T9" s="180">
        <v>0</v>
      </c>
      <c r="U9" s="180">
        <v>1</v>
      </c>
      <c r="V9" s="180">
        <v>0.13</v>
      </c>
      <c r="W9" s="180">
        <v>0.5</v>
      </c>
      <c r="X9" s="180">
        <v>1</v>
      </c>
      <c r="Y9" s="180">
        <f t="shared" si="3"/>
        <v>0.17</v>
      </c>
      <c r="Z9" s="180">
        <v>1</v>
      </c>
      <c r="AA9" s="178">
        <f t="shared" si="4"/>
        <v>32</v>
      </c>
      <c r="AB9" s="179">
        <f t="shared" ca="1" si="5"/>
        <v>71</v>
      </c>
      <c r="AC9" s="27">
        <f t="shared" si="6"/>
        <v>10.9</v>
      </c>
      <c r="AD9" s="181">
        <f t="shared" si="11"/>
        <v>0</v>
      </c>
      <c r="AE9" s="181">
        <f>N9+(U$2/28)</f>
        <v>15.028571428571428</v>
      </c>
      <c r="AF9" s="181">
        <f>O9+(V$2/45)</f>
        <v>12</v>
      </c>
      <c r="AG9" s="181">
        <f>P9+(W$2/6)</f>
        <v>2.0099999999999998</v>
      </c>
      <c r="AH9" s="181">
        <f>Q9+(X$2/14)</f>
        <v>7.2542857142857136</v>
      </c>
      <c r="AI9" s="181">
        <f>R9+(Y$2/45)</f>
        <v>3.99</v>
      </c>
      <c r="AJ9" s="181">
        <f>S9+(Z$2/1)</f>
        <v>14.399999999999999</v>
      </c>
      <c r="AK9" s="182">
        <v>0</v>
      </c>
      <c r="AL9" s="182">
        <f t="shared" ref="AL9" si="24">AE9-N9</f>
        <v>0</v>
      </c>
      <c r="AM9" s="182">
        <f t="shared" ref="AM9" si="25">AF9-O9</f>
        <v>0</v>
      </c>
      <c r="AN9" s="182">
        <f t="shared" ref="AN9" si="26">AG9-P9</f>
        <v>0</v>
      </c>
      <c r="AO9" s="182">
        <f t="shared" ref="AO9" si="27">AH9-Q9</f>
        <v>7.1428571428571175E-2</v>
      </c>
      <c r="AP9" s="182">
        <f t="shared" ref="AP9" si="28">AI9-R9</f>
        <v>0</v>
      </c>
      <c r="AQ9" s="182">
        <f t="shared" ref="AQ9" si="29">AJ9-S9</f>
        <v>0</v>
      </c>
      <c r="AR9" s="34"/>
      <c r="AS9" s="123" t="s">
        <v>226</v>
      </c>
      <c r="AT9" s="26" t="str">
        <f>D15</f>
        <v>Gianfranco Rezza</v>
      </c>
      <c r="AU9" s="192">
        <f>AL15*0.057</f>
        <v>0</v>
      </c>
      <c r="AV9" s="192">
        <f>AL15*0.057</f>
        <v>0</v>
      </c>
      <c r="AW9" s="192">
        <f>AL15*0.162</f>
        <v>0</v>
      </c>
      <c r="AX9" s="192">
        <f>AM15*0.944</f>
        <v>0</v>
      </c>
      <c r="AY9" s="192">
        <f>(AO15*0.189)</f>
        <v>1.5750000000000111E-2</v>
      </c>
      <c r="AZ9" s="192">
        <f>(AO15*0.189)</f>
        <v>1.5750000000000111E-2</v>
      </c>
      <c r="BA9" s="192">
        <f>(AO15*0.507)+(AP15*0.31)</f>
        <v>4.2250000000000301E-2</v>
      </c>
      <c r="BB9" s="200">
        <f>(0.5*AP15+0.3*AQ15)/10</f>
        <v>0</v>
      </c>
      <c r="BC9" s="200">
        <f>(0.4*AL15+0.3*AQ15)/10</f>
        <v>0</v>
      </c>
      <c r="BD9" s="200">
        <v>0</v>
      </c>
      <c r="BE9" s="200">
        <v>0</v>
      </c>
      <c r="BF9" s="34"/>
      <c r="BG9" t="s">
        <v>235</v>
      </c>
      <c r="BH9" s="34"/>
      <c r="BI9" s="34"/>
      <c r="BJ9" s="34"/>
      <c r="BK9" s="34"/>
      <c r="BL9" s="34"/>
    </row>
    <row r="10" spans="1:64" x14ac:dyDescent="0.25">
      <c r="A10" s="16" t="str">
        <f>PLANTILLA!A10</f>
        <v>#4</v>
      </c>
      <c r="B10" s="16" t="str">
        <f>PLANTILLA!B10</f>
        <v>DEF</v>
      </c>
      <c r="C10" s="132">
        <f ca="1">PLANTILLA!C10</f>
        <v>1.1160714285714286</v>
      </c>
      <c r="D10" s="31" t="str">
        <f>PLANTILLA!D10</f>
        <v>Jorge W. Whitaker</v>
      </c>
      <c r="E10" s="18">
        <f>PLANTILLA!E10</f>
        <v>31</v>
      </c>
      <c r="F10" s="3">
        <f ca="1">PLANTILLA!F10</f>
        <v>99</v>
      </c>
      <c r="G10" s="20" t="str">
        <f>PLANTILLA!G10</f>
        <v>POT</v>
      </c>
      <c r="H10" s="138">
        <f>PLANTILLA!H10</f>
        <v>2</v>
      </c>
      <c r="I10" s="30">
        <f>PLANTILLA!I10</f>
        <v>9.1999999999999993</v>
      </c>
      <c r="J10" s="21">
        <f>PLANTILLA!O10</f>
        <v>7</v>
      </c>
      <c r="K10" s="7">
        <f t="shared" si="9"/>
        <v>36.799999999999997</v>
      </c>
      <c r="L10" s="7">
        <f t="shared" si="10"/>
        <v>82.8</v>
      </c>
      <c r="M10" s="23">
        <f>PLANTILLA!X10</f>
        <v>0</v>
      </c>
      <c r="N10" s="23">
        <f>PLANTILLA!Y10</f>
        <v>12</v>
      </c>
      <c r="O10" s="23">
        <f>PLANTILLA!Z10</f>
        <v>15.04</v>
      </c>
      <c r="P10" s="23">
        <f>PLANTILLA!AA10</f>
        <v>2.0099999999999998</v>
      </c>
      <c r="Q10" s="23">
        <f>PLANTILLA!AB10</f>
        <v>8.3488888888888884</v>
      </c>
      <c r="R10" s="23">
        <f>PLANTILLA!AC10</f>
        <v>2.1666666666666665</v>
      </c>
      <c r="S10" s="23">
        <f>PLANTILLA!AD10</f>
        <v>8.4</v>
      </c>
      <c r="T10" s="180">
        <v>0</v>
      </c>
      <c r="U10" s="180">
        <v>1</v>
      </c>
      <c r="V10" s="180">
        <v>1</v>
      </c>
      <c r="W10" s="180">
        <v>0.13</v>
      </c>
      <c r="X10" s="180">
        <v>1</v>
      </c>
      <c r="Y10" s="180">
        <f t="shared" si="3"/>
        <v>0.17</v>
      </c>
      <c r="Z10" s="180">
        <v>1</v>
      </c>
      <c r="AA10" s="178">
        <f t="shared" si="4"/>
        <v>31</v>
      </c>
      <c r="AB10" s="179">
        <f t="shared" ca="1" si="5"/>
        <v>106</v>
      </c>
      <c r="AC10" s="27">
        <f t="shared" si="6"/>
        <v>9.1999999999999993</v>
      </c>
      <c r="AD10" s="181">
        <f t="shared" si="11"/>
        <v>0</v>
      </c>
      <c r="AE10" s="181">
        <f>N10+(U$2/18)</f>
        <v>12</v>
      </c>
      <c r="AF10" s="181">
        <f>O10+(V$2/19)</f>
        <v>15.04</v>
      </c>
      <c r="AG10" s="181">
        <f>P10+(W$2/41)</f>
        <v>2.0099999999999998</v>
      </c>
      <c r="AH10" s="181">
        <f>Q10+(X$2/5)</f>
        <v>8.5488888888888876</v>
      </c>
      <c r="AI10" s="181">
        <f>R10+(Y$2/45)</f>
        <v>2.1666666666666665</v>
      </c>
      <c r="AJ10" s="181">
        <f>S10+(Z$2/1)</f>
        <v>8.4</v>
      </c>
      <c r="AK10" s="182">
        <v>0</v>
      </c>
      <c r="AL10" s="182">
        <f t="shared" ref="AL10" si="30">AE10-N10</f>
        <v>0</v>
      </c>
      <c r="AM10" s="182">
        <f t="shared" ref="AM10" si="31">AF10-O10</f>
        <v>0</v>
      </c>
      <c r="AN10" s="182">
        <f t="shared" ref="AN10" si="32">AG10-P10</f>
        <v>0</v>
      </c>
      <c r="AO10" s="182">
        <f t="shared" ref="AO10" si="33">AH10-Q10</f>
        <v>0.19999999999999929</v>
      </c>
      <c r="AP10" s="182">
        <f t="shared" ref="AP10" si="34">AI10-R10</f>
        <v>0</v>
      </c>
      <c r="AQ10" s="182">
        <f t="shared" ref="AQ10" si="35">AJ10-S10</f>
        <v>0</v>
      </c>
      <c r="AR10" s="56"/>
      <c r="AS10" s="123" t="s">
        <v>231</v>
      </c>
      <c r="AT10" s="26" t="str">
        <f>D10</f>
        <v>Jorge W. Whitaker</v>
      </c>
      <c r="AU10" s="192">
        <f>AL10*0.189</f>
        <v>0</v>
      </c>
      <c r="AV10" s="192">
        <f>AL10*0.095</f>
        <v>0</v>
      </c>
      <c r="AW10" s="192">
        <f>AL10*0.4</f>
        <v>0</v>
      </c>
      <c r="AX10" s="192">
        <f>AM10*1</f>
        <v>0</v>
      </c>
      <c r="AY10" s="192">
        <f>AO10*0.253</f>
        <v>5.0599999999999819E-2</v>
      </c>
      <c r="AZ10" s="192">
        <f>AO10*0.123</f>
        <v>2.4599999999999914E-2</v>
      </c>
      <c r="BA10" s="192">
        <f>(AO10*0.341)+(AP10*0.21)</f>
        <v>6.8199999999999761E-2</v>
      </c>
      <c r="BB10" s="200">
        <f>(0.5*AP10+0.3*AQ10)/10</f>
        <v>0</v>
      </c>
      <c r="BC10" s="200">
        <f>(0.4*AL10+0.3*AQ10)/10</f>
        <v>0</v>
      </c>
      <c r="BD10" s="200">
        <v>0</v>
      </c>
      <c r="BE10" s="200">
        <v>0</v>
      </c>
      <c r="BF10" s="56"/>
      <c r="BG10" t="s">
        <v>236</v>
      </c>
      <c r="BH10" s="56"/>
      <c r="BI10" s="56"/>
      <c r="BJ10" s="56"/>
      <c r="BK10" s="56"/>
      <c r="BL10" s="56"/>
    </row>
    <row r="11" spans="1:64" x14ac:dyDescent="0.25">
      <c r="A11" s="16" t="str">
        <f>PLANTILLA!A11</f>
        <v>#13</v>
      </c>
      <c r="B11" s="26" t="str">
        <f>PLANTILLA!B11</f>
        <v>MED</v>
      </c>
      <c r="C11" s="132">
        <f ca="1">PLANTILLA!C11</f>
        <v>0.8571428571428571</v>
      </c>
      <c r="D11" s="1" t="str">
        <f>PLANTILLA!D11</f>
        <v>Emilio Mochelato</v>
      </c>
      <c r="E11" s="2">
        <f>PLANTILLA!E11</f>
        <v>32</v>
      </c>
      <c r="F11" s="3">
        <f ca="1">PLANTILLA!F11</f>
        <v>16</v>
      </c>
      <c r="G11" s="4" t="str">
        <f>PLANTILLA!G11</f>
        <v>RAP</v>
      </c>
      <c r="H11" s="5">
        <f>PLANTILLA!H11</f>
        <v>1</v>
      </c>
      <c r="I11" s="6">
        <f>PLANTILLA!I11</f>
        <v>10.5</v>
      </c>
      <c r="J11" s="21">
        <f>PLANTILLA!O11</f>
        <v>6.9</v>
      </c>
      <c r="K11" s="7">
        <f t="shared" si="9"/>
        <v>10.5</v>
      </c>
      <c r="L11" s="7">
        <f t="shared" si="10"/>
        <v>42</v>
      </c>
      <c r="M11" s="23">
        <f>PLANTILLA!X11</f>
        <v>0</v>
      </c>
      <c r="N11" s="23">
        <f>PLANTILLA!Y11</f>
        <v>5.0196078431372548</v>
      </c>
      <c r="O11" s="23">
        <f>PLANTILLA!Z11</f>
        <v>14.210000000000003</v>
      </c>
      <c r="P11" s="23">
        <f>PLANTILLA!AA11</f>
        <v>5</v>
      </c>
      <c r="Q11" s="23">
        <f>PLANTILLA!AB11</f>
        <v>12.487301587301586</v>
      </c>
      <c r="R11" s="23">
        <f>PLANTILLA!AC11</f>
        <v>3.41</v>
      </c>
      <c r="S11" s="23">
        <f>PLANTILLA!AD11</f>
        <v>15.333333333333332</v>
      </c>
      <c r="T11" s="180">
        <v>0</v>
      </c>
      <c r="U11" s="180">
        <f>0.17</f>
        <v>0.17</v>
      </c>
      <c r="V11" s="180">
        <v>0.5</v>
      </c>
      <c r="W11" s="180">
        <v>1</v>
      </c>
      <c r="X11" s="180">
        <v>1</v>
      </c>
      <c r="Y11" s="180">
        <f t="shared" si="3"/>
        <v>0.17</v>
      </c>
      <c r="Z11" s="180">
        <v>1</v>
      </c>
      <c r="AA11" s="178">
        <f t="shared" si="4"/>
        <v>32</v>
      </c>
      <c r="AB11" s="179">
        <f t="shared" ca="1" si="5"/>
        <v>23</v>
      </c>
      <c r="AC11" s="27">
        <f t="shared" si="6"/>
        <v>10.5</v>
      </c>
      <c r="AD11" s="181">
        <f t="shared" si="11"/>
        <v>0</v>
      </c>
      <c r="AE11" s="181">
        <f>N11+(U$2/4.5)</f>
        <v>5.0196078431372548</v>
      </c>
      <c r="AF11" s="181">
        <f>O11+(V$2/12)</f>
        <v>14.210000000000003</v>
      </c>
      <c r="AG11" s="181">
        <f>P11+(W$2/13)</f>
        <v>5</v>
      </c>
      <c r="AH11" s="181">
        <f>Q11+(X$2/16)</f>
        <v>12.549801587301586</v>
      </c>
      <c r="AI11" s="181">
        <f>R11+(Y$2/7)</f>
        <v>3.41</v>
      </c>
      <c r="AJ11" s="181">
        <f>S11+(Z$2/5)</f>
        <v>15.333333333333332</v>
      </c>
      <c r="AK11" s="182">
        <v>0</v>
      </c>
      <c r="AL11" s="182">
        <f t="shared" ref="AL11:AL12" si="36">AE11-N11</f>
        <v>0</v>
      </c>
      <c r="AM11" s="182">
        <f t="shared" ref="AM11:AM12" si="37">AF11-O11</f>
        <v>0</v>
      </c>
      <c r="AN11" s="182">
        <f t="shared" ref="AN11:AN12" si="38">AG11-P11</f>
        <v>0</v>
      </c>
      <c r="AO11" s="182">
        <f t="shared" ref="AO11:AO12" si="39">AH11-Q11</f>
        <v>6.25E-2</v>
      </c>
      <c r="AP11" s="182">
        <f t="shared" ref="AP11:AP12" si="40">AI11-R11</f>
        <v>0</v>
      </c>
      <c r="AQ11" s="182">
        <f t="shared" ref="AQ11:AQ12" si="41">AJ11-S11</f>
        <v>0</v>
      </c>
      <c r="AS11" s="123" t="s">
        <v>226</v>
      </c>
      <c r="AT11" s="26" t="str">
        <f>D16</f>
        <v>Saul Piña</v>
      </c>
      <c r="AU11" s="192">
        <f>AL16*0.038</f>
        <v>0</v>
      </c>
      <c r="AV11" s="192">
        <f>AL16*0.077</f>
        <v>0</v>
      </c>
      <c r="AW11" s="192">
        <f>AL16*0.162</f>
        <v>0</v>
      </c>
      <c r="AX11" s="192">
        <f>AM16*0.944</f>
        <v>0</v>
      </c>
      <c r="AY11" s="192">
        <f>(AO16*0.126)</f>
        <v>9.6923076923076581E-3</v>
      </c>
      <c r="AZ11" s="192">
        <f>(AO16*0.251)</f>
        <v>1.9307692307692238E-2</v>
      </c>
      <c r="BA11" s="192">
        <f>(AO16*0.507)+(AP16*0.31)</f>
        <v>3.8999999999999861E-2</v>
      </c>
      <c r="BB11" s="200">
        <f>(0.5*AP16+0.3*AQ16)/10</f>
        <v>0</v>
      </c>
      <c r="BC11" s="200">
        <f>(0.4*AL16+0.3*AQ16)/10</f>
        <v>0</v>
      </c>
      <c r="BD11" s="200">
        <v>0</v>
      </c>
      <c r="BE11" s="200">
        <v>0</v>
      </c>
    </row>
    <row r="12" spans="1:64" x14ac:dyDescent="0.25">
      <c r="A12" s="16" t="str">
        <f>PLANTILLA!A12</f>
        <v>#6</v>
      </c>
      <c r="B12" s="16" t="str">
        <f>PLANTILLA!B12</f>
        <v>DAV</v>
      </c>
      <c r="C12" s="132">
        <f ca="1">PLANTILLA!C12</f>
        <v>3.0267857142857144</v>
      </c>
      <c r="D12" s="1" t="str">
        <f>PLANTILLA!D12</f>
        <v>Cezary Pauch</v>
      </c>
      <c r="E12" s="2">
        <f>PLANTILLA!E12</f>
        <v>29</v>
      </c>
      <c r="F12" s="3">
        <f ca="1">PLANTILLA!F12</f>
        <v>109</v>
      </c>
      <c r="G12" s="4" t="str">
        <f>PLANTILLA!G12</f>
        <v>RAP</v>
      </c>
      <c r="H12" s="5">
        <f>PLANTILLA!H12</f>
        <v>2</v>
      </c>
      <c r="I12" s="6">
        <f>PLANTILLA!I12</f>
        <v>6.1</v>
      </c>
      <c r="J12" s="21">
        <f>PLANTILLA!O12</f>
        <v>7</v>
      </c>
      <c r="K12" s="7">
        <f t="shared" si="9"/>
        <v>24.4</v>
      </c>
      <c r="L12" s="7">
        <f t="shared" si="10"/>
        <v>54.9</v>
      </c>
      <c r="M12" s="23">
        <f>PLANTILLA!X12</f>
        <v>0</v>
      </c>
      <c r="N12" s="23">
        <f>PLANTILLA!Y12</f>
        <v>2</v>
      </c>
      <c r="O12" s="23">
        <f>PLANTILLA!Z12</f>
        <v>13.022727272727273</v>
      </c>
      <c r="P12" s="23">
        <f>PLANTILLA!AA12</f>
        <v>14.00679012345679</v>
      </c>
      <c r="Q12" s="23">
        <f>PLANTILLA!AB12</f>
        <v>6.9986111111111118</v>
      </c>
      <c r="R12" s="23">
        <f>PLANTILLA!AC12</f>
        <v>5.01</v>
      </c>
      <c r="S12" s="23">
        <f>PLANTILLA!AD12</f>
        <v>0.14444444444444443</v>
      </c>
      <c r="T12" s="180">
        <v>0</v>
      </c>
      <c r="U12" s="180">
        <f>0.17</f>
        <v>0.17</v>
      </c>
      <c r="V12" s="180">
        <v>1</v>
      </c>
      <c r="W12" s="180">
        <v>1</v>
      </c>
      <c r="X12" s="180">
        <v>1</v>
      </c>
      <c r="Y12" s="180">
        <v>1</v>
      </c>
      <c r="Z12" s="180">
        <v>1</v>
      </c>
      <c r="AA12" s="178">
        <f t="shared" si="4"/>
        <v>29</v>
      </c>
      <c r="AB12" s="179">
        <f t="shared" ca="1" si="5"/>
        <v>116</v>
      </c>
      <c r="AC12" s="27">
        <f t="shared" si="6"/>
        <v>6.1</v>
      </c>
      <c r="AD12" s="181">
        <f t="shared" si="11"/>
        <v>0</v>
      </c>
      <c r="AE12" s="181">
        <f>N12+(U$2/5)</f>
        <v>2</v>
      </c>
      <c r="AF12" s="181">
        <f>O12+(V$2/16)</f>
        <v>13.022727272727273</v>
      </c>
      <c r="AG12" s="181">
        <f>P12+(W$2/17)</f>
        <v>14.00679012345679</v>
      </c>
      <c r="AH12" s="181">
        <f>Q12+(X$2/9)</f>
        <v>7.1097222222222225</v>
      </c>
      <c r="AI12" s="181">
        <f>R12+(Y$2/6)</f>
        <v>5.01</v>
      </c>
      <c r="AJ12" s="181">
        <f>S12+(Z$2/3)</f>
        <v>0.14444444444444443</v>
      </c>
      <c r="AK12" s="182">
        <v>0</v>
      </c>
      <c r="AL12" s="182">
        <f t="shared" si="36"/>
        <v>0</v>
      </c>
      <c r="AM12" s="182">
        <f t="shared" si="37"/>
        <v>0</v>
      </c>
      <c r="AN12" s="182">
        <f t="shared" si="38"/>
        <v>0</v>
      </c>
      <c r="AO12" s="182">
        <f t="shared" si="39"/>
        <v>0.11111111111111072</v>
      </c>
      <c r="AP12" s="182">
        <f t="shared" si="40"/>
        <v>0</v>
      </c>
      <c r="AQ12" s="182">
        <f t="shared" si="41"/>
        <v>0</v>
      </c>
      <c r="AR12" s="34"/>
      <c r="AS12" s="123" t="s">
        <v>225</v>
      </c>
      <c r="AT12" s="26" t="str">
        <f>D12</f>
        <v>Cezary Pauch</v>
      </c>
      <c r="AU12" s="192">
        <v>0</v>
      </c>
      <c r="AV12" s="192">
        <f>AL12*0.349</f>
        <v>0</v>
      </c>
      <c r="AW12" s="192">
        <f>AL12*0.201</f>
        <v>0</v>
      </c>
      <c r="AX12" s="192">
        <f>AM12*0.455</f>
        <v>0</v>
      </c>
      <c r="AY12" s="192">
        <v>0</v>
      </c>
      <c r="AZ12" s="192">
        <f>(AN12*0.864)+(AO12*0.244)</f>
        <v>2.7111111111111013E-2</v>
      </c>
      <c r="BA12" s="192">
        <f>AO12*0.121</f>
        <v>1.3444444444444396E-2</v>
      </c>
      <c r="BB12" s="200">
        <f>(0.5*AP12+0.3*AQ12)/10</f>
        <v>0</v>
      </c>
      <c r="BC12" s="200">
        <f>(0.4*AL12+0.3*AQ12)/10</f>
        <v>0</v>
      </c>
      <c r="BD12" s="200">
        <v>0</v>
      </c>
      <c r="BE12" s="200">
        <v>0</v>
      </c>
      <c r="BF12" s="34"/>
      <c r="BG12" t="s">
        <v>237</v>
      </c>
      <c r="BH12" s="34"/>
      <c r="BI12" s="34"/>
      <c r="BJ12" s="34"/>
      <c r="BK12" s="34"/>
      <c r="BL12" s="34"/>
    </row>
    <row r="13" spans="1:64" x14ac:dyDescent="0.25">
      <c r="A13" s="16" t="str">
        <f>PLANTILLA!A13</f>
        <v>#8</v>
      </c>
      <c r="B13" s="26" t="str">
        <f>PLANTILLA!B13</f>
        <v>EXT</v>
      </c>
      <c r="C13" s="132">
        <f ca="1">PLANTILLA!C13</f>
        <v>1.2857142857142858</v>
      </c>
      <c r="D13" s="1" t="str">
        <f>PLANTILLA!D13</f>
        <v>Iyad Chaabo</v>
      </c>
      <c r="E13" s="2">
        <f>PLANTILLA!E13</f>
        <v>31</v>
      </c>
      <c r="F13" s="3">
        <f ca="1">PLANTILLA!F13</f>
        <v>80</v>
      </c>
      <c r="G13" s="4">
        <f>PLANTILLA!G13</f>
        <v>0</v>
      </c>
      <c r="H13" s="138">
        <f>PLANTILLA!H13</f>
        <v>2</v>
      </c>
      <c r="I13" s="6">
        <f>PLANTILLA!I13</f>
        <v>8.6999999999999993</v>
      </c>
      <c r="J13" s="21">
        <f>PLANTILLA!O13</f>
        <v>7</v>
      </c>
      <c r="K13" s="7">
        <f t="shared" si="9"/>
        <v>34.799999999999997</v>
      </c>
      <c r="L13" s="7">
        <f t="shared" si="10"/>
        <v>78.3</v>
      </c>
      <c r="M13" s="23">
        <f>PLANTILLA!X13</f>
        <v>0</v>
      </c>
      <c r="N13" s="23">
        <f>PLANTILLA!Y13</f>
        <v>4</v>
      </c>
      <c r="O13" s="23">
        <f>PLANTILLA!Z13</f>
        <v>12.022727272727273</v>
      </c>
      <c r="P13" s="23">
        <f>PLANTILLA!AA13</f>
        <v>14.066666666666666</v>
      </c>
      <c r="Q13" s="23">
        <f>PLANTILLA!AB13</f>
        <v>8.5999999999999979</v>
      </c>
      <c r="R13" s="23">
        <f>PLANTILLA!AC13</f>
        <v>3.01</v>
      </c>
      <c r="S13" s="23">
        <f>PLANTILLA!AD13</f>
        <v>5.5</v>
      </c>
      <c r="T13" s="180">
        <v>0</v>
      </c>
      <c r="U13" s="180">
        <f>0.17</f>
        <v>0.17</v>
      </c>
      <c r="V13" s="180">
        <v>0.5</v>
      </c>
      <c r="W13" s="180">
        <v>1</v>
      </c>
      <c r="X13" s="180">
        <v>1</v>
      </c>
      <c r="Y13" s="180">
        <v>1</v>
      </c>
      <c r="Z13" s="180">
        <v>1</v>
      </c>
      <c r="AA13" s="178">
        <f t="shared" si="4"/>
        <v>31</v>
      </c>
      <c r="AB13" s="179">
        <f t="shared" ca="1" si="5"/>
        <v>87</v>
      </c>
      <c r="AC13" s="27">
        <f t="shared" si="6"/>
        <v>8.6999999999999993</v>
      </c>
      <c r="AD13" s="181">
        <f t="shared" si="11"/>
        <v>0</v>
      </c>
      <c r="AE13" s="181">
        <f>N13+(U$2/26)</f>
        <v>4</v>
      </c>
      <c r="AF13" s="181">
        <f>O13+(V$2/25)</f>
        <v>12.022727272727273</v>
      </c>
      <c r="AG13" s="181">
        <f>P13+(W$2/15)</f>
        <v>14.066666666666666</v>
      </c>
      <c r="AH13" s="181">
        <f>Q13+(X$2/6)</f>
        <v>8.7666666666666639</v>
      </c>
      <c r="AI13" s="181">
        <f>R13+(Y$2/8)</f>
        <v>3.01</v>
      </c>
      <c r="AJ13" s="181">
        <f>S13+(Z$2/2.5)</f>
        <v>5.5</v>
      </c>
      <c r="AK13" s="182">
        <v>0</v>
      </c>
      <c r="AL13" s="182">
        <f t="shared" ref="AL13" si="42">AE13-N13</f>
        <v>0</v>
      </c>
      <c r="AM13" s="182">
        <f t="shared" ref="AM13" si="43">AF13-O13</f>
        <v>0</v>
      </c>
      <c r="AN13" s="182">
        <f t="shared" ref="AN13" si="44">AG13-P13</f>
        <v>0</v>
      </c>
      <c r="AO13" s="182">
        <f t="shared" ref="AO13" si="45">AH13-Q13</f>
        <v>0.16666666666666607</v>
      </c>
      <c r="AP13" s="182">
        <f t="shared" ref="AP13" si="46">AI13-R13</f>
        <v>0</v>
      </c>
      <c r="AQ13" s="182">
        <f t="shared" ref="AQ13" si="47">AJ13-S13</f>
        <v>0</v>
      </c>
      <c r="AR13" s="193"/>
      <c r="AS13" s="201" t="s">
        <v>44</v>
      </c>
      <c r="AT13" s="185" t="str">
        <f>D17</f>
        <v>Adam Moss</v>
      </c>
      <c r="AU13" s="186">
        <v>0</v>
      </c>
      <c r="AV13" s="186">
        <v>0</v>
      </c>
      <c r="AW13" s="186">
        <v>0</v>
      </c>
      <c r="AX13" s="186">
        <f>AM17*0.25</f>
        <v>0</v>
      </c>
      <c r="AY13" s="186">
        <f>(AO17*0.142)+(AN17*0.221)+(AP17*0.26)</f>
        <v>1.0923076923076883E-2</v>
      </c>
      <c r="AZ13" s="186">
        <f>AY13</f>
        <v>1.0923076923076883E-2</v>
      </c>
      <c r="BA13" s="186">
        <f>(AO17*0.369)+(AP17*1)</f>
        <v>2.8384615384615283E-2</v>
      </c>
      <c r="BB13" s="200">
        <f>(0.5*AP17+0.3*AQ17)/10</f>
        <v>0</v>
      </c>
      <c r="BC13" s="200">
        <f>(0.4*AL17+0.3*AQ17)/10</f>
        <v>0</v>
      </c>
      <c r="BD13" s="200">
        <v>0</v>
      </c>
      <c r="BE13" s="200">
        <v>0</v>
      </c>
      <c r="BF13" s="193"/>
      <c r="BG13" t="s">
        <v>238</v>
      </c>
      <c r="BH13" s="193"/>
      <c r="BI13" s="193"/>
      <c r="BJ13" s="193"/>
      <c r="BK13" s="193"/>
      <c r="BL13" s="193"/>
    </row>
    <row r="14" spans="1:64" x14ac:dyDescent="0.25">
      <c r="A14" s="16" t="str">
        <f>PLANTILLA!A14</f>
        <v>#10</v>
      </c>
      <c r="B14" s="16" t="str">
        <f>PLANTILLA!B14</f>
        <v>EXT</v>
      </c>
      <c r="C14" s="132">
        <f ca="1">PLANTILLA!C14</f>
        <v>6.25E-2</v>
      </c>
      <c r="D14" s="31" t="str">
        <f>PLANTILLA!D14</f>
        <v>Morgan Thomas</v>
      </c>
      <c r="E14" s="18">
        <f>PLANTILLA!E14</f>
        <v>32</v>
      </c>
      <c r="F14" s="3">
        <f ca="1">PLANTILLA!F14</f>
        <v>105</v>
      </c>
      <c r="G14" s="20" t="str">
        <f>PLANTILLA!G14</f>
        <v>CAB</v>
      </c>
      <c r="H14" s="5">
        <f>PLANTILLA!H14</f>
        <v>1</v>
      </c>
      <c r="I14" s="30">
        <f>PLANTILLA!I14</f>
        <v>10.199999999999999</v>
      </c>
      <c r="J14" s="21">
        <f>PLANTILLA!O14</f>
        <v>6.9</v>
      </c>
      <c r="K14" s="7">
        <f t="shared" si="9"/>
        <v>10.199999999999999</v>
      </c>
      <c r="L14" s="7">
        <f t="shared" si="10"/>
        <v>40.799999999999997</v>
      </c>
      <c r="M14" s="23">
        <f>PLANTILLA!X14</f>
        <v>0</v>
      </c>
      <c r="N14" s="23">
        <f>PLANTILLA!Y14</f>
        <v>1.037037037037037</v>
      </c>
      <c r="O14" s="23">
        <f>PLANTILLA!Z14</f>
        <v>13.230909090909091</v>
      </c>
      <c r="P14" s="23">
        <f>PLANTILLA!AA14</f>
        <v>14.058518518518518</v>
      </c>
      <c r="Q14" s="23">
        <f>PLANTILLA!AB14</f>
        <v>10.936666666666666</v>
      </c>
      <c r="R14" s="23">
        <f>PLANTILLA!AC14</f>
        <v>3.0399999999999996</v>
      </c>
      <c r="S14" s="23">
        <f>PLANTILLA!AD14</f>
        <v>10</v>
      </c>
      <c r="T14" s="180">
        <v>0</v>
      </c>
      <c r="U14" s="180">
        <f>0.17</f>
        <v>0.17</v>
      </c>
      <c r="V14" s="180">
        <v>0.5</v>
      </c>
      <c r="W14" s="180">
        <v>1</v>
      </c>
      <c r="X14" s="180">
        <v>1</v>
      </c>
      <c r="Y14" s="180">
        <f t="shared" si="3"/>
        <v>0.17</v>
      </c>
      <c r="Z14" s="180">
        <v>1</v>
      </c>
      <c r="AA14" s="178">
        <f t="shared" si="4"/>
        <v>32</v>
      </c>
      <c r="AB14" s="179">
        <f t="shared" ca="1" si="5"/>
        <v>112</v>
      </c>
      <c r="AC14" s="27">
        <f t="shared" si="6"/>
        <v>10.199999999999999</v>
      </c>
      <c r="AD14" s="181">
        <f t="shared" si="11"/>
        <v>0</v>
      </c>
      <c r="AE14" s="181">
        <f>N14+(U$2/25)</f>
        <v>1.037037037037037</v>
      </c>
      <c r="AF14" s="181">
        <f>O14+(V$2/20)</f>
        <v>13.230909090909091</v>
      </c>
      <c r="AG14" s="181">
        <f>P14+(W$2/10)</f>
        <v>14.058518518518518</v>
      </c>
      <c r="AH14" s="181">
        <f>Q14+(X$2/16)</f>
        <v>10.999166666666666</v>
      </c>
      <c r="AI14" s="181">
        <f>R14+(Y$2/45)</f>
        <v>3.0399999999999996</v>
      </c>
      <c r="AJ14" s="181">
        <f>S14+(Z$2/2)</f>
        <v>10</v>
      </c>
      <c r="AK14" s="182">
        <v>0</v>
      </c>
      <c r="AL14" s="182">
        <f t="shared" ref="AL14" si="48">AE14-N14</f>
        <v>0</v>
      </c>
      <c r="AM14" s="182">
        <f t="shared" ref="AM14" si="49">AF14-O14</f>
        <v>0</v>
      </c>
      <c r="AN14" s="182">
        <f t="shared" ref="AN14" si="50">AG14-P14</f>
        <v>0</v>
      </c>
      <c r="AO14" s="182">
        <f t="shared" ref="AO14" si="51">AH14-Q14</f>
        <v>6.25E-2</v>
      </c>
      <c r="AP14" s="182">
        <f t="shared" ref="AP14" si="52">AI14-R14</f>
        <v>0</v>
      </c>
      <c r="AQ14" s="182">
        <f t="shared" ref="AQ14" si="53">AJ14-S14</f>
        <v>0</v>
      </c>
      <c r="AR14" s="34"/>
      <c r="AS14" s="123" t="s">
        <v>44</v>
      </c>
      <c r="AT14" s="26" t="str">
        <f>D18</f>
        <v>Rasheed Da'na</v>
      </c>
      <c r="AU14" s="186">
        <v>0</v>
      </c>
      <c r="AV14" s="186">
        <v>0</v>
      </c>
      <c r="AW14" s="186">
        <v>0</v>
      </c>
      <c r="AX14" s="186">
        <f>AM18*0.25</f>
        <v>0</v>
      </c>
      <c r="AY14" s="186">
        <f>(AO18*0.142)+(AN18*0.221)+(AP18*0.26)</f>
        <v>1.0923076923076883E-2</v>
      </c>
      <c r="AZ14" s="186">
        <f>AY14</f>
        <v>1.0923076923076883E-2</v>
      </c>
      <c r="BA14" s="186">
        <f>(AO18*0.369)+(AP18*1)</f>
        <v>2.8384615384615283E-2</v>
      </c>
      <c r="BB14" s="200">
        <f>(0.5*AP18+0.3*AQ18)/10</f>
        <v>0</v>
      </c>
      <c r="BC14" s="200">
        <f>(0.4*AL18+0.3*AQ18)/10</f>
        <v>0</v>
      </c>
      <c r="BD14" s="200">
        <v>0</v>
      </c>
      <c r="BE14" s="200">
        <v>0</v>
      </c>
      <c r="BF14" s="34"/>
      <c r="BH14" s="34"/>
      <c r="BI14" s="34"/>
      <c r="BJ14" s="34"/>
      <c r="BK14" s="34"/>
      <c r="BL14" s="34"/>
    </row>
    <row r="15" spans="1:64" x14ac:dyDescent="0.25">
      <c r="A15" s="16" t="str">
        <f>PLANTILLA!A15</f>
        <v>#9</v>
      </c>
      <c r="B15" s="16" t="str">
        <f>PLANTILLA!B15</f>
        <v>DAV</v>
      </c>
      <c r="C15" s="132">
        <f ca="1">PLANTILLA!C15</f>
        <v>2.9375</v>
      </c>
      <c r="D15" s="17" t="str">
        <f>PLANTILLA!D15</f>
        <v>Gianfranco Rezza</v>
      </c>
      <c r="E15" s="18">
        <f>PLANTILLA!E15</f>
        <v>30</v>
      </c>
      <c r="F15" s="3">
        <f ca="1">PLANTILLA!F15</f>
        <v>7</v>
      </c>
      <c r="G15" s="20" t="str">
        <f>PLANTILLA!G15</f>
        <v>CAB</v>
      </c>
      <c r="H15" s="5">
        <f>PLANTILLA!H15</f>
        <v>4</v>
      </c>
      <c r="I15" s="30">
        <f>PLANTILLA!I15</f>
        <v>9.3000000000000007</v>
      </c>
      <c r="J15" s="21">
        <f>PLANTILLA!O15</f>
        <v>7.9</v>
      </c>
      <c r="K15" s="7">
        <f t="shared" si="9"/>
        <v>148.80000000000001</v>
      </c>
      <c r="L15" s="7">
        <f t="shared" si="10"/>
        <v>232.50000000000003</v>
      </c>
      <c r="M15" s="23">
        <f>PLANTILLA!X15</f>
        <v>0</v>
      </c>
      <c r="N15" s="23">
        <f>PLANTILLA!Y15</f>
        <v>2</v>
      </c>
      <c r="O15" s="23">
        <f>PLANTILLA!Z15</f>
        <v>14.066666666666666</v>
      </c>
      <c r="P15" s="23">
        <f>PLANTILLA!AA15</f>
        <v>2.125</v>
      </c>
      <c r="Q15" s="23">
        <f>PLANTILLA!AB15</f>
        <v>14.460000000000004</v>
      </c>
      <c r="R15" s="23">
        <f>PLANTILLA!AC15</f>
        <v>8.1057777777777762</v>
      </c>
      <c r="S15" s="23">
        <f>PLANTILLA!AD15</f>
        <v>14</v>
      </c>
      <c r="T15" s="180">
        <v>0</v>
      </c>
      <c r="U15" s="180">
        <v>1</v>
      </c>
      <c r="V15" s="180">
        <v>1</v>
      </c>
      <c r="W15" s="180">
        <v>0.13</v>
      </c>
      <c r="X15" s="180">
        <v>1</v>
      </c>
      <c r="Y15" s="180">
        <v>1</v>
      </c>
      <c r="Z15" s="180">
        <v>1</v>
      </c>
      <c r="AA15" s="178">
        <f t="shared" si="4"/>
        <v>30</v>
      </c>
      <c r="AB15" s="179">
        <f t="shared" ca="1" si="5"/>
        <v>14</v>
      </c>
      <c r="AC15" s="27">
        <f t="shared" si="6"/>
        <v>9.3000000000000007</v>
      </c>
      <c r="AD15" s="181">
        <f t="shared" si="11"/>
        <v>0</v>
      </c>
      <c r="AE15" s="181">
        <f>N15+(U$2/4.5)</f>
        <v>2</v>
      </c>
      <c r="AF15" s="181">
        <f>O15+(V$2/15)</f>
        <v>14.066666666666666</v>
      </c>
      <c r="AG15" s="181">
        <f>P15+(W$2/20)</f>
        <v>2.125</v>
      </c>
      <c r="AH15" s="181">
        <f>Q15+(X$2/12)</f>
        <v>14.543333333333338</v>
      </c>
      <c r="AI15" s="181">
        <f>R15+(Y$2/8.5)</f>
        <v>8.1057777777777762</v>
      </c>
      <c r="AJ15" s="181">
        <f>S15+(Z$2/2)</f>
        <v>14</v>
      </c>
      <c r="AK15" s="182">
        <f t="shared" ref="AK15:AQ18" si="54">AD15-M15</f>
        <v>0</v>
      </c>
      <c r="AL15" s="182">
        <f t="shared" si="54"/>
        <v>0</v>
      </c>
      <c r="AM15" s="182">
        <f t="shared" si="54"/>
        <v>0</v>
      </c>
      <c r="AN15" s="182">
        <f t="shared" si="54"/>
        <v>0</v>
      </c>
      <c r="AO15" s="182">
        <f t="shared" si="54"/>
        <v>8.3333333333333925E-2</v>
      </c>
      <c r="AP15" s="182">
        <f t="shared" si="54"/>
        <v>0</v>
      </c>
      <c r="AQ15" s="182">
        <f t="shared" si="54"/>
        <v>0</v>
      </c>
      <c r="AR15" s="187"/>
      <c r="AS15" s="194"/>
      <c r="AT15" s="195"/>
      <c r="AU15" s="195"/>
      <c r="AV15" s="195"/>
      <c r="AW15" s="195"/>
      <c r="AX15" s="195"/>
      <c r="AY15" s="195"/>
      <c r="AZ15" s="195"/>
      <c r="BA15" s="195"/>
      <c r="BB15" s="195"/>
      <c r="BC15" s="195"/>
      <c r="BD15" s="195"/>
      <c r="BE15" s="195"/>
      <c r="BF15" s="187"/>
      <c r="BG15" t="s">
        <v>239</v>
      </c>
      <c r="BH15" s="187"/>
      <c r="BI15" s="187"/>
      <c r="BJ15" s="187"/>
      <c r="BK15" s="187"/>
      <c r="BL15" s="187"/>
    </row>
    <row r="16" spans="1:64" x14ac:dyDescent="0.25">
      <c r="A16" s="16" t="str">
        <f>PLANTILLA!A16</f>
        <v>#11</v>
      </c>
      <c r="B16" s="16" t="str">
        <f>PLANTILLA!B16</f>
        <v>DAV</v>
      </c>
      <c r="C16" s="132">
        <f ca="1">PLANTILLA!C16</f>
        <v>3.375</v>
      </c>
      <c r="D16" s="17" t="str">
        <f>PLANTILLA!D16</f>
        <v>Saul Piña</v>
      </c>
      <c r="E16" s="18">
        <f>PLANTILLA!E16</f>
        <v>29</v>
      </c>
      <c r="F16" s="3">
        <f ca="1">PLANTILLA!F16</f>
        <v>70</v>
      </c>
      <c r="G16" s="20" t="str">
        <f>PLANTILLA!G16</f>
        <v>TEC</v>
      </c>
      <c r="H16" s="43">
        <f>PLANTILLA!H16</f>
        <v>6</v>
      </c>
      <c r="I16" s="30">
        <f>PLANTILLA!I16</f>
        <v>8.4</v>
      </c>
      <c r="J16" s="21">
        <f>PLANTILLA!O16</f>
        <v>7.9</v>
      </c>
      <c r="K16" s="7">
        <f t="shared" si="9"/>
        <v>302.40000000000003</v>
      </c>
      <c r="L16" s="7">
        <f t="shared" si="10"/>
        <v>411.6</v>
      </c>
      <c r="M16" s="23">
        <f>PLANTILLA!X16</f>
        <v>0</v>
      </c>
      <c r="N16" s="23">
        <f>PLANTILLA!Y16</f>
        <v>2.2000000000000002</v>
      </c>
      <c r="O16" s="23">
        <f>PLANTILLA!Z16</f>
        <v>14.399999999999999</v>
      </c>
      <c r="P16" s="23">
        <f>PLANTILLA!AA16</f>
        <v>1.33</v>
      </c>
      <c r="Q16" s="23">
        <f>PLANTILLA!AB16</f>
        <v>14.142888888888882</v>
      </c>
      <c r="R16" s="23">
        <f>PLANTILLA!AC16</f>
        <v>9.3399999999999981</v>
      </c>
      <c r="S16" s="23">
        <f>PLANTILLA!AD16</f>
        <v>15.2</v>
      </c>
      <c r="T16" s="180">
        <v>0</v>
      </c>
      <c r="U16" s="180">
        <v>1</v>
      </c>
      <c r="V16" s="180">
        <v>1</v>
      </c>
      <c r="W16" s="180">
        <v>0.13</v>
      </c>
      <c r="X16" s="180">
        <v>1</v>
      </c>
      <c r="Y16" s="180">
        <v>1</v>
      </c>
      <c r="Z16" s="180">
        <v>1</v>
      </c>
      <c r="AA16" s="178">
        <f t="shared" si="4"/>
        <v>29</v>
      </c>
      <c r="AB16" s="179">
        <f t="shared" ca="1" si="5"/>
        <v>77</v>
      </c>
      <c r="AC16" s="27">
        <f t="shared" si="6"/>
        <v>8.4</v>
      </c>
      <c r="AD16" s="181">
        <f t="shared" si="11"/>
        <v>0</v>
      </c>
      <c r="AE16" s="181">
        <f>N16+(U$2/4.5)</f>
        <v>2.2000000000000002</v>
      </c>
      <c r="AF16" s="181">
        <f>O16+(V$2/19)</f>
        <v>14.399999999999999</v>
      </c>
      <c r="AG16" s="181">
        <f>P16+(W$2/17)</f>
        <v>1.33</v>
      </c>
      <c r="AH16" s="181">
        <f>Q16+(X$2/13)</f>
        <v>14.219811965811958</v>
      </c>
      <c r="AI16" s="181">
        <f>R16+(Y$2/10)</f>
        <v>9.3399999999999981</v>
      </c>
      <c r="AJ16" s="181">
        <f>S16+(Z$2/3)</f>
        <v>15.2</v>
      </c>
      <c r="AK16" s="182">
        <f t="shared" si="54"/>
        <v>0</v>
      </c>
      <c r="AL16" s="182">
        <f t="shared" si="54"/>
        <v>0</v>
      </c>
      <c r="AM16" s="182">
        <f t="shared" si="54"/>
        <v>0</v>
      </c>
      <c r="AN16" s="182">
        <f t="shared" si="54"/>
        <v>0</v>
      </c>
      <c r="AO16" s="182">
        <f t="shared" si="54"/>
        <v>7.692307692307665E-2</v>
      </c>
      <c r="AP16" s="182">
        <f t="shared" si="54"/>
        <v>0</v>
      </c>
      <c r="AQ16" s="182">
        <f t="shared" si="54"/>
        <v>0</v>
      </c>
      <c r="AR16" s="193"/>
      <c r="AS16" s="160"/>
      <c r="AT16" s="160"/>
      <c r="AU16" s="171">
        <f>SUM(AU18:AU28)*$BJ$3</f>
        <v>0</v>
      </c>
      <c r="AV16" s="171">
        <f>SUM(AV18:AV28)*$BJ$3</f>
        <v>0</v>
      </c>
      <c r="AW16" s="171">
        <f>SUM(AW18:AW28)*$BJ$2</f>
        <v>0</v>
      </c>
      <c r="AX16" s="171">
        <f>SUM(AX18:AX28)*$BJ$4</f>
        <v>0</v>
      </c>
      <c r="AY16" s="171">
        <f>SUM(AY18:AY28)*$BJ$5</f>
        <v>3.8290224358974265E-2</v>
      </c>
      <c r="AZ16" s="171">
        <f>SUM(AZ18:AZ28)*$BJ$5</f>
        <v>3.247946047008541E-2</v>
      </c>
      <c r="BA16" s="171">
        <f>SUM(BA18:BA28)*$BJ$6</f>
        <v>5.2969543803418728E-2</v>
      </c>
      <c r="BB16" s="172">
        <f>SUM(BB18:BB28)</f>
        <v>0</v>
      </c>
      <c r="BC16" s="172">
        <f>SUM(BC18:BC28)</f>
        <v>0</v>
      </c>
      <c r="BD16" s="172">
        <f t="shared" ref="BD16:BE16" si="55">SUM(BD18:BD28)</f>
        <v>8.1943749999999991</v>
      </c>
      <c r="BE16" s="172">
        <f t="shared" si="55"/>
        <v>4.0624999999999911E-2</v>
      </c>
      <c r="BF16" s="193"/>
      <c r="BG16" t="s">
        <v>240</v>
      </c>
      <c r="BH16" s="193"/>
      <c r="BI16" s="193"/>
      <c r="BJ16" s="193"/>
      <c r="BK16" s="193"/>
      <c r="BL16" s="193"/>
    </row>
    <row r="17" spans="1:64" x14ac:dyDescent="0.25">
      <c r="A17" s="16" t="str">
        <f>PLANTILLA!A17</f>
        <v>#12</v>
      </c>
      <c r="B17" s="26" t="str">
        <f>PLANTILLA!B17</f>
        <v>DAV</v>
      </c>
      <c r="C17" s="132">
        <f ca="1">PLANTILLA!C17</f>
        <v>2.9196428571428572</v>
      </c>
      <c r="D17" s="29" t="str">
        <f>PLANTILLA!D17</f>
        <v>Adam Moss</v>
      </c>
      <c r="E17" s="2">
        <f>PLANTILLA!E17</f>
        <v>30</v>
      </c>
      <c r="F17" s="3">
        <f ca="1">PLANTILLA!F17</f>
        <v>9</v>
      </c>
      <c r="G17" s="20" t="str">
        <f>PLANTILLA!G17</f>
        <v>RAP</v>
      </c>
      <c r="H17" s="5">
        <f>PLANTILLA!H17</f>
        <v>1</v>
      </c>
      <c r="I17" s="6">
        <f>PLANTILLA!I17</f>
        <v>9.8000000000000007</v>
      </c>
      <c r="J17" s="21">
        <f>PLANTILLA!O17</f>
        <v>7.2</v>
      </c>
      <c r="K17" s="7">
        <f t="shared" si="9"/>
        <v>9.8000000000000007</v>
      </c>
      <c r="L17" s="7">
        <f t="shared" si="10"/>
        <v>39.200000000000003</v>
      </c>
      <c r="M17" s="23">
        <f>PLANTILLA!X17</f>
        <v>0</v>
      </c>
      <c r="N17" s="23">
        <f>PLANTILLA!Y17</f>
        <v>3.2</v>
      </c>
      <c r="O17" s="23">
        <f>PLANTILLA!Z17</f>
        <v>14.399999999999999</v>
      </c>
      <c r="P17" s="23">
        <f>PLANTILLA!AA17</f>
        <v>2.2999999999999998</v>
      </c>
      <c r="Q17" s="23">
        <f>PLANTILLA!AB17</f>
        <v>14.266</v>
      </c>
      <c r="R17" s="23">
        <f>PLANTILLA!AC17</f>
        <v>9.0999999999999961</v>
      </c>
      <c r="S17" s="23">
        <f>PLANTILLA!AD17</f>
        <v>15.7</v>
      </c>
      <c r="T17" s="180">
        <v>0</v>
      </c>
      <c r="U17" s="180">
        <v>1</v>
      </c>
      <c r="V17" s="180">
        <v>1</v>
      </c>
      <c r="W17" s="180">
        <v>0.13</v>
      </c>
      <c r="X17" s="180">
        <v>1</v>
      </c>
      <c r="Y17" s="180">
        <v>1</v>
      </c>
      <c r="Z17" s="180">
        <v>1</v>
      </c>
      <c r="AA17" s="178">
        <f t="shared" si="4"/>
        <v>30</v>
      </c>
      <c r="AB17" s="179">
        <f t="shared" ca="1" si="5"/>
        <v>16</v>
      </c>
      <c r="AC17" s="27">
        <f t="shared" si="6"/>
        <v>9.8000000000000007</v>
      </c>
      <c r="AD17" s="181">
        <f t="shared" si="11"/>
        <v>0</v>
      </c>
      <c r="AE17" s="181">
        <f>N17+(U$2/5)</f>
        <v>3.2</v>
      </c>
      <c r="AF17" s="181">
        <f>O17+(V$2/19)</f>
        <v>14.399999999999999</v>
      </c>
      <c r="AG17" s="181">
        <f>P17+(W$2/20)</f>
        <v>2.2999999999999998</v>
      </c>
      <c r="AH17" s="181">
        <f>Q17+(X$2/13)</f>
        <v>14.342923076923077</v>
      </c>
      <c r="AI17" s="181">
        <f>R17+(Y$2/9)</f>
        <v>9.0999999999999961</v>
      </c>
      <c r="AJ17" s="181">
        <f>S17+(Z$2/3)</f>
        <v>15.7</v>
      </c>
      <c r="AK17" s="182">
        <f t="shared" si="54"/>
        <v>0</v>
      </c>
      <c r="AL17" s="182">
        <f t="shared" si="54"/>
        <v>0</v>
      </c>
      <c r="AM17" s="182">
        <f t="shared" si="54"/>
        <v>0</v>
      </c>
      <c r="AN17" s="182">
        <f t="shared" si="54"/>
        <v>0</v>
      </c>
      <c r="AO17" s="182">
        <f t="shared" si="54"/>
        <v>7.692307692307665E-2</v>
      </c>
      <c r="AP17" s="182">
        <f t="shared" si="54"/>
        <v>0</v>
      </c>
      <c r="AQ17" s="182">
        <f t="shared" si="54"/>
        <v>0</v>
      </c>
      <c r="AR17" s="187"/>
      <c r="AS17" s="257" t="s">
        <v>228</v>
      </c>
      <c r="AT17" s="258"/>
      <c r="AU17" s="177" t="s">
        <v>214</v>
      </c>
      <c r="AV17" s="177" t="s">
        <v>215</v>
      </c>
      <c r="AW17" s="177" t="s">
        <v>216</v>
      </c>
      <c r="AX17" s="177" t="s">
        <v>217</v>
      </c>
      <c r="AY17" s="177" t="s">
        <v>218</v>
      </c>
      <c r="AZ17" s="177" t="s">
        <v>219</v>
      </c>
      <c r="BA17" s="177" t="s">
        <v>220</v>
      </c>
      <c r="BB17" s="177" t="s">
        <v>221</v>
      </c>
      <c r="BC17" s="177" t="s">
        <v>222</v>
      </c>
      <c r="BD17" s="177" t="s">
        <v>22</v>
      </c>
      <c r="BE17" s="177" t="s">
        <v>223</v>
      </c>
      <c r="BF17" s="187"/>
      <c r="BG17" s="187"/>
      <c r="BH17" s="187"/>
      <c r="BI17" s="187"/>
      <c r="BJ17" s="187"/>
      <c r="BK17" s="187"/>
      <c r="BL17" s="187"/>
    </row>
    <row r="18" spans="1:64" x14ac:dyDescent="0.25">
      <c r="A18" s="16" t="str">
        <f>PLANTILLA!A18</f>
        <v>#14</v>
      </c>
      <c r="B18" s="16" t="str">
        <f>PLANTILLA!B18</f>
        <v>DAV</v>
      </c>
      <c r="C18" s="132">
        <f ca="1">PLANTILLA!C18</f>
        <v>3.4107142857142856</v>
      </c>
      <c r="D18" s="29" t="str">
        <f>PLANTILLA!D18</f>
        <v>Rasheed Da'na</v>
      </c>
      <c r="E18" s="2">
        <f>PLANTILLA!E18</f>
        <v>29</v>
      </c>
      <c r="F18" s="3">
        <f ca="1">PLANTILLA!F18</f>
        <v>66</v>
      </c>
      <c r="G18" s="4" t="str">
        <f>PLANTILLA!G18</f>
        <v>RAP</v>
      </c>
      <c r="H18" s="5">
        <f>PLANTILLA!H18</f>
        <v>1</v>
      </c>
      <c r="I18" s="6">
        <f>PLANTILLA!I18</f>
        <v>9.5</v>
      </c>
      <c r="J18" s="21">
        <f>PLANTILLA!O18</f>
        <v>7.9</v>
      </c>
      <c r="K18" s="7">
        <f t="shared" si="9"/>
        <v>9.5</v>
      </c>
      <c r="L18" s="7">
        <f t="shared" si="10"/>
        <v>38</v>
      </c>
      <c r="M18" s="23">
        <f>PLANTILLA!X18</f>
        <v>0</v>
      </c>
      <c r="N18" s="23">
        <f>PLANTILLA!Y18</f>
        <v>2.0384615384615383</v>
      </c>
      <c r="O18" s="23">
        <f>PLANTILLA!Z18</f>
        <v>13.499999999999998</v>
      </c>
      <c r="P18" s="23">
        <f>PLANTILLA!AA18</f>
        <v>4.0999999999999996</v>
      </c>
      <c r="Q18" s="23">
        <f>PLANTILLA!AB18</f>
        <v>14.352222222222222</v>
      </c>
      <c r="R18" s="23">
        <f>PLANTILLA!AC18</f>
        <v>10.095333333333334</v>
      </c>
      <c r="S18" s="23">
        <f>PLANTILLA!AD18</f>
        <v>14.599999999999998</v>
      </c>
      <c r="T18" s="180">
        <v>0</v>
      </c>
      <c r="U18" s="180">
        <f>0.17</f>
        <v>0.17</v>
      </c>
      <c r="V18" s="180">
        <v>1</v>
      </c>
      <c r="W18" s="180">
        <v>0.13</v>
      </c>
      <c r="X18" s="180">
        <v>1</v>
      </c>
      <c r="Y18" s="180">
        <v>1</v>
      </c>
      <c r="Z18" s="180">
        <v>1</v>
      </c>
      <c r="AA18" s="178">
        <f t="shared" si="4"/>
        <v>29</v>
      </c>
      <c r="AB18" s="179">
        <f t="shared" ca="1" si="5"/>
        <v>73</v>
      </c>
      <c r="AC18" s="27">
        <f t="shared" si="6"/>
        <v>9.5</v>
      </c>
      <c r="AD18" s="181">
        <f t="shared" si="11"/>
        <v>0</v>
      </c>
      <c r="AE18" s="181">
        <f>N18+(U$2/24)</f>
        <v>2.0384615384615383</v>
      </c>
      <c r="AF18" s="181">
        <f>O18+(V$2/15)</f>
        <v>13.499999999999998</v>
      </c>
      <c r="AG18" s="181">
        <f>P18+(W$2/22)</f>
        <v>4.0999999999999996</v>
      </c>
      <c r="AH18" s="181">
        <f>Q18+(X$2/13)</f>
        <v>14.429145299145299</v>
      </c>
      <c r="AI18" s="181">
        <f>R18+(Y$2/10)</f>
        <v>10.095333333333334</v>
      </c>
      <c r="AJ18" s="181">
        <f>S18+(Z$2/3)</f>
        <v>14.599999999999998</v>
      </c>
      <c r="AK18" s="182">
        <f t="shared" si="54"/>
        <v>0</v>
      </c>
      <c r="AL18" s="182">
        <f t="shared" si="54"/>
        <v>0</v>
      </c>
      <c r="AM18" s="182">
        <f t="shared" si="54"/>
        <v>0</v>
      </c>
      <c r="AN18" s="182">
        <f t="shared" si="54"/>
        <v>0</v>
      </c>
      <c r="AO18" s="182">
        <f t="shared" si="54"/>
        <v>7.692307692307665E-2</v>
      </c>
      <c r="AP18" s="182">
        <f t="shared" si="54"/>
        <v>0</v>
      </c>
      <c r="AQ18" s="182">
        <f t="shared" si="54"/>
        <v>0</v>
      </c>
      <c r="AR18" s="196"/>
      <c r="AS18" s="184" t="s">
        <v>28</v>
      </c>
      <c r="AT18" s="185" t="str">
        <f>D4</f>
        <v>Damián Sala</v>
      </c>
      <c r="AU18" s="186">
        <f>AU4</f>
        <v>0</v>
      </c>
      <c r="AV18" s="186">
        <f t="shared" ref="AV18:BE19" si="56">AV4</f>
        <v>0</v>
      </c>
      <c r="AW18" s="186">
        <f t="shared" si="56"/>
        <v>0</v>
      </c>
      <c r="AX18" s="186">
        <f t="shared" si="56"/>
        <v>0</v>
      </c>
      <c r="AY18" s="186">
        <f t="shared" si="56"/>
        <v>0</v>
      </c>
      <c r="AZ18" s="186">
        <f t="shared" si="56"/>
        <v>0</v>
      </c>
      <c r="BA18" s="186">
        <f t="shared" si="56"/>
        <v>0</v>
      </c>
      <c r="BB18" s="186">
        <f t="shared" si="56"/>
        <v>0</v>
      </c>
      <c r="BC18" s="186">
        <f t="shared" si="56"/>
        <v>0</v>
      </c>
      <c r="BD18" s="186">
        <f t="shared" si="56"/>
        <v>0</v>
      </c>
      <c r="BE18" s="186">
        <f t="shared" si="56"/>
        <v>0</v>
      </c>
      <c r="BF18" s="196"/>
      <c r="BG18" s="196"/>
      <c r="BH18" s="196"/>
      <c r="BI18" s="196"/>
      <c r="BJ18" s="196"/>
      <c r="BK18" s="196"/>
      <c r="BL18" s="196"/>
    </row>
    <row r="19" spans="1:64" x14ac:dyDescent="0.25">
      <c r="A19" s="69"/>
      <c r="B19" s="69"/>
      <c r="C19" s="69"/>
      <c r="D19" s="69"/>
      <c r="E19" s="69"/>
      <c r="F19" s="69"/>
      <c r="G19" s="69"/>
      <c r="H19" s="69"/>
      <c r="I19" s="69"/>
      <c r="J19" s="69"/>
      <c r="K19" s="69"/>
      <c r="M19" s="158"/>
      <c r="T19" s="51"/>
      <c r="U19" s="51"/>
      <c r="V19" s="51"/>
      <c r="W19" s="51"/>
      <c r="X19" s="51"/>
      <c r="Y19" s="51"/>
      <c r="Z19" s="51"/>
      <c r="AA19" s="69"/>
      <c r="AB19" s="69"/>
      <c r="AC19" s="69"/>
      <c r="AD19" s="69"/>
      <c r="AE19" s="69"/>
      <c r="AF19" s="69"/>
      <c r="AG19" s="69"/>
      <c r="AH19" s="69"/>
      <c r="AI19" s="69"/>
      <c r="AJ19" s="69"/>
      <c r="AR19" s="196"/>
      <c r="AS19" s="188" t="s">
        <v>224</v>
      </c>
      <c r="AT19" s="189" t="str">
        <f>AT5</f>
        <v>Mario Omarini</v>
      </c>
      <c r="AU19" s="186">
        <f>AU5</f>
        <v>0</v>
      </c>
      <c r="AV19" s="186">
        <f t="shared" si="56"/>
        <v>0</v>
      </c>
      <c r="AW19" s="186">
        <f t="shared" si="56"/>
        <v>0</v>
      </c>
      <c r="AX19" s="186">
        <f t="shared" si="56"/>
        <v>0</v>
      </c>
      <c r="AY19" s="186">
        <f t="shared" si="56"/>
        <v>0</v>
      </c>
      <c r="AZ19" s="186">
        <f t="shared" si="56"/>
        <v>0</v>
      </c>
      <c r="BA19" s="186">
        <f t="shared" si="56"/>
        <v>0</v>
      </c>
      <c r="BB19" s="186">
        <f t="shared" si="56"/>
        <v>0</v>
      </c>
      <c r="BC19" s="186">
        <f t="shared" si="56"/>
        <v>0</v>
      </c>
      <c r="BD19" s="186">
        <f t="shared" si="56"/>
        <v>3.9124999999999996</v>
      </c>
      <c r="BE19" s="186">
        <f t="shared" si="56"/>
        <v>2.4999999999999911E-2</v>
      </c>
      <c r="BF19" s="196"/>
      <c r="BG19" s="196"/>
      <c r="BH19" s="196"/>
      <c r="BI19" s="196"/>
      <c r="BJ19" s="196"/>
      <c r="BK19" s="196"/>
      <c r="BL19" s="196"/>
    </row>
    <row r="20" spans="1:64" x14ac:dyDescent="0.25">
      <c r="C20" s="157"/>
      <c r="D20" s="119"/>
      <c r="G20" s="69"/>
      <c r="H20" s="56"/>
      <c r="J20" s="69"/>
      <c r="K20" s="69"/>
      <c r="M20" s="158"/>
      <c r="T20" s="69"/>
      <c r="U20" s="69"/>
      <c r="V20" s="69"/>
      <c r="W20" s="69"/>
      <c r="X20" s="69"/>
      <c r="Y20" s="69"/>
      <c r="Z20" s="69"/>
      <c r="AA20" s="69"/>
      <c r="AB20" s="69"/>
      <c r="AC20" s="69"/>
      <c r="AD20" s="69"/>
      <c r="AE20" s="69"/>
      <c r="AF20" s="69"/>
      <c r="AG20" s="69"/>
      <c r="AH20" s="69"/>
      <c r="AI20" s="69"/>
      <c r="AJ20" s="69"/>
      <c r="AR20" s="197"/>
      <c r="AS20" s="188" t="s">
        <v>224</v>
      </c>
      <c r="AT20" s="26" t="str">
        <f>AT7</f>
        <v>Csaba Mező</v>
      </c>
      <c r="AU20" s="186">
        <f>AU7</f>
        <v>0</v>
      </c>
      <c r="AV20" s="186">
        <f t="shared" ref="AV20:BE20" si="57">AV7</f>
        <v>0</v>
      </c>
      <c r="AW20" s="186">
        <f t="shared" si="57"/>
        <v>0</v>
      </c>
      <c r="AX20" s="186">
        <f t="shared" si="57"/>
        <v>0</v>
      </c>
      <c r="AY20" s="186">
        <f t="shared" si="57"/>
        <v>0</v>
      </c>
      <c r="AZ20" s="186">
        <f t="shared" si="57"/>
        <v>0</v>
      </c>
      <c r="BA20" s="186">
        <f t="shared" si="57"/>
        <v>0</v>
      </c>
      <c r="BB20" s="186">
        <f t="shared" si="57"/>
        <v>0</v>
      </c>
      <c r="BC20" s="186">
        <f t="shared" si="57"/>
        <v>0</v>
      </c>
      <c r="BD20" s="186">
        <f t="shared" si="57"/>
        <v>4.2818749999999994</v>
      </c>
      <c r="BE20" s="186">
        <f t="shared" si="57"/>
        <v>1.5625E-2</v>
      </c>
      <c r="BF20" s="197"/>
      <c r="BG20" s="197"/>
      <c r="BH20" s="197"/>
      <c r="BI20" s="197"/>
      <c r="BJ20" s="197"/>
      <c r="BK20" s="197"/>
      <c r="BL20" s="197"/>
    </row>
    <row r="21" spans="1:64" x14ac:dyDescent="0.25">
      <c r="C21" s="157"/>
      <c r="D21" s="119"/>
      <c r="G21" s="69"/>
      <c r="H21" s="56"/>
      <c r="J21" s="69"/>
      <c r="K21" s="69"/>
      <c r="M21" s="158"/>
      <c r="T21" s="69"/>
      <c r="U21" s="69"/>
      <c r="V21" s="69"/>
      <c r="W21" s="69"/>
      <c r="X21" s="69"/>
      <c r="Y21" s="69"/>
      <c r="Z21" s="69"/>
      <c r="AA21" s="69"/>
      <c r="AB21" s="69"/>
      <c r="AC21" s="69"/>
      <c r="AD21" s="69"/>
      <c r="AE21" s="69"/>
      <c r="AF21" s="69"/>
      <c r="AG21" s="69"/>
      <c r="AH21" s="69"/>
      <c r="AI21" s="69"/>
      <c r="AJ21" s="69"/>
      <c r="AR21" s="183"/>
      <c r="AS21" s="120" t="s">
        <v>230</v>
      </c>
      <c r="AT21" s="26" t="str">
        <f>AT8</f>
        <v>Iyad Chaabo</v>
      </c>
      <c r="AU21" s="192">
        <f>AU8</f>
        <v>0</v>
      </c>
      <c r="AV21" s="192">
        <f t="shared" ref="AV21:BE21" si="58">AV8</f>
        <v>0</v>
      </c>
      <c r="AW21" s="192">
        <f t="shared" si="58"/>
        <v>0</v>
      </c>
      <c r="AX21" s="192">
        <f t="shared" si="58"/>
        <v>0</v>
      </c>
      <c r="AY21" s="192">
        <f t="shared" si="58"/>
        <v>3.2166666666666552E-2</v>
      </c>
      <c r="AZ21" s="192">
        <f t="shared" si="58"/>
        <v>0</v>
      </c>
      <c r="BA21" s="192">
        <f t="shared" si="58"/>
        <v>2.4666666666666576E-2</v>
      </c>
      <c r="BB21" s="192">
        <f t="shared" si="58"/>
        <v>0</v>
      </c>
      <c r="BC21" s="192">
        <f t="shared" si="58"/>
        <v>0</v>
      </c>
      <c r="BD21" s="192">
        <f t="shared" si="58"/>
        <v>0</v>
      </c>
      <c r="BE21" s="192">
        <f t="shared" si="58"/>
        <v>0</v>
      </c>
      <c r="BF21" s="183"/>
      <c r="BG21" s="183"/>
      <c r="BH21" s="183"/>
      <c r="BI21" s="183"/>
      <c r="BJ21" s="183"/>
      <c r="BK21" s="183"/>
      <c r="BL21" s="183"/>
    </row>
    <row r="22" spans="1:64" x14ac:dyDescent="0.25">
      <c r="C22" s="157"/>
      <c r="D22" s="119"/>
      <c r="G22" s="69"/>
      <c r="H22" s="56"/>
      <c r="J22" s="69"/>
      <c r="K22" s="69"/>
      <c r="M22" s="158"/>
      <c r="T22" s="69"/>
      <c r="U22" s="69"/>
      <c r="V22" s="69"/>
      <c r="W22" s="69"/>
      <c r="X22" s="69"/>
      <c r="Y22" s="69"/>
      <c r="Z22" s="69"/>
      <c r="AA22" s="69"/>
      <c r="AB22" s="69"/>
      <c r="AC22" s="69"/>
      <c r="AD22" s="69"/>
      <c r="AE22" s="69"/>
      <c r="AF22" s="69"/>
      <c r="AG22" s="69"/>
      <c r="AH22" s="69"/>
      <c r="AI22" s="69"/>
      <c r="AJ22" s="69"/>
      <c r="AR22" s="187"/>
      <c r="AS22" s="123" t="s">
        <v>226</v>
      </c>
      <c r="AT22" s="26" t="str">
        <f t="shared" ref="AT22:AU27" si="59">AT9</f>
        <v>Gianfranco Rezza</v>
      </c>
      <c r="AU22" s="192">
        <f t="shared" si="59"/>
        <v>0</v>
      </c>
      <c r="AV22" s="192">
        <f t="shared" ref="AV22:BE22" si="60">AV9</f>
        <v>0</v>
      </c>
      <c r="AW22" s="192">
        <f t="shared" si="60"/>
        <v>0</v>
      </c>
      <c r="AX22" s="192">
        <f t="shared" si="60"/>
        <v>0</v>
      </c>
      <c r="AY22" s="192">
        <f t="shared" si="60"/>
        <v>1.5750000000000111E-2</v>
      </c>
      <c r="AZ22" s="192">
        <f t="shared" si="60"/>
        <v>1.5750000000000111E-2</v>
      </c>
      <c r="BA22" s="192">
        <f t="shared" si="60"/>
        <v>4.2250000000000301E-2</v>
      </c>
      <c r="BB22" s="192">
        <f t="shared" si="60"/>
        <v>0</v>
      </c>
      <c r="BC22" s="192">
        <f t="shared" si="60"/>
        <v>0</v>
      </c>
      <c r="BD22" s="192">
        <f t="shared" si="60"/>
        <v>0</v>
      </c>
      <c r="BE22" s="192">
        <f t="shared" si="60"/>
        <v>0</v>
      </c>
      <c r="BF22" s="187"/>
      <c r="BG22" s="187"/>
      <c r="BH22" s="187"/>
      <c r="BI22" s="187"/>
      <c r="BJ22" s="187"/>
      <c r="BK22" s="187"/>
      <c r="BL22" s="187"/>
    </row>
    <row r="23" spans="1:64" x14ac:dyDescent="0.25">
      <c r="C23" s="157"/>
      <c r="D23" s="119"/>
      <c r="G23" s="69"/>
      <c r="H23" s="56"/>
      <c r="J23" s="69"/>
      <c r="K23" s="69"/>
      <c r="M23" s="158"/>
      <c r="T23" s="69"/>
      <c r="U23" s="69"/>
      <c r="V23" s="69"/>
      <c r="W23" s="69"/>
      <c r="X23" s="69"/>
      <c r="Y23" s="69"/>
      <c r="Z23" s="69"/>
      <c r="AA23" s="50"/>
      <c r="AB23" s="69"/>
      <c r="AC23" s="69"/>
      <c r="AD23" s="69"/>
      <c r="AE23" s="69"/>
      <c r="AF23" s="69"/>
      <c r="AG23" s="69"/>
      <c r="AH23" s="69"/>
      <c r="AI23" s="69"/>
      <c r="AJ23" s="69"/>
      <c r="AR23" s="193"/>
      <c r="AS23" s="123" t="s">
        <v>231</v>
      </c>
      <c r="AT23" s="26" t="str">
        <f t="shared" si="59"/>
        <v>Jorge W. Whitaker</v>
      </c>
      <c r="AU23" s="192">
        <f t="shared" si="59"/>
        <v>0</v>
      </c>
      <c r="AV23" s="192">
        <f t="shared" ref="AV23:BE23" si="61">AV10</f>
        <v>0</v>
      </c>
      <c r="AW23" s="192">
        <f t="shared" si="61"/>
        <v>0</v>
      </c>
      <c r="AX23" s="192">
        <f t="shared" si="61"/>
        <v>0</v>
      </c>
      <c r="AY23" s="192">
        <f t="shared" si="61"/>
        <v>5.0599999999999819E-2</v>
      </c>
      <c r="AZ23" s="192">
        <f t="shared" si="61"/>
        <v>2.4599999999999914E-2</v>
      </c>
      <c r="BA23" s="192">
        <f t="shared" si="61"/>
        <v>6.8199999999999761E-2</v>
      </c>
      <c r="BB23" s="192">
        <f t="shared" si="61"/>
        <v>0</v>
      </c>
      <c r="BC23" s="192">
        <f t="shared" si="61"/>
        <v>0</v>
      </c>
      <c r="BD23" s="192">
        <f t="shared" si="61"/>
        <v>0</v>
      </c>
      <c r="BE23" s="192">
        <f t="shared" si="61"/>
        <v>0</v>
      </c>
      <c r="BF23" s="193"/>
      <c r="BG23" s="193"/>
      <c r="BH23" s="193"/>
      <c r="BI23" s="193"/>
      <c r="BJ23" s="193"/>
      <c r="BK23" s="193"/>
      <c r="BL23" s="193"/>
    </row>
    <row r="24" spans="1:64" x14ac:dyDescent="0.25">
      <c r="C24" s="157"/>
      <c r="D24" s="119"/>
      <c r="G24" s="69"/>
      <c r="H24" s="56"/>
      <c r="J24" s="69"/>
      <c r="K24" s="69"/>
      <c r="M24" s="158"/>
      <c r="T24" s="69"/>
      <c r="U24" s="69"/>
      <c r="V24" s="69"/>
      <c r="W24" s="69"/>
      <c r="X24" s="69"/>
      <c r="Y24" s="69"/>
      <c r="Z24" s="69"/>
      <c r="AA24" s="69"/>
      <c r="AB24" s="69"/>
      <c r="AC24" s="69"/>
      <c r="AD24" s="50"/>
      <c r="AE24" s="50"/>
      <c r="AF24" s="50"/>
      <c r="AG24" s="50"/>
      <c r="AH24" s="50"/>
      <c r="AI24" s="50"/>
      <c r="AJ24" s="50"/>
      <c r="AR24" s="198"/>
      <c r="AS24" s="123" t="s">
        <v>226</v>
      </c>
      <c r="AT24" s="26" t="str">
        <f>D11</f>
        <v>Emilio Mochelato</v>
      </c>
      <c r="AU24" s="192">
        <f>AL11*0.038</f>
        <v>0</v>
      </c>
      <c r="AV24" s="192">
        <f>AL11*0.077</f>
        <v>0</v>
      </c>
      <c r="AW24" s="192">
        <f>AL11*0.162</f>
        <v>0</v>
      </c>
      <c r="AX24" s="192">
        <f>AM11*0.944</f>
        <v>0</v>
      </c>
      <c r="AY24" s="192">
        <f>(AO11*0.126)</f>
        <v>7.8750000000000001E-3</v>
      </c>
      <c r="AZ24" s="192">
        <f>(AO11*0.251)</f>
        <v>1.56875E-2</v>
      </c>
      <c r="BA24" s="192">
        <f>(AO11*0.507)+(AP11*0.31)</f>
        <v>3.16875E-2</v>
      </c>
      <c r="BB24" s="200">
        <f>(0.5*AP11+0.3*AQ11)/10</f>
        <v>0</v>
      </c>
      <c r="BC24" s="200">
        <f>(0.4*AL11+0.3*AQ11)/10</f>
        <v>0</v>
      </c>
      <c r="BD24" s="200">
        <v>0</v>
      </c>
      <c r="BE24" s="200">
        <v>0</v>
      </c>
      <c r="BF24" s="198"/>
      <c r="BG24" s="198"/>
      <c r="BH24" s="198"/>
      <c r="BI24" s="198"/>
      <c r="BJ24" s="198"/>
      <c r="BK24" s="198"/>
      <c r="BL24" s="198"/>
    </row>
    <row r="25" spans="1:64" x14ac:dyDescent="0.25">
      <c r="C25" s="157"/>
      <c r="D25" s="119"/>
      <c r="G25" s="69"/>
      <c r="H25" s="56"/>
      <c r="J25" s="69"/>
      <c r="K25" s="69"/>
      <c r="M25" s="158"/>
      <c r="T25" s="69"/>
      <c r="U25" s="69"/>
      <c r="V25" s="69"/>
      <c r="W25" s="69"/>
      <c r="X25" s="69"/>
      <c r="Y25" s="69"/>
      <c r="Z25" s="69"/>
      <c r="AA25" s="69"/>
      <c r="AB25" s="69"/>
      <c r="AC25" s="69"/>
      <c r="AD25" s="50"/>
      <c r="AE25" s="50"/>
      <c r="AF25" s="50"/>
      <c r="AG25" s="50"/>
      <c r="AH25" s="50"/>
      <c r="AI25" s="50"/>
      <c r="AJ25" s="50"/>
      <c r="AR25" s="197"/>
      <c r="AS25" s="123" t="s">
        <v>225</v>
      </c>
      <c r="AT25" s="26" t="str">
        <f t="shared" si="59"/>
        <v>Cezary Pauch</v>
      </c>
      <c r="AU25" s="192">
        <f>AU12</f>
        <v>0</v>
      </c>
      <c r="AV25" s="192">
        <f t="shared" ref="AV25:BE25" si="62">AV12</f>
        <v>0</v>
      </c>
      <c r="AW25" s="192">
        <f t="shared" si="62"/>
        <v>0</v>
      </c>
      <c r="AX25" s="192">
        <f t="shared" si="62"/>
        <v>0</v>
      </c>
      <c r="AY25" s="192">
        <f t="shared" si="62"/>
        <v>0</v>
      </c>
      <c r="AZ25" s="192">
        <f t="shared" si="62"/>
        <v>2.7111111111111013E-2</v>
      </c>
      <c r="BA25" s="192">
        <f t="shared" si="62"/>
        <v>1.3444444444444396E-2</v>
      </c>
      <c r="BB25" s="192">
        <f t="shared" si="62"/>
        <v>0</v>
      </c>
      <c r="BC25" s="192">
        <f t="shared" si="62"/>
        <v>0</v>
      </c>
      <c r="BD25" s="192">
        <f t="shared" si="62"/>
        <v>0</v>
      </c>
      <c r="BE25" s="192">
        <f t="shared" si="62"/>
        <v>0</v>
      </c>
      <c r="BF25" s="197"/>
      <c r="BG25" s="197"/>
      <c r="BH25" s="197"/>
      <c r="BI25" s="197"/>
      <c r="BJ25" s="197"/>
      <c r="BK25" s="197"/>
      <c r="BL25" s="197"/>
    </row>
    <row r="26" spans="1:64" x14ac:dyDescent="0.25">
      <c r="C26" s="157"/>
      <c r="D26" s="119"/>
      <c r="G26" s="69"/>
      <c r="H26" s="56"/>
      <c r="J26" s="69"/>
      <c r="K26" s="69"/>
      <c r="M26" s="158"/>
      <c r="T26" s="69"/>
      <c r="U26" s="69"/>
      <c r="V26" s="69"/>
      <c r="W26" s="69"/>
      <c r="X26" s="69"/>
      <c r="Y26" s="69"/>
      <c r="Z26" s="69"/>
      <c r="AA26" s="69"/>
      <c r="AB26" s="69"/>
      <c r="AC26" s="69"/>
      <c r="AD26" s="50"/>
      <c r="AE26" s="50"/>
      <c r="AF26" s="50"/>
      <c r="AG26" s="50"/>
      <c r="AH26" s="50"/>
      <c r="AI26" s="50"/>
      <c r="AJ26" s="50"/>
      <c r="AR26" s="193"/>
      <c r="AS26" s="201" t="s">
        <v>44</v>
      </c>
      <c r="AT26" s="26" t="str">
        <f t="shared" si="59"/>
        <v>Adam Moss</v>
      </c>
      <c r="AU26" s="192">
        <f t="shared" si="59"/>
        <v>0</v>
      </c>
      <c r="AV26" s="192">
        <f t="shared" ref="AV26:BE26" si="63">AV13</f>
        <v>0</v>
      </c>
      <c r="AW26" s="192">
        <f t="shared" si="63"/>
        <v>0</v>
      </c>
      <c r="AX26" s="192">
        <f t="shared" si="63"/>
        <v>0</v>
      </c>
      <c r="AY26" s="192">
        <f t="shared" si="63"/>
        <v>1.0923076923076883E-2</v>
      </c>
      <c r="AZ26" s="192">
        <f t="shared" si="63"/>
        <v>1.0923076923076883E-2</v>
      </c>
      <c r="BA26" s="192">
        <f t="shared" si="63"/>
        <v>2.8384615384615283E-2</v>
      </c>
      <c r="BB26" s="192">
        <f t="shared" si="63"/>
        <v>0</v>
      </c>
      <c r="BC26" s="192">
        <f t="shared" si="63"/>
        <v>0</v>
      </c>
      <c r="BD26" s="192">
        <f t="shared" si="63"/>
        <v>0</v>
      </c>
      <c r="BE26" s="192">
        <f t="shared" si="63"/>
        <v>0</v>
      </c>
      <c r="BF26" s="193"/>
      <c r="BG26" s="193"/>
      <c r="BH26" s="193"/>
      <c r="BI26" s="193"/>
      <c r="BJ26" s="193"/>
      <c r="BK26" s="193"/>
      <c r="BL26" s="193"/>
    </row>
    <row r="27" spans="1:64" x14ac:dyDescent="0.25">
      <c r="C27" s="157"/>
      <c r="D27" s="119"/>
      <c r="G27" s="69"/>
      <c r="H27" s="56"/>
      <c r="J27" s="69"/>
      <c r="K27" s="69"/>
      <c r="M27" s="158"/>
      <c r="T27" s="69"/>
      <c r="U27" s="69"/>
      <c r="V27" s="69"/>
      <c r="W27" s="69"/>
      <c r="X27" s="69"/>
      <c r="Y27" s="69"/>
      <c r="Z27" s="69"/>
      <c r="AA27" s="69"/>
      <c r="AB27" s="69"/>
      <c r="AC27" s="69"/>
      <c r="AD27" s="50"/>
      <c r="AE27" s="50"/>
      <c r="AF27" s="50"/>
      <c r="AG27" s="50"/>
      <c r="AH27" s="50"/>
      <c r="AI27" s="50"/>
      <c r="AJ27" s="50"/>
      <c r="AS27" s="123" t="s">
        <v>44</v>
      </c>
      <c r="AT27" s="26" t="str">
        <f t="shared" si="59"/>
        <v>Rasheed Da'na</v>
      </c>
      <c r="AU27" s="192">
        <f t="shared" si="59"/>
        <v>0</v>
      </c>
      <c r="AV27" s="192">
        <f t="shared" ref="AV27:BE27" si="64">AV14</f>
        <v>0</v>
      </c>
      <c r="AW27" s="192">
        <f t="shared" si="64"/>
        <v>0</v>
      </c>
      <c r="AX27" s="192">
        <f t="shared" si="64"/>
        <v>0</v>
      </c>
      <c r="AY27" s="192">
        <f t="shared" si="64"/>
        <v>1.0923076923076883E-2</v>
      </c>
      <c r="AZ27" s="192">
        <f t="shared" si="64"/>
        <v>1.0923076923076883E-2</v>
      </c>
      <c r="BA27" s="192">
        <f t="shared" si="64"/>
        <v>2.8384615384615283E-2</v>
      </c>
      <c r="BB27" s="192">
        <f t="shared" si="64"/>
        <v>0</v>
      </c>
      <c r="BC27" s="192">
        <f t="shared" si="64"/>
        <v>0</v>
      </c>
      <c r="BD27" s="192">
        <f t="shared" si="64"/>
        <v>0</v>
      </c>
      <c r="BE27" s="192">
        <f t="shared" si="64"/>
        <v>0</v>
      </c>
    </row>
    <row r="28" spans="1:64" x14ac:dyDescent="0.25">
      <c r="C28" s="157"/>
      <c r="D28" s="119"/>
      <c r="G28" s="69"/>
      <c r="H28" s="56"/>
      <c r="J28" s="69"/>
      <c r="K28" s="69"/>
      <c r="M28" s="158"/>
      <c r="T28" s="69"/>
      <c r="U28" s="69"/>
      <c r="V28" s="69"/>
      <c r="W28" s="69"/>
      <c r="X28" s="69"/>
      <c r="Y28" s="69"/>
      <c r="Z28" s="69"/>
      <c r="AA28" s="69"/>
      <c r="AB28" s="69"/>
      <c r="AC28" s="69"/>
      <c r="AD28" s="50"/>
      <c r="AE28" s="50"/>
      <c r="AF28" s="50"/>
      <c r="AG28" s="50"/>
      <c r="AH28" s="50"/>
      <c r="AI28" s="50"/>
      <c r="AJ28" s="50"/>
      <c r="AS28" s="123" t="s">
        <v>86</v>
      </c>
      <c r="AT28" s="26" t="str">
        <f>AT11</f>
        <v>Saul Piña</v>
      </c>
      <c r="AU28" s="186">
        <v>0</v>
      </c>
      <c r="AV28" s="186">
        <v>0</v>
      </c>
      <c r="AW28" s="186">
        <v>0</v>
      </c>
      <c r="AX28" s="186">
        <f>AM16*0.4</f>
        <v>0</v>
      </c>
      <c r="AY28" s="186">
        <f>(AO16*0.324)+(AN16*0.144)+(AP16*0.127)</f>
        <v>2.4923076923076836E-2</v>
      </c>
      <c r="AZ28" s="186">
        <f>AY28</f>
        <v>2.4923076923076836E-2</v>
      </c>
      <c r="BA28" s="186">
        <f>(AO16*0.543)+(AP16*0.583)</f>
        <v>4.1769230769230621E-2</v>
      </c>
      <c r="BB28" s="200">
        <f>(0.5*AP16+0.3*AQ16)/10</f>
        <v>0</v>
      </c>
      <c r="BC28" s="200">
        <f>(0.4*AL16+0.3*AQ16)/10</f>
        <v>0</v>
      </c>
      <c r="BD28" s="200">
        <v>0</v>
      </c>
      <c r="BE28" s="200">
        <v>0</v>
      </c>
    </row>
    <row r="29" spans="1:64" x14ac:dyDescent="0.25">
      <c r="C29" s="157"/>
      <c r="D29" s="119"/>
      <c r="G29" s="69"/>
      <c r="H29" s="56"/>
      <c r="J29" s="69"/>
      <c r="K29" s="69"/>
      <c r="M29" s="158"/>
      <c r="T29" s="69"/>
      <c r="U29" s="69"/>
      <c r="V29" s="69"/>
      <c r="W29" s="69"/>
      <c r="X29" s="69"/>
      <c r="Y29" s="69"/>
      <c r="Z29" s="69"/>
      <c r="AA29" s="69"/>
      <c r="AB29" s="69"/>
      <c r="AC29" s="69"/>
      <c r="AD29" s="50"/>
      <c r="AE29" s="50"/>
      <c r="AF29" s="50"/>
      <c r="AG29" s="50"/>
      <c r="AH29" s="50"/>
      <c r="AI29" s="50"/>
      <c r="AJ29" s="50"/>
      <c r="AS29" s="194"/>
      <c r="AT29" s="195"/>
      <c r="AU29" s="195"/>
      <c r="AV29" s="195"/>
      <c r="AW29" s="195"/>
      <c r="AX29" s="195"/>
      <c r="AY29" s="195"/>
      <c r="AZ29" s="195"/>
      <c r="BA29" s="195"/>
      <c r="BB29" s="195"/>
      <c r="BC29" s="195"/>
      <c r="BD29" s="195"/>
      <c r="BE29" s="195"/>
    </row>
    <row r="30" spans="1:64" x14ac:dyDescent="0.25">
      <c r="C30" s="157"/>
      <c r="D30" s="119"/>
      <c r="G30" s="69"/>
      <c r="H30" s="56"/>
      <c r="J30" s="69"/>
      <c r="K30" s="69"/>
      <c r="M30" s="158"/>
      <c r="T30" s="69"/>
      <c r="U30" s="69"/>
      <c r="V30" s="69"/>
      <c r="W30" s="69"/>
      <c r="X30" s="69"/>
      <c r="Y30" s="69"/>
      <c r="Z30" s="69"/>
      <c r="AA30" s="69"/>
      <c r="AB30" s="69"/>
      <c r="AC30" s="69"/>
      <c r="AD30" s="69"/>
      <c r="AE30" s="69"/>
      <c r="AF30" s="69"/>
      <c r="AG30" s="69"/>
      <c r="AH30" s="69"/>
      <c r="AI30" s="69"/>
      <c r="AJ30" s="69"/>
      <c r="AS30" s="160"/>
      <c r="AT30" s="160"/>
      <c r="AU30" s="171">
        <f>SUM(AU32:AU42)*$BJ$3</f>
        <v>0</v>
      </c>
      <c r="AV30" s="171">
        <f>SUM(AV32:AV42)*$BJ$3</f>
        <v>0</v>
      </c>
      <c r="AW30" s="171">
        <f>SUM(AW32:AW42)*$BJ$2</f>
        <v>0</v>
      </c>
      <c r="AX30" s="171">
        <f>SUM(AX32:AX42)*$BJ$4</f>
        <v>0</v>
      </c>
      <c r="AY30" s="171">
        <f>SUM(AY32:AY42)*$BJ$5</f>
        <v>1.1822115384615384E-2</v>
      </c>
      <c r="AZ30" s="171">
        <f>SUM(AZ32:AZ42)*$BJ$5</f>
        <v>2.1003739316239282E-2</v>
      </c>
      <c r="BA30" s="171">
        <f>SUM(BA32:BA42)*$BJ$6</f>
        <v>2.8778098290598273E-2</v>
      </c>
      <c r="BB30" s="172">
        <f>SUM(BB32:BB42)</f>
        <v>0</v>
      </c>
      <c r="BC30" s="172">
        <f>SUM(BC32:BC42)</f>
        <v>0</v>
      </c>
      <c r="BD30" s="172">
        <f t="shared" ref="BD30:BE30" si="65">SUM(BD32:BD42)</f>
        <v>20.694454365079363</v>
      </c>
      <c r="BE30" s="172">
        <f t="shared" si="65"/>
        <v>0.14419642857142811</v>
      </c>
    </row>
    <row r="31" spans="1:64" x14ac:dyDescent="0.25">
      <c r="C31" s="157"/>
      <c r="D31" s="119"/>
      <c r="G31" s="69"/>
      <c r="H31" s="56"/>
      <c r="J31" s="69"/>
      <c r="K31" s="69"/>
      <c r="M31" s="158"/>
      <c r="T31" s="69"/>
      <c r="U31" s="69"/>
      <c r="V31" s="69"/>
      <c r="W31" s="69"/>
      <c r="X31" s="69"/>
      <c r="Y31" s="69"/>
      <c r="Z31" s="69"/>
      <c r="AA31" s="69"/>
      <c r="AB31" s="69"/>
      <c r="AC31" s="69"/>
      <c r="AD31" s="69"/>
      <c r="AE31" s="69"/>
      <c r="AF31" s="69"/>
      <c r="AG31" s="69"/>
      <c r="AH31" s="69"/>
      <c r="AI31" s="69"/>
      <c r="AJ31" s="69"/>
      <c r="AS31" s="257" t="s">
        <v>227</v>
      </c>
      <c r="AT31" s="258"/>
      <c r="AU31" s="177" t="s">
        <v>214</v>
      </c>
      <c r="AV31" s="177" t="s">
        <v>215</v>
      </c>
      <c r="AW31" s="177" t="s">
        <v>216</v>
      </c>
      <c r="AX31" s="177" t="s">
        <v>217</v>
      </c>
      <c r="AY31" s="177" t="s">
        <v>218</v>
      </c>
      <c r="AZ31" s="177" t="s">
        <v>219</v>
      </c>
      <c r="BA31" s="177" t="s">
        <v>220</v>
      </c>
      <c r="BB31" s="177" t="s">
        <v>221</v>
      </c>
      <c r="BC31" s="177" t="s">
        <v>222</v>
      </c>
      <c r="BD31" s="177" t="s">
        <v>22</v>
      </c>
      <c r="BE31" s="177" t="s">
        <v>223</v>
      </c>
    </row>
    <row r="32" spans="1:64" x14ac:dyDescent="0.25">
      <c r="C32" s="157"/>
      <c r="D32" s="119"/>
      <c r="G32" s="69"/>
      <c r="H32" s="56"/>
      <c r="J32" s="69"/>
      <c r="K32" s="69"/>
      <c r="M32" s="158"/>
      <c r="T32" s="69"/>
      <c r="U32" s="69"/>
      <c r="V32" s="69"/>
      <c r="W32" s="69"/>
      <c r="X32" s="69"/>
      <c r="Y32" s="69"/>
      <c r="Z32" s="69"/>
      <c r="AA32" s="69"/>
      <c r="AB32" s="69"/>
      <c r="AC32" s="69"/>
      <c r="AD32" s="69"/>
      <c r="AE32" s="69"/>
      <c r="AF32" s="69"/>
      <c r="AG32" s="69"/>
      <c r="AH32" s="69"/>
      <c r="AI32" s="69"/>
      <c r="AJ32" s="69"/>
      <c r="AS32" s="201" t="s">
        <v>28</v>
      </c>
      <c r="AT32" s="185" t="str">
        <f>AT18</f>
        <v>Damián Sala</v>
      </c>
      <c r="AU32" s="186">
        <f>AU18</f>
        <v>0</v>
      </c>
      <c r="AV32" s="186">
        <f t="shared" ref="AV32:BE32" si="66">AV18</f>
        <v>0</v>
      </c>
      <c r="AW32" s="186">
        <f t="shared" si="66"/>
        <v>0</v>
      </c>
      <c r="AX32" s="186">
        <f t="shared" si="66"/>
        <v>0</v>
      </c>
      <c r="AY32" s="186">
        <f t="shared" si="66"/>
        <v>0</v>
      </c>
      <c r="AZ32" s="186">
        <v>0</v>
      </c>
      <c r="BA32" s="186">
        <f t="shared" si="66"/>
        <v>0</v>
      </c>
      <c r="BB32" s="186">
        <f t="shared" si="66"/>
        <v>0</v>
      </c>
      <c r="BC32" s="186">
        <f t="shared" si="66"/>
        <v>0</v>
      </c>
      <c r="BD32" s="186">
        <f t="shared" si="66"/>
        <v>0</v>
      </c>
      <c r="BE32" s="186">
        <f t="shared" si="66"/>
        <v>0</v>
      </c>
    </row>
    <row r="33" spans="3:57" x14ac:dyDescent="0.25">
      <c r="C33" s="157"/>
      <c r="D33" s="119"/>
      <c r="G33" s="69"/>
      <c r="H33" s="56"/>
      <c r="J33" s="69"/>
      <c r="K33" s="69"/>
      <c r="M33" s="158"/>
      <c r="T33" s="69"/>
      <c r="U33" s="69"/>
      <c r="V33" s="69"/>
      <c r="W33" s="69"/>
      <c r="X33" s="69"/>
      <c r="Y33" s="69"/>
      <c r="Z33" s="69"/>
      <c r="AA33" s="69"/>
      <c r="AB33" s="69"/>
      <c r="AC33" s="69"/>
      <c r="AD33" s="69"/>
      <c r="AE33" s="69"/>
      <c r="AF33" s="69"/>
      <c r="AG33" s="69"/>
      <c r="AH33" s="69"/>
      <c r="AI33" s="69"/>
      <c r="AJ33" s="69"/>
      <c r="AS33" s="188" t="s">
        <v>234</v>
      </c>
      <c r="AT33" s="189" t="str">
        <f>AT19</f>
        <v>Mario Omarini</v>
      </c>
      <c r="AU33" s="190">
        <f>(AL5*1)</f>
        <v>0</v>
      </c>
      <c r="AV33" s="190">
        <v>0</v>
      </c>
      <c r="AW33" s="190">
        <f>AL5*0.479</f>
        <v>0</v>
      </c>
      <c r="AX33" s="190">
        <f>AM5*0.066</f>
        <v>0</v>
      </c>
      <c r="AY33" s="190">
        <f>AN5*0.376</f>
        <v>0</v>
      </c>
      <c r="AZ33" s="190">
        <v>0</v>
      </c>
      <c r="BA33" s="190">
        <v>0</v>
      </c>
      <c r="BB33" s="191">
        <f>(0.5*AP5+0.3*AQ5)/10</f>
        <v>0</v>
      </c>
      <c r="BC33" s="191">
        <f>(0.4*AL5+0.3*AQ5)/10</f>
        <v>0</v>
      </c>
      <c r="BD33" s="191">
        <f>((AE5+1)+(AH5+1)*2)/8</f>
        <v>3.9124999999999996</v>
      </c>
      <c r="BE33" s="191">
        <f>((AL5)+(AO5)*2)/8</f>
        <v>2.4999999999999911E-2</v>
      </c>
    </row>
    <row r="34" spans="3:57" x14ac:dyDescent="0.25">
      <c r="C34" s="157"/>
      <c r="D34" s="119"/>
      <c r="G34" s="69"/>
      <c r="H34" s="56"/>
      <c r="J34" s="69"/>
      <c r="K34" s="69"/>
      <c r="M34" s="158"/>
      <c r="T34" s="69"/>
      <c r="U34" s="69"/>
      <c r="V34" s="69"/>
      <c r="W34" s="69"/>
      <c r="X34" s="69"/>
      <c r="Y34" s="69"/>
      <c r="Z34" s="69"/>
      <c r="AA34" s="69"/>
      <c r="AB34" s="69"/>
      <c r="AC34" s="69"/>
      <c r="AD34" s="69"/>
      <c r="AE34" s="69"/>
      <c r="AF34" s="69"/>
      <c r="AG34" s="69"/>
      <c r="AH34" s="69"/>
      <c r="AI34" s="69"/>
      <c r="AJ34" s="69"/>
      <c r="AS34" s="123" t="s">
        <v>232</v>
      </c>
      <c r="AT34" s="26" t="str">
        <f>D9</f>
        <v>Ibiur Altxakoa</v>
      </c>
      <c r="AU34" s="186">
        <f>AU6</f>
        <v>0</v>
      </c>
      <c r="AV34" s="186">
        <f t="shared" ref="AV34:BE34" si="67">AV6</f>
        <v>0</v>
      </c>
      <c r="AW34" s="186">
        <f t="shared" si="67"/>
        <v>0</v>
      </c>
      <c r="AX34" s="186">
        <f t="shared" si="67"/>
        <v>0</v>
      </c>
      <c r="AY34" s="186">
        <f t="shared" si="67"/>
        <v>0</v>
      </c>
      <c r="AZ34" s="186">
        <f t="shared" si="67"/>
        <v>0</v>
      </c>
      <c r="BA34" s="186">
        <f t="shared" si="67"/>
        <v>0</v>
      </c>
      <c r="BB34" s="186">
        <f t="shared" si="67"/>
        <v>0</v>
      </c>
      <c r="BC34" s="186">
        <f t="shared" si="67"/>
        <v>0</v>
      </c>
      <c r="BD34" s="186">
        <f t="shared" si="67"/>
        <v>4.0671428571428567</v>
      </c>
      <c r="BE34" s="186">
        <f t="shared" si="67"/>
        <v>1.7857142857142794E-2</v>
      </c>
    </row>
    <row r="35" spans="3:57" x14ac:dyDescent="0.25">
      <c r="C35" s="157"/>
      <c r="D35" s="119"/>
      <c r="G35" s="69"/>
      <c r="H35" s="56"/>
      <c r="J35" s="69"/>
      <c r="K35" s="69"/>
      <c r="M35" s="158"/>
      <c r="T35" s="69"/>
      <c r="U35" s="69"/>
      <c r="V35" s="69"/>
      <c r="W35" s="69"/>
      <c r="X35" s="69"/>
      <c r="Y35" s="69"/>
      <c r="Z35" s="69"/>
      <c r="AA35" s="69"/>
      <c r="AB35" s="69"/>
      <c r="AC35" s="69"/>
      <c r="AD35" s="69"/>
      <c r="AE35" s="69"/>
      <c r="AF35" s="69"/>
      <c r="AG35" s="69"/>
      <c r="AH35" s="69"/>
      <c r="AI35" s="69"/>
      <c r="AJ35" s="69"/>
      <c r="AS35" s="123" t="s">
        <v>232</v>
      </c>
      <c r="AT35" s="26" t="str">
        <f>D10</f>
        <v>Jorge W. Whitaker</v>
      </c>
      <c r="AU35" s="192">
        <f>AL10*0.378</f>
        <v>0</v>
      </c>
      <c r="AV35" s="192">
        <f>AU35</f>
        <v>0</v>
      </c>
      <c r="AW35" s="192">
        <f>AL10*1</f>
        <v>0</v>
      </c>
      <c r="AX35" s="192">
        <f>AM10*0.236</f>
        <v>0</v>
      </c>
      <c r="AY35" s="192">
        <v>0</v>
      </c>
      <c r="AZ35" s="192">
        <v>0</v>
      </c>
      <c r="BA35" s="192">
        <v>0</v>
      </c>
      <c r="BB35" s="200">
        <f>(0.5*AP10+0.3*AQ10)/10</f>
        <v>0</v>
      </c>
      <c r="BC35" s="200">
        <f>(0.4*AL10+0.3*AQ10)/10</f>
        <v>0</v>
      </c>
      <c r="BD35" s="191">
        <f>((AE10+1)+(AH10+1)*2)/8</f>
        <v>4.0122222222222224</v>
      </c>
      <c r="BE35" s="191">
        <f>((AL10)+(AO10)*2)/8</f>
        <v>4.9999999999999822E-2</v>
      </c>
    </row>
    <row r="36" spans="3:57" x14ac:dyDescent="0.25">
      <c r="C36" s="157"/>
      <c r="D36" s="119"/>
      <c r="G36" s="69"/>
      <c r="H36" s="56"/>
      <c r="J36" s="69"/>
      <c r="K36" s="69"/>
      <c r="M36" s="158"/>
      <c r="T36" s="69"/>
      <c r="U36" s="69"/>
      <c r="V36" s="69"/>
      <c r="W36" s="69"/>
      <c r="X36" s="69"/>
      <c r="Y36" s="69"/>
      <c r="Z36" s="69"/>
      <c r="AA36" s="69"/>
      <c r="AB36" s="69"/>
      <c r="AC36" s="69"/>
      <c r="AD36" s="69"/>
      <c r="AE36" s="69"/>
      <c r="AF36" s="69"/>
      <c r="AG36" s="69"/>
      <c r="AH36" s="69"/>
      <c r="AI36" s="69"/>
      <c r="AJ36" s="69"/>
      <c r="AS36" s="201" t="s">
        <v>233</v>
      </c>
      <c r="AT36" s="185" t="str">
        <f>D7</f>
        <v>Mateuz Brzostowski</v>
      </c>
      <c r="AU36" s="186">
        <v>0</v>
      </c>
      <c r="AV36" s="186">
        <f>AL7*0.754</f>
        <v>0</v>
      </c>
      <c r="AW36" s="186">
        <f>AL7*0.708</f>
        <v>0</v>
      </c>
      <c r="AX36" s="186">
        <f>AM7*0.165</f>
        <v>0</v>
      </c>
      <c r="AY36" s="186">
        <v>0</v>
      </c>
      <c r="AZ36" s="186">
        <f>AN7*0.286</f>
        <v>0</v>
      </c>
      <c r="BA36" s="186">
        <v>0</v>
      </c>
      <c r="BB36" s="200">
        <f>(0.5*AP7+0.3*AQ7)/10</f>
        <v>0</v>
      </c>
      <c r="BC36" s="200">
        <f>(0.4*AL7+0.3*AQ7)/10</f>
        <v>0</v>
      </c>
      <c r="BD36" s="191">
        <f>((AE7+1)+(AH7+1)*2)/8</f>
        <v>4.4207142857142854</v>
      </c>
      <c r="BE36" s="191">
        <f>((AL7)+(AO7)*2)/8</f>
        <v>3.5714285714285587E-2</v>
      </c>
    </row>
    <row r="37" spans="3:57" x14ac:dyDescent="0.25">
      <c r="C37" s="157"/>
      <c r="D37" s="119"/>
      <c r="G37" s="69"/>
      <c r="H37" s="56"/>
      <c r="J37" s="69"/>
      <c r="K37" s="69"/>
      <c r="M37" s="158"/>
      <c r="T37" s="69"/>
      <c r="U37" s="69"/>
      <c r="V37" s="69"/>
      <c r="W37" s="69"/>
      <c r="X37" s="69"/>
      <c r="Y37" s="69"/>
      <c r="Z37" s="69"/>
      <c r="AA37" s="69"/>
      <c r="AB37" s="69"/>
      <c r="AC37" s="69"/>
      <c r="AD37" s="69"/>
      <c r="AE37" s="69"/>
      <c r="AF37" s="69"/>
      <c r="AG37" s="69"/>
      <c r="AH37" s="69"/>
      <c r="AI37" s="69"/>
      <c r="AJ37" s="69"/>
      <c r="AS37" s="123" t="s">
        <v>224</v>
      </c>
      <c r="AT37" s="26" t="str">
        <f>AT20</f>
        <v>Csaba Mező</v>
      </c>
      <c r="AU37" s="192">
        <f>AU7</f>
        <v>0</v>
      </c>
      <c r="AV37" s="192">
        <f t="shared" ref="AV37:BE37" si="68">AV7</f>
        <v>0</v>
      </c>
      <c r="AW37" s="192">
        <f t="shared" si="68"/>
        <v>0</v>
      </c>
      <c r="AX37" s="192">
        <f t="shared" si="68"/>
        <v>0</v>
      </c>
      <c r="AY37" s="192">
        <f t="shared" si="68"/>
        <v>0</v>
      </c>
      <c r="AZ37" s="192">
        <f t="shared" si="68"/>
        <v>0</v>
      </c>
      <c r="BA37" s="192">
        <f t="shared" si="68"/>
        <v>0</v>
      </c>
      <c r="BB37" s="192">
        <f t="shared" si="68"/>
        <v>0</v>
      </c>
      <c r="BC37" s="192">
        <f t="shared" si="68"/>
        <v>0</v>
      </c>
      <c r="BD37" s="192">
        <f t="shared" si="68"/>
        <v>4.2818749999999994</v>
      </c>
      <c r="BE37" s="192">
        <f t="shared" si="68"/>
        <v>1.5625E-2</v>
      </c>
    </row>
    <row r="38" spans="3:57" x14ac:dyDescent="0.25">
      <c r="C38" s="157"/>
      <c r="D38" s="119"/>
      <c r="G38" s="69"/>
      <c r="H38" s="56"/>
      <c r="J38" s="69"/>
      <c r="K38" s="69"/>
      <c r="M38" s="158"/>
      <c r="T38" s="69"/>
      <c r="U38" s="69"/>
      <c r="V38" s="69"/>
      <c r="W38" s="69"/>
      <c r="X38" s="69"/>
      <c r="Y38" s="69"/>
      <c r="Z38" s="69"/>
      <c r="AA38" s="69"/>
      <c r="AB38" s="69"/>
      <c r="AC38" s="69"/>
      <c r="AD38" s="69"/>
      <c r="AE38" s="69"/>
      <c r="AF38" s="69"/>
      <c r="AG38" s="69"/>
      <c r="AH38" s="69"/>
      <c r="AI38" s="69"/>
      <c r="AJ38" s="69"/>
      <c r="AS38" s="123" t="s">
        <v>226</v>
      </c>
      <c r="AT38" s="26" t="str">
        <f>AT22</f>
        <v>Gianfranco Rezza</v>
      </c>
      <c r="AU38" s="192">
        <f>AU22</f>
        <v>0</v>
      </c>
      <c r="AV38" s="192">
        <f t="shared" ref="AV38:BE38" si="69">AV22</f>
        <v>0</v>
      </c>
      <c r="AW38" s="192">
        <f t="shared" si="69"/>
        <v>0</v>
      </c>
      <c r="AX38" s="192">
        <f t="shared" si="69"/>
        <v>0</v>
      </c>
      <c r="AY38" s="192">
        <f t="shared" si="69"/>
        <v>1.5750000000000111E-2</v>
      </c>
      <c r="AZ38" s="192">
        <f t="shared" si="69"/>
        <v>1.5750000000000111E-2</v>
      </c>
      <c r="BA38" s="192">
        <f t="shared" si="69"/>
        <v>4.2250000000000301E-2</v>
      </c>
      <c r="BB38" s="192">
        <f t="shared" si="69"/>
        <v>0</v>
      </c>
      <c r="BC38" s="192">
        <f t="shared" si="69"/>
        <v>0</v>
      </c>
      <c r="BD38" s="192">
        <f t="shared" si="69"/>
        <v>0</v>
      </c>
      <c r="BE38" s="192">
        <f t="shared" si="69"/>
        <v>0</v>
      </c>
    </row>
    <row r="39" spans="3:57" x14ac:dyDescent="0.25">
      <c r="C39" s="157"/>
      <c r="D39" s="119"/>
      <c r="G39" s="69"/>
      <c r="H39" s="56"/>
      <c r="J39" s="69"/>
      <c r="K39" s="69"/>
      <c r="M39" s="158"/>
      <c r="T39" s="69"/>
      <c r="U39" s="69"/>
      <c r="V39" s="69"/>
      <c r="W39" s="69"/>
      <c r="X39" s="69"/>
      <c r="Y39" s="69"/>
      <c r="Z39" s="69"/>
      <c r="AA39" s="69"/>
      <c r="AB39" s="69"/>
      <c r="AC39" s="69"/>
      <c r="AD39" s="69"/>
      <c r="AE39" s="69"/>
      <c r="AF39" s="69"/>
      <c r="AG39" s="69"/>
      <c r="AH39" s="69"/>
      <c r="AI39" s="69"/>
      <c r="AJ39" s="69"/>
      <c r="AS39" s="123" t="s">
        <v>226</v>
      </c>
      <c r="AT39" s="26" t="str">
        <f>AT26</f>
        <v>Adam Moss</v>
      </c>
      <c r="AU39" s="192">
        <f>AL17*0.038</f>
        <v>0</v>
      </c>
      <c r="AV39" s="192">
        <f>AL17*0.077</f>
        <v>0</v>
      </c>
      <c r="AW39" s="192">
        <f>AL17*0.162</f>
        <v>0</v>
      </c>
      <c r="AX39" s="192">
        <f>AM17*0.944</f>
        <v>0</v>
      </c>
      <c r="AY39" s="192">
        <f>(AO17*0.126)</f>
        <v>9.6923076923076581E-3</v>
      </c>
      <c r="AZ39" s="192">
        <f>(AO17*0.251)</f>
        <v>1.9307692307692238E-2</v>
      </c>
      <c r="BA39" s="192">
        <f>(AO17*0.507)+(AP17*0.31)</f>
        <v>3.8999999999999861E-2</v>
      </c>
      <c r="BB39" s="200">
        <f>(0.5*AP17+0.3*AQ17)/10</f>
        <v>0</v>
      </c>
      <c r="BC39" s="200">
        <f>(0.4*AL17+0.3*AQ17)/10</f>
        <v>0</v>
      </c>
      <c r="BD39" s="200">
        <v>0</v>
      </c>
      <c r="BE39" s="200">
        <v>0</v>
      </c>
    </row>
    <row r="40" spans="3:57" x14ac:dyDescent="0.25">
      <c r="C40" s="157"/>
      <c r="D40" s="119"/>
      <c r="G40" s="69"/>
      <c r="H40" s="56"/>
      <c r="J40" s="69"/>
      <c r="K40" s="69"/>
      <c r="M40" s="158"/>
      <c r="T40" s="69"/>
      <c r="U40" s="69"/>
      <c r="V40" s="69"/>
      <c r="W40" s="69"/>
      <c r="X40" s="69"/>
      <c r="Y40" s="69"/>
      <c r="Z40" s="69"/>
      <c r="AA40" s="69"/>
      <c r="AB40" s="69"/>
      <c r="AC40" s="69"/>
      <c r="AD40" s="69"/>
      <c r="AE40" s="69"/>
      <c r="AF40" s="69"/>
      <c r="AG40" s="69"/>
      <c r="AH40" s="69"/>
      <c r="AI40" s="69"/>
      <c r="AJ40" s="69"/>
      <c r="AS40" s="123" t="s">
        <v>225</v>
      </c>
      <c r="AT40" s="26" t="str">
        <f>AT25</f>
        <v>Cezary Pauch</v>
      </c>
      <c r="AU40" s="192">
        <f>AU25</f>
        <v>0</v>
      </c>
      <c r="AV40" s="192">
        <f t="shared" ref="AV40:BE40" si="70">AV25</f>
        <v>0</v>
      </c>
      <c r="AW40" s="192">
        <f t="shared" si="70"/>
        <v>0</v>
      </c>
      <c r="AX40" s="192">
        <f t="shared" si="70"/>
        <v>0</v>
      </c>
      <c r="AY40" s="192">
        <f t="shared" si="70"/>
        <v>0</v>
      </c>
      <c r="AZ40" s="192">
        <f t="shared" si="70"/>
        <v>2.7111111111111013E-2</v>
      </c>
      <c r="BA40" s="192">
        <f t="shared" si="70"/>
        <v>1.3444444444444396E-2</v>
      </c>
      <c r="BB40" s="192">
        <f t="shared" si="70"/>
        <v>0</v>
      </c>
      <c r="BC40" s="192">
        <f t="shared" si="70"/>
        <v>0</v>
      </c>
      <c r="BD40" s="192">
        <f t="shared" si="70"/>
        <v>0</v>
      </c>
      <c r="BE40" s="192">
        <f t="shared" si="70"/>
        <v>0</v>
      </c>
    </row>
    <row r="41" spans="3:57" x14ac:dyDescent="0.25">
      <c r="C41" s="157"/>
      <c r="D41" s="119"/>
      <c r="G41" s="69"/>
      <c r="H41" s="56"/>
      <c r="J41" s="69"/>
      <c r="K41" s="69"/>
      <c r="M41" s="158"/>
      <c r="T41" s="69"/>
      <c r="U41" s="69"/>
      <c r="V41" s="69"/>
      <c r="W41" s="69"/>
      <c r="X41" s="69"/>
      <c r="Y41" s="69"/>
      <c r="Z41" s="69"/>
      <c r="AA41" s="69"/>
      <c r="AB41" s="69"/>
      <c r="AC41" s="69"/>
      <c r="AD41" s="69"/>
      <c r="AE41" s="69"/>
      <c r="AF41" s="69"/>
      <c r="AG41" s="69"/>
      <c r="AH41" s="69"/>
      <c r="AI41" s="69"/>
      <c r="AJ41" s="69"/>
      <c r="AS41" s="201" t="s">
        <v>44</v>
      </c>
      <c r="AT41" s="185" t="str">
        <f>AT26</f>
        <v>Adam Moss</v>
      </c>
      <c r="AU41" s="192">
        <f t="shared" ref="AU41:BE42" si="71">AU26</f>
        <v>0</v>
      </c>
      <c r="AV41" s="192">
        <f t="shared" si="71"/>
        <v>0</v>
      </c>
      <c r="AW41" s="192">
        <f t="shared" si="71"/>
        <v>0</v>
      </c>
      <c r="AX41" s="192">
        <f t="shared" si="71"/>
        <v>0</v>
      </c>
      <c r="AY41" s="192">
        <f t="shared" si="71"/>
        <v>1.0923076923076883E-2</v>
      </c>
      <c r="AZ41" s="192">
        <f t="shared" si="71"/>
        <v>1.0923076923076883E-2</v>
      </c>
      <c r="BA41" s="192">
        <f t="shared" si="71"/>
        <v>2.8384615384615283E-2</v>
      </c>
      <c r="BB41" s="192">
        <f t="shared" si="71"/>
        <v>0</v>
      </c>
      <c r="BC41" s="192">
        <f t="shared" si="71"/>
        <v>0</v>
      </c>
      <c r="BD41" s="192">
        <f t="shared" si="71"/>
        <v>0</v>
      </c>
      <c r="BE41" s="192">
        <f t="shared" si="71"/>
        <v>0</v>
      </c>
    </row>
    <row r="42" spans="3:57" x14ac:dyDescent="0.25">
      <c r="C42" s="157"/>
      <c r="D42" s="119"/>
      <c r="G42" s="69"/>
      <c r="H42" s="56"/>
      <c r="J42" s="69"/>
      <c r="K42" s="69"/>
      <c r="M42" s="158"/>
      <c r="T42" s="69"/>
      <c r="U42" s="69"/>
      <c r="V42" s="69"/>
      <c r="W42" s="69"/>
      <c r="X42" s="69"/>
      <c r="Y42" s="69"/>
      <c r="Z42" s="69"/>
      <c r="AA42" s="69"/>
      <c r="AB42" s="69"/>
      <c r="AC42" s="69"/>
      <c r="AD42" s="69"/>
      <c r="AE42" s="69"/>
      <c r="AF42" s="69"/>
      <c r="AG42" s="69"/>
      <c r="AH42" s="69"/>
      <c r="AI42" s="69"/>
      <c r="AJ42" s="69"/>
      <c r="AS42" s="123" t="s">
        <v>44</v>
      </c>
      <c r="AT42" s="26" t="str">
        <f>AT27</f>
        <v>Rasheed Da'na</v>
      </c>
      <c r="AU42" s="192">
        <f t="shared" si="71"/>
        <v>0</v>
      </c>
      <c r="AV42" s="192">
        <f t="shared" si="71"/>
        <v>0</v>
      </c>
      <c r="AW42" s="192">
        <f t="shared" si="71"/>
        <v>0</v>
      </c>
      <c r="AX42" s="192">
        <f t="shared" si="71"/>
        <v>0</v>
      </c>
      <c r="AY42" s="192">
        <f t="shared" si="71"/>
        <v>1.0923076923076883E-2</v>
      </c>
      <c r="AZ42" s="192">
        <f t="shared" si="71"/>
        <v>1.0923076923076883E-2</v>
      </c>
      <c r="BA42" s="192">
        <f t="shared" si="71"/>
        <v>2.8384615384615283E-2</v>
      </c>
      <c r="BB42" s="192">
        <f t="shared" si="71"/>
        <v>0</v>
      </c>
      <c r="BC42" s="192">
        <f t="shared" si="71"/>
        <v>0</v>
      </c>
      <c r="BD42" s="192">
        <f t="shared" si="71"/>
        <v>0</v>
      </c>
      <c r="BE42" s="192">
        <f t="shared" si="71"/>
        <v>0</v>
      </c>
    </row>
    <row r="43" spans="3:57" x14ac:dyDescent="0.25">
      <c r="C43" s="157"/>
      <c r="D43" s="119"/>
      <c r="G43" s="69"/>
      <c r="H43" s="56"/>
      <c r="J43" s="69"/>
      <c r="K43" s="69"/>
      <c r="M43" s="158"/>
      <c r="T43" s="69"/>
      <c r="U43" s="69"/>
      <c r="V43" s="69"/>
      <c r="W43" s="69"/>
      <c r="X43" s="69"/>
      <c r="Y43" s="69"/>
      <c r="Z43" s="69"/>
      <c r="AA43" s="69"/>
      <c r="AB43" s="69"/>
      <c r="AC43" s="69"/>
      <c r="AD43" s="69"/>
      <c r="AE43" s="69"/>
      <c r="AF43" s="69"/>
      <c r="AG43" s="69"/>
      <c r="AH43" s="69"/>
      <c r="AI43" s="69"/>
      <c r="AJ43" s="69"/>
    </row>
    <row r="44" spans="3:57" x14ac:dyDescent="0.25">
      <c r="C44" s="157"/>
      <c r="D44" s="119"/>
      <c r="G44" s="69"/>
      <c r="H44" s="56"/>
      <c r="J44" s="69"/>
      <c r="K44" s="69"/>
      <c r="M44" s="158"/>
      <c r="T44" s="69"/>
      <c r="U44" s="69"/>
      <c r="V44" s="69"/>
      <c r="W44" s="69"/>
      <c r="X44" s="69"/>
      <c r="Y44" s="69"/>
      <c r="Z44" s="69"/>
      <c r="AA44" s="69"/>
      <c r="AB44" s="69"/>
      <c r="AC44" s="69"/>
      <c r="AD44" s="69"/>
      <c r="AE44" s="69"/>
      <c r="AF44" s="69"/>
      <c r="AG44" s="69"/>
      <c r="AH44" s="69"/>
      <c r="AI44" s="69"/>
      <c r="AJ44" s="69"/>
    </row>
    <row r="45" spans="3:57" x14ac:dyDescent="0.25">
      <c r="C45" s="157"/>
      <c r="D45" s="119"/>
      <c r="G45" s="69"/>
      <c r="H45" s="56"/>
      <c r="J45" s="69"/>
      <c r="K45" s="69"/>
      <c r="M45" s="158"/>
      <c r="T45" s="69"/>
      <c r="U45" s="69"/>
      <c r="V45" s="69"/>
      <c r="W45" s="69"/>
      <c r="X45" s="69"/>
      <c r="Y45" s="69"/>
      <c r="Z45" s="69"/>
      <c r="AA45" s="69"/>
      <c r="AB45" s="69"/>
      <c r="AC45" s="69"/>
      <c r="AD45" s="69"/>
      <c r="AE45" s="69"/>
      <c r="AF45" s="69"/>
      <c r="AG45" s="69"/>
      <c r="AH45" s="69"/>
      <c r="AI45" s="69"/>
      <c r="AJ45" s="69"/>
    </row>
    <row r="46" spans="3:57" x14ac:dyDescent="0.25">
      <c r="C46" s="157"/>
      <c r="D46" s="119"/>
      <c r="G46" s="69"/>
      <c r="H46" s="56"/>
      <c r="J46" s="69"/>
      <c r="K46" s="69"/>
      <c r="M46" s="158"/>
      <c r="T46" s="69"/>
      <c r="U46" s="69"/>
      <c r="V46" s="69"/>
      <c r="W46" s="69"/>
      <c r="X46" s="69"/>
      <c r="Y46" s="69"/>
      <c r="Z46" s="69"/>
      <c r="AA46" s="69"/>
      <c r="AB46" s="69"/>
      <c r="AC46" s="69"/>
      <c r="AD46" s="69"/>
      <c r="AE46" s="69"/>
      <c r="AF46" s="69"/>
      <c r="AG46" s="69"/>
      <c r="AH46" s="69"/>
      <c r="AI46" s="69"/>
      <c r="AJ46" s="69"/>
    </row>
    <row r="47" spans="3:57" x14ac:dyDescent="0.25">
      <c r="C47" s="157"/>
      <c r="D47" s="119"/>
      <c r="G47" s="69"/>
      <c r="H47" s="56"/>
      <c r="J47" s="69"/>
      <c r="K47" s="69"/>
      <c r="M47" s="158"/>
      <c r="T47" s="69"/>
      <c r="U47" s="69"/>
      <c r="V47" s="69"/>
      <c r="W47" s="69"/>
      <c r="X47" s="69"/>
      <c r="Y47" s="69"/>
      <c r="Z47" s="69"/>
      <c r="AA47" s="69"/>
      <c r="AB47" s="69"/>
      <c r="AC47" s="69"/>
      <c r="AD47" s="69"/>
      <c r="AE47" s="69"/>
      <c r="AF47" s="69"/>
      <c r="AG47" s="69"/>
      <c r="AH47" s="69"/>
      <c r="AI47" s="69"/>
      <c r="AJ47" s="69"/>
    </row>
    <row r="48" spans="3:57" x14ac:dyDescent="0.25">
      <c r="C48" s="157"/>
      <c r="D48" s="119"/>
      <c r="G48" s="69"/>
      <c r="H48" s="56"/>
      <c r="J48" s="69"/>
      <c r="K48" s="69"/>
      <c r="M48" s="158"/>
      <c r="T48" s="69"/>
      <c r="U48" s="69"/>
      <c r="V48" s="69"/>
      <c r="W48" s="69"/>
      <c r="X48" s="69"/>
      <c r="Y48" s="69"/>
      <c r="Z48" s="69"/>
      <c r="AA48" s="69"/>
      <c r="AB48" s="69"/>
      <c r="AC48" s="69"/>
      <c r="AD48" s="69"/>
      <c r="AE48" s="69"/>
      <c r="AF48" s="69"/>
      <c r="AG48" s="69"/>
      <c r="AH48" s="69"/>
      <c r="AI48" s="69"/>
      <c r="AJ48" s="69"/>
    </row>
    <row r="49" spans="3:36" x14ac:dyDescent="0.25">
      <c r="C49" s="157"/>
      <c r="D49" s="119"/>
      <c r="G49" s="69"/>
      <c r="H49" s="56"/>
      <c r="J49" s="69"/>
      <c r="K49" s="69"/>
      <c r="M49" s="158"/>
      <c r="T49" s="69"/>
      <c r="U49" s="69"/>
      <c r="V49" s="69"/>
      <c r="W49" s="69"/>
      <c r="X49" s="69"/>
      <c r="Y49" s="69"/>
      <c r="Z49" s="69"/>
      <c r="AA49" s="69"/>
      <c r="AB49" s="69"/>
      <c r="AC49" s="69"/>
      <c r="AD49" s="69"/>
      <c r="AE49" s="69"/>
      <c r="AF49" s="69"/>
      <c r="AG49" s="69"/>
      <c r="AH49" s="69"/>
      <c r="AI49" s="69"/>
      <c r="AJ49" s="69"/>
    </row>
    <row r="50" spans="3:36" x14ac:dyDescent="0.25">
      <c r="C50" s="157"/>
      <c r="D50" s="119"/>
      <c r="G50" s="69"/>
      <c r="H50" s="56"/>
      <c r="J50" s="69"/>
      <c r="K50" s="69"/>
      <c r="M50" s="158"/>
      <c r="T50" s="69"/>
      <c r="U50" s="69"/>
      <c r="V50" s="69"/>
      <c r="W50" s="69"/>
      <c r="X50" s="69"/>
      <c r="Y50" s="69"/>
      <c r="Z50" s="69"/>
      <c r="AA50" s="69"/>
      <c r="AB50" s="69"/>
      <c r="AC50" s="69"/>
      <c r="AD50" s="69"/>
      <c r="AE50" s="69"/>
      <c r="AF50" s="69"/>
      <c r="AG50" s="69"/>
      <c r="AH50" s="69"/>
      <c r="AI50" s="69"/>
      <c r="AJ50" s="69"/>
    </row>
    <row r="51" spans="3:36" x14ac:dyDescent="0.25">
      <c r="C51" s="157"/>
      <c r="D51" s="119"/>
      <c r="G51" s="69"/>
      <c r="H51" s="56"/>
      <c r="J51" s="69"/>
      <c r="K51" s="69"/>
      <c r="M51" s="158"/>
      <c r="T51" s="69"/>
      <c r="U51" s="69"/>
      <c r="V51" s="69"/>
      <c r="W51" s="69"/>
      <c r="X51" s="69"/>
      <c r="Y51" s="69"/>
      <c r="Z51" s="69"/>
      <c r="AA51" s="69"/>
      <c r="AB51" s="69"/>
      <c r="AC51" s="69"/>
      <c r="AD51" s="69"/>
      <c r="AE51" s="69"/>
      <c r="AF51" s="69"/>
      <c r="AG51" s="69"/>
      <c r="AH51" s="69"/>
      <c r="AI51" s="69"/>
      <c r="AJ51" s="69"/>
    </row>
    <row r="52" spans="3:36" x14ac:dyDescent="0.25">
      <c r="C52" s="157"/>
      <c r="D52" s="119"/>
      <c r="G52" s="69"/>
      <c r="H52" s="56"/>
      <c r="J52" s="69"/>
      <c r="K52" s="69"/>
      <c r="M52" s="158"/>
      <c r="T52" s="69"/>
      <c r="U52" s="69"/>
      <c r="V52" s="69"/>
      <c r="W52" s="69"/>
      <c r="X52" s="69"/>
      <c r="Y52" s="69"/>
      <c r="Z52" s="69"/>
      <c r="AA52" s="69"/>
      <c r="AB52" s="69"/>
      <c r="AC52" s="69"/>
      <c r="AD52" s="69"/>
      <c r="AE52" s="69"/>
      <c r="AF52" s="69"/>
      <c r="AG52" s="69"/>
      <c r="AH52" s="69"/>
      <c r="AI52" s="69"/>
      <c r="AJ52" s="69"/>
    </row>
    <row r="53" spans="3:36" x14ac:dyDescent="0.25">
      <c r="C53" s="157"/>
      <c r="D53" s="119"/>
      <c r="G53" s="69"/>
      <c r="H53" s="56"/>
      <c r="J53" s="69"/>
      <c r="K53" s="69"/>
      <c r="M53" s="158"/>
      <c r="T53" s="69"/>
      <c r="U53" s="69"/>
      <c r="V53" s="69"/>
      <c r="W53" s="69"/>
      <c r="X53" s="69"/>
      <c r="Y53" s="69"/>
      <c r="Z53" s="69"/>
      <c r="AA53" s="69"/>
      <c r="AB53" s="69"/>
      <c r="AC53" s="69"/>
      <c r="AD53" s="69"/>
      <c r="AE53" s="69"/>
      <c r="AF53" s="69"/>
      <c r="AG53" s="69"/>
      <c r="AH53" s="69"/>
      <c r="AI53" s="69"/>
      <c r="AJ53" s="69"/>
    </row>
    <row r="54" spans="3:36" x14ac:dyDescent="0.25">
      <c r="C54" s="157"/>
      <c r="D54" s="119"/>
      <c r="G54" s="69"/>
      <c r="H54" s="56"/>
      <c r="J54" s="69"/>
      <c r="K54" s="69"/>
      <c r="M54" s="158"/>
      <c r="T54" s="69"/>
      <c r="U54" s="69"/>
      <c r="V54" s="69"/>
      <c r="W54" s="69"/>
      <c r="X54" s="69"/>
      <c r="Y54" s="69"/>
      <c r="Z54" s="69"/>
      <c r="AA54" s="69"/>
      <c r="AB54" s="69"/>
      <c r="AC54" s="69"/>
      <c r="AD54" s="69"/>
      <c r="AE54" s="69"/>
      <c r="AF54" s="69"/>
      <c r="AG54" s="69"/>
      <c r="AH54" s="69"/>
      <c r="AI54" s="69"/>
      <c r="AJ54" s="69"/>
    </row>
    <row r="55" spans="3:36" x14ac:dyDescent="0.25">
      <c r="C55" s="157"/>
      <c r="D55" s="119"/>
      <c r="G55" s="69"/>
      <c r="H55" s="56"/>
      <c r="J55" s="69"/>
      <c r="K55" s="69"/>
      <c r="M55" s="158"/>
      <c r="T55" s="69"/>
      <c r="U55" s="69"/>
      <c r="V55" s="69"/>
      <c r="W55" s="69"/>
      <c r="X55" s="69"/>
      <c r="Y55" s="69"/>
      <c r="Z55" s="69"/>
      <c r="AA55" s="69"/>
      <c r="AB55" s="69"/>
      <c r="AC55" s="69"/>
      <c r="AD55" s="69"/>
      <c r="AE55" s="69"/>
      <c r="AF55" s="69"/>
      <c r="AG55" s="69"/>
      <c r="AH55" s="69"/>
      <c r="AI55" s="69"/>
      <c r="AJ55" s="69"/>
    </row>
    <row r="56" spans="3:36" x14ac:dyDescent="0.25">
      <c r="C56" s="157"/>
      <c r="D56" s="119"/>
      <c r="G56" s="69"/>
      <c r="H56" s="56"/>
      <c r="J56" s="69"/>
      <c r="K56" s="69"/>
      <c r="M56" s="158"/>
      <c r="T56" s="69"/>
      <c r="U56" s="69"/>
      <c r="V56" s="69"/>
      <c r="W56" s="69"/>
      <c r="X56" s="69"/>
      <c r="Y56" s="69"/>
      <c r="Z56" s="69"/>
      <c r="AA56" s="69"/>
      <c r="AB56" s="69"/>
      <c r="AC56" s="69"/>
      <c r="AD56" s="69"/>
      <c r="AE56" s="69"/>
      <c r="AF56" s="69"/>
      <c r="AG56" s="69"/>
      <c r="AH56" s="69"/>
      <c r="AI56" s="69"/>
      <c r="AJ56" s="69"/>
    </row>
    <row r="57" spans="3:36" x14ac:dyDescent="0.25">
      <c r="C57" s="157"/>
      <c r="D57" s="119"/>
      <c r="G57" s="69"/>
      <c r="H57" s="56"/>
      <c r="J57" s="69"/>
      <c r="K57" s="69"/>
      <c r="M57" s="158"/>
      <c r="T57" s="69"/>
      <c r="U57" s="69"/>
      <c r="V57" s="69"/>
      <c r="W57" s="69"/>
      <c r="X57" s="69"/>
      <c r="Y57" s="69"/>
      <c r="Z57" s="69"/>
      <c r="AA57" s="69"/>
      <c r="AB57" s="69"/>
      <c r="AC57" s="69"/>
      <c r="AD57" s="69"/>
      <c r="AE57" s="69"/>
      <c r="AF57" s="69"/>
      <c r="AG57" s="69"/>
      <c r="AH57" s="69"/>
      <c r="AI57" s="69"/>
      <c r="AJ57" s="69"/>
    </row>
    <row r="58" spans="3:36" x14ac:dyDescent="0.25">
      <c r="C58" s="157"/>
      <c r="D58" s="119"/>
      <c r="G58" s="69"/>
      <c r="H58" s="56"/>
      <c r="J58" s="69"/>
      <c r="K58" s="69"/>
      <c r="M58" s="158"/>
      <c r="T58" s="69"/>
      <c r="U58" s="69"/>
      <c r="V58" s="69"/>
      <c r="W58" s="69"/>
      <c r="X58" s="69"/>
      <c r="Y58" s="69"/>
      <c r="Z58" s="69"/>
      <c r="AA58" s="69"/>
      <c r="AB58" s="69"/>
      <c r="AC58" s="69"/>
      <c r="AD58" s="69"/>
      <c r="AE58" s="69"/>
      <c r="AF58" s="69"/>
      <c r="AG58" s="69"/>
      <c r="AH58" s="69"/>
      <c r="AI58" s="69"/>
      <c r="AJ58" s="69"/>
    </row>
    <row r="59" spans="3:36" x14ac:dyDescent="0.25">
      <c r="C59" s="157"/>
      <c r="D59" s="119"/>
      <c r="G59" s="69"/>
      <c r="H59" s="56"/>
      <c r="J59" s="69"/>
      <c r="K59" s="69"/>
      <c r="M59" s="158"/>
      <c r="T59" s="69"/>
      <c r="U59" s="69"/>
      <c r="V59" s="69"/>
      <c r="W59" s="69"/>
      <c r="X59" s="69"/>
      <c r="Y59" s="69"/>
      <c r="Z59" s="69"/>
      <c r="AA59" s="69"/>
      <c r="AB59" s="69"/>
      <c r="AC59" s="69"/>
      <c r="AD59" s="69"/>
      <c r="AE59" s="69"/>
      <c r="AF59" s="69"/>
      <c r="AG59" s="69"/>
      <c r="AH59" s="69"/>
      <c r="AI59" s="69"/>
      <c r="AJ59" s="69"/>
    </row>
    <row r="60" spans="3:36" x14ac:dyDescent="0.25">
      <c r="C60" s="157"/>
      <c r="D60" s="119"/>
      <c r="G60" s="69"/>
      <c r="H60" s="56"/>
      <c r="J60" s="69"/>
      <c r="K60" s="69"/>
      <c r="M60" s="158"/>
      <c r="T60" s="69"/>
      <c r="U60" s="69"/>
      <c r="V60" s="69"/>
      <c r="W60" s="69"/>
      <c r="X60" s="69"/>
      <c r="Y60" s="69"/>
      <c r="Z60" s="69"/>
      <c r="AA60" s="69"/>
      <c r="AB60" s="69"/>
      <c r="AC60" s="69"/>
      <c r="AD60" s="69"/>
      <c r="AE60" s="69"/>
      <c r="AF60" s="69"/>
      <c r="AG60" s="69"/>
      <c r="AH60" s="69"/>
      <c r="AI60" s="69"/>
      <c r="AJ60" s="69"/>
    </row>
    <row r="61" spans="3:36" x14ac:dyDescent="0.25">
      <c r="C61" s="157"/>
      <c r="D61" s="119"/>
      <c r="G61" s="69"/>
      <c r="H61" s="56"/>
      <c r="J61" s="69"/>
      <c r="K61" s="69"/>
      <c r="M61" s="158"/>
      <c r="T61" s="69"/>
      <c r="U61" s="69"/>
      <c r="V61" s="69"/>
      <c r="W61" s="69"/>
      <c r="X61" s="69"/>
      <c r="Y61" s="69"/>
      <c r="Z61" s="69"/>
      <c r="AA61" s="69"/>
      <c r="AB61" s="69"/>
      <c r="AC61" s="69"/>
      <c r="AD61" s="69"/>
      <c r="AE61" s="69"/>
      <c r="AF61" s="69"/>
      <c r="AG61" s="69"/>
      <c r="AH61" s="69"/>
      <c r="AI61" s="69"/>
      <c r="AJ61" s="69"/>
    </row>
    <row r="62" spans="3:36" x14ac:dyDescent="0.25">
      <c r="C62" s="157"/>
      <c r="D62" s="119"/>
      <c r="G62" s="69"/>
      <c r="H62" s="56"/>
      <c r="J62" s="69"/>
      <c r="K62" s="69"/>
      <c r="M62" s="158"/>
      <c r="T62" s="69"/>
      <c r="U62" s="69"/>
      <c r="V62" s="69"/>
      <c r="W62" s="69"/>
      <c r="X62" s="69"/>
      <c r="Y62" s="69"/>
      <c r="Z62" s="69"/>
      <c r="AA62" s="69"/>
      <c r="AB62" s="69"/>
      <c r="AC62" s="69"/>
      <c r="AD62" s="69"/>
      <c r="AE62" s="69"/>
      <c r="AF62" s="69"/>
      <c r="AG62" s="69"/>
      <c r="AH62" s="69"/>
      <c r="AI62" s="69"/>
      <c r="AJ62" s="69"/>
    </row>
    <row r="63" spans="3:36" x14ac:dyDescent="0.25">
      <c r="C63" s="157"/>
      <c r="D63" s="119"/>
      <c r="G63" s="69"/>
      <c r="H63" s="56"/>
      <c r="J63" s="69"/>
      <c r="K63" s="69"/>
      <c r="M63" s="158"/>
      <c r="T63" s="69"/>
      <c r="U63" s="69"/>
      <c r="V63" s="69"/>
      <c r="W63" s="69"/>
      <c r="X63" s="69"/>
      <c r="Y63" s="69"/>
      <c r="Z63" s="69"/>
      <c r="AA63" s="69"/>
      <c r="AB63" s="69"/>
      <c r="AC63" s="69"/>
      <c r="AD63" s="69"/>
      <c r="AE63" s="69"/>
      <c r="AF63" s="69"/>
      <c r="AG63" s="69"/>
      <c r="AH63" s="69"/>
      <c r="AI63" s="69"/>
      <c r="AJ63" s="69"/>
    </row>
    <row r="64" spans="3:36" x14ac:dyDescent="0.25">
      <c r="C64" s="157"/>
      <c r="D64" s="119"/>
      <c r="G64" s="69"/>
      <c r="H64" s="56"/>
      <c r="J64" s="69"/>
      <c r="K64" s="69"/>
      <c r="M64" s="158"/>
      <c r="T64" s="69"/>
      <c r="U64" s="69"/>
      <c r="V64" s="69"/>
      <c r="W64" s="69"/>
      <c r="X64" s="69"/>
      <c r="Y64" s="69"/>
      <c r="Z64" s="69"/>
      <c r="AA64" s="69"/>
      <c r="AB64" s="69"/>
      <c r="AC64" s="69"/>
      <c r="AD64" s="69"/>
      <c r="AE64" s="69"/>
      <c r="AF64" s="69"/>
      <c r="AG64" s="69"/>
      <c r="AH64" s="69"/>
      <c r="AI64" s="69"/>
      <c r="AJ64" s="69"/>
    </row>
    <row r="65" spans="3:36" x14ac:dyDescent="0.25">
      <c r="C65" s="157"/>
      <c r="D65" s="119"/>
      <c r="G65" s="69"/>
      <c r="H65" s="56"/>
      <c r="J65" s="69"/>
      <c r="K65" s="69"/>
      <c r="M65" s="158"/>
      <c r="T65" s="69"/>
      <c r="U65" s="69"/>
      <c r="V65" s="69"/>
      <c r="W65" s="69"/>
      <c r="X65" s="69"/>
      <c r="Y65" s="69"/>
      <c r="Z65" s="69"/>
      <c r="AA65" s="69"/>
      <c r="AB65" s="69"/>
      <c r="AC65" s="69"/>
      <c r="AD65" s="69"/>
      <c r="AE65" s="69"/>
      <c r="AF65" s="69"/>
      <c r="AG65" s="69"/>
      <c r="AH65" s="69"/>
      <c r="AI65" s="69"/>
      <c r="AJ65" s="69"/>
    </row>
    <row r="66" spans="3:36" x14ac:dyDescent="0.25">
      <c r="C66" s="157"/>
      <c r="D66" s="119"/>
      <c r="G66" s="69"/>
      <c r="H66" s="56"/>
      <c r="J66" s="69"/>
      <c r="K66" s="69"/>
      <c r="M66" s="158"/>
      <c r="T66" s="69"/>
      <c r="U66" s="69"/>
      <c r="V66" s="69"/>
      <c r="W66" s="69"/>
      <c r="X66" s="69"/>
      <c r="Y66" s="69"/>
      <c r="Z66" s="69"/>
      <c r="AA66" s="69"/>
      <c r="AB66" s="69"/>
      <c r="AC66" s="69"/>
      <c r="AD66" s="69"/>
      <c r="AE66" s="69"/>
      <c r="AF66" s="69"/>
      <c r="AG66" s="69"/>
      <c r="AH66" s="69"/>
      <c r="AI66" s="69"/>
      <c r="AJ66" s="69"/>
    </row>
    <row r="67" spans="3:36" x14ac:dyDescent="0.25">
      <c r="C67" s="157"/>
      <c r="D67" s="119"/>
      <c r="G67" s="69"/>
      <c r="H67" s="56"/>
      <c r="J67" s="69"/>
      <c r="K67" s="69"/>
      <c r="M67" s="158"/>
      <c r="T67" s="69"/>
      <c r="U67" s="69"/>
      <c r="V67" s="69"/>
      <c r="W67" s="69"/>
      <c r="X67" s="69"/>
      <c r="Y67" s="69"/>
      <c r="Z67" s="69"/>
      <c r="AA67" s="69"/>
      <c r="AB67" s="69"/>
      <c r="AC67" s="69"/>
      <c r="AD67" s="69"/>
      <c r="AE67" s="69"/>
      <c r="AF67" s="69"/>
      <c r="AG67" s="69"/>
      <c r="AH67" s="69"/>
      <c r="AI67" s="69"/>
      <c r="AJ67" s="69"/>
    </row>
    <row r="68" spans="3:36" x14ac:dyDescent="0.25">
      <c r="C68" s="157"/>
      <c r="D68" s="119"/>
      <c r="G68" s="69"/>
      <c r="H68" s="56"/>
      <c r="J68" s="69"/>
      <c r="K68" s="69"/>
      <c r="M68" s="158"/>
      <c r="T68" s="69"/>
      <c r="U68" s="69"/>
      <c r="V68" s="69"/>
      <c r="W68" s="69"/>
      <c r="X68" s="69"/>
      <c r="Y68" s="69"/>
      <c r="Z68" s="69"/>
      <c r="AA68" s="69"/>
      <c r="AB68" s="69"/>
      <c r="AC68" s="69"/>
      <c r="AD68" s="69"/>
      <c r="AE68" s="69"/>
      <c r="AF68" s="69"/>
      <c r="AG68" s="69"/>
      <c r="AH68" s="69"/>
      <c r="AI68" s="69"/>
      <c r="AJ68" s="69"/>
    </row>
    <row r="69" spans="3:36" x14ac:dyDescent="0.25">
      <c r="C69" s="157"/>
      <c r="D69" s="119"/>
      <c r="G69" s="69"/>
      <c r="H69" s="56"/>
      <c r="J69" s="69"/>
      <c r="K69" s="69"/>
      <c r="M69" s="158"/>
      <c r="T69" s="69"/>
      <c r="U69" s="69"/>
      <c r="V69" s="69"/>
      <c r="W69" s="69"/>
      <c r="X69" s="69"/>
      <c r="Y69" s="69"/>
      <c r="Z69" s="69"/>
      <c r="AA69" s="69"/>
      <c r="AB69" s="69"/>
      <c r="AC69" s="69"/>
      <c r="AD69" s="69"/>
      <c r="AE69" s="69"/>
      <c r="AF69" s="69"/>
      <c r="AG69" s="69"/>
      <c r="AH69" s="69"/>
      <c r="AI69" s="69"/>
      <c r="AJ69" s="69"/>
    </row>
    <row r="70" spans="3:36" x14ac:dyDescent="0.25">
      <c r="C70" s="157"/>
      <c r="D70" s="119"/>
      <c r="G70" s="69"/>
      <c r="H70" s="56"/>
      <c r="J70" s="69"/>
      <c r="K70" s="69"/>
      <c r="M70" s="158"/>
      <c r="T70" s="69"/>
      <c r="U70" s="69"/>
      <c r="V70" s="69"/>
      <c r="W70" s="69"/>
      <c r="X70" s="69"/>
      <c r="Y70" s="69"/>
      <c r="Z70" s="69"/>
      <c r="AA70" s="69"/>
      <c r="AB70" s="69"/>
      <c r="AC70" s="69"/>
      <c r="AD70" s="69"/>
      <c r="AE70" s="69"/>
      <c r="AF70" s="69"/>
      <c r="AG70" s="69"/>
      <c r="AH70" s="69"/>
      <c r="AI70" s="69"/>
      <c r="AJ70" s="69"/>
    </row>
    <row r="71" spans="3:36" x14ac:dyDescent="0.25">
      <c r="C71" s="157"/>
      <c r="D71" s="119"/>
      <c r="G71" s="69"/>
      <c r="H71" s="56"/>
      <c r="J71" s="69"/>
      <c r="K71" s="69"/>
      <c r="M71" s="158"/>
      <c r="T71" s="69"/>
      <c r="U71" s="69"/>
      <c r="V71" s="69"/>
      <c r="W71" s="69"/>
      <c r="X71" s="69"/>
      <c r="Y71" s="69"/>
      <c r="Z71" s="69"/>
      <c r="AA71" s="69"/>
      <c r="AB71" s="69"/>
      <c r="AC71" s="69"/>
      <c r="AD71" s="69"/>
      <c r="AE71" s="69"/>
      <c r="AF71" s="69"/>
      <c r="AG71" s="69"/>
      <c r="AH71" s="69"/>
      <c r="AI71" s="69"/>
      <c r="AJ71" s="69"/>
    </row>
  </sheetData>
  <mergeCells count="6">
    <mergeCell ref="AS17:AT17"/>
    <mergeCell ref="AS31:AT31"/>
    <mergeCell ref="T1:V1"/>
    <mergeCell ref="X1:Y1"/>
    <mergeCell ref="AS1:BE1"/>
    <mergeCell ref="AS3:AT3"/>
  </mergeCells>
  <conditionalFormatting sqref="AK4:AQ18">
    <cfRule type="cellIs" dxfId="28" priority="61" operator="greaterThan">
      <formula>0</formula>
    </cfRule>
  </conditionalFormatting>
  <conditionalFormatting sqref="AU4:BA10 AU12:BA14">
    <cfRule type="cellIs" dxfId="27" priority="60" operator="greaterThan">
      <formula>0</formula>
    </cfRule>
  </conditionalFormatting>
  <conditionalFormatting sqref="T4:Z18">
    <cfRule type="cellIs" dxfId="26" priority="57" operator="lessThan">
      <formula>0.2</formula>
    </cfRule>
    <cfRule type="cellIs" dxfId="25" priority="58" operator="greaterThan">
      <formula>0.9</formula>
    </cfRule>
  </conditionalFormatting>
  <conditionalFormatting sqref="AU21:BE23">
    <cfRule type="cellIs" dxfId="24" priority="56" operator="greaterThan">
      <formula>0</formula>
    </cfRule>
  </conditionalFormatting>
  <conditionalFormatting sqref="AU18:BE19">
    <cfRule type="cellIs" dxfId="23" priority="52" operator="greaterThan">
      <formula>0</formula>
    </cfRule>
  </conditionalFormatting>
  <conditionalFormatting sqref="AU25:BE27">
    <cfRule type="cellIs" dxfId="22" priority="40" operator="greaterThan">
      <formula>0</formula>
    </cfRule>
  </conditionalFormatting>
  <conditionalFormatting sqref="AU20:BE20">
    <cfRule type="cellIs" dxfId="21" priority="29" operator="greaterThan">
      <formula>0</formula>
    </cfRule>
  </conditionalFormatting>
  <conditionalFormatting sqref="AU2:BA2">
    <cfRule type="cellIs" dxfId="20" priority="25" operator="greaterThan">
      <formula>0</formula>
    </cfRule>
  </conditionalFormatting>
  <conditionalFormatting sqref="AU16:BA16">
    <cfRule type="cellIs" dxfId="19" priority="24" operator="greaterThan">
      <formula>0</formula>
    </cfRule>
  </conditionalFormatting>
  <conditionalFormatting sqref="I4:I6 I8:I18">
    <cfRule type="cellIs" dxfId="18" priority="20" operator="lessThan">
      <formula>5</formula>
    </cfRule>
    <cfRule type="cellIs" dxfId="17" priority="21" operator="between">
      <formula>5</formula>
      <formula>7</formula>
    </cfRule>
    <cfRule type="cellIs" dxfId="16" priority="22" operator="greaterThan">
      <formula>7</formula>
    </cfRule>
  </conditionalFormatting>
  <conditionalFormatting sqref="I7">
    <cfRule type="cellIs" dxfId="15" priority="17" operator="lessThan">
      <formula>5</formula>
    </cfRule>
    <cfRule type="cellIs" dxfId="14" priority="18" operator="between">
      <formula>5</formula>
      <formula>5.6</formula>
    </cfRule>
    <cfRule type="cellIs" dxfId="13" priority="19" operator="greaterThan">
      <formula>5.6</formula>
    </cfRule>
  </conditionalFormatting>
  <conditionalFormatting sqref="M4:S18">
    <cfRule type="cellIs" dxfId="12" priority="1638" operator="greaterThan">
      <formula>8</formula>
    </cfRule>
    <cfRule type="colorScale" priority="1639">
      <colorScale>
        <cfvo type="min"/>
        <cfvo type="max"/>
        <color rgb="FFFFEF9C"/>
        <color rgb="FFFF7128"/>
      </colorScale>
    </cfRule>
  </conditionalFormatting>
  <conditionalFormatting sqref="AD4:AJ18">
    <cfRule type="colorScale" priority="1642">
      <colorScale>
        <cfvo type="min"/>
        <cfvo type="max"/>
        <color rgb="FFFFEF9C"/>
        <color rgb="FF63BE7B"/>
      </colorScale>
    </cfRule>
  </conditionalFormatting>
  <conditionalFormatting sqref="C4:C18">
    <cfRule type="colorScale" priority="1650">
      <colorScale>
        <cfvo type="min"/>
        <cfvo type="max"/>
        <color rgb="FFFFEF9C"/>
        <color rgb="FF63BE7B"/>
      </colorScale>
    </cfRule>
  </conditionalFormatting>
  <conditionalFormatting sqref="AU36:BA36 AU38:BE38">
    <cfRule type="cellIs" dxfId="11" priority="16" operator="greaterThan">
      <formula>0</formula>
    </cfRule>
  </conditionalFormatting>
  <conditionalFormatting sqref="AU32:BE32">
    <cfRule type="cellIs" dxfId="10" priority="15" operator="greaterThan">
      <formula>0</formula>
    </cfRule>
  </conditionalFormatting>
  <conditionalFormatting sqref="AU37:BE37">
    <cfRule type="cellIs" dxfId="9" priority="14" operator="greaterThan">
      <formula>0</formula>
    </cfRule>
  </conditionalFormatting>
  <conditionalFormatting sqref="AU40:BE42">
    <cfRule type="cellIs" dxfId="8" priority="12" operator="greaterThan">
      <formula>0</formula>
    </cfRule>
  </conditionalFormatting>
  <conditionalFormatting sqref="AU34:BE34">
    <cfRule type="cellIs" dxfId="7" priority="9" operator="greaterThan">
      <formula>0</formula>
    </cfRule>
  </conditionalFormatting>
  <conditionalFormatting sqref="AU30:BA30">
    <cfRule type="cellIs" dxfId="6" priority="7" operator="greaterThan">
      <formula>0</formula>
    </cfRule>
  </conditionalFormatting>
  <conditionalFormatting sqref="AU11:BA11">
    <cfRule type="cellIs" dxfId="5" priority="6" operator="greaterThan">
      <formula>0</formula>
    </cfRule>
  </conditionalFormatting>
  <conditionalFormatting sqref="AU28:BA28">
    <cfRule type="cellIs" dxfId="4" priority="5" operator="greaterThan">
      <formula>0</formula>
    </cfRule>
  </conditionalFormatting>
  <conditionalFormatting sqref="AU24:BA24">
    <cfRule type="cellIs" dxfId="3" priority="4" operator="greaterThan">
      <formula>0</formula>
    </cfRule>
  </conditionalFormatting>
  <conditionalFormatting sqref="AU33:BA33">
    <cfRule type="cellIs" dxfId="2" priority="3" operator="greaterThan">
      <formula>0</formula>
    </cfRule>
  </conditionalFormatting>
  <conditionalFormatting sqref="AU35:BA35">
    <cfRule type="cellIs" dxfId="1" priority="2" operator="greaterThan">
      <formula>0</formula>
    </cfRule>
  </conditionalFormatting>
  <conditionalFormatting sqref="AU39:BA39">
    <cfRule type="cellIs" dxfId="0" priority="1" operator="greaterThan">
      <formula>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tabSelected="1" workbookViewId="0">
      <selection activeCell="D9" sqref="D9"/>
    </sheetView>
  </sheetViews>
  <sheetFormatPr baseColWidth="10" defaultColWidth="11.42578125" defaultRowHeight="15" x14ac:dyDescent="0.25"/>
  <cols>
    <col min="1" max="1" width="13.42578125" bestFit="1" customWidth="1"/>
  </cols>
  <sheetData>
    <row r="1" spans="1:14" x14ac:dyDescent="0.25">
      <c r="A1" s="11" t="s">
        <v>15</v>
      </c>
      <c r="B1">
        <v>0</v>
      </c>
      <c r="C1">
        <f>B1</f>
        <v>0</v>
      </c>
      <c r="N1" s="34" t="s">
        <v>53</v>
      </c>
    </row>
    <row r="2" spans="1:14" x14ac:dyDescent="0.25">
      <c r="A2" s="11" t="s">
        <v>16</v>
      </c>
      <c r="B2">
        <v>0</v>
      </c>
      <c r="C2">
        <v>0</v>
      </c>
      <c r="N2" s="34" t="s">
        <v>54</v>
      </c>
    </row>
    <row r="3" spans="1:14" x14ac:dyDescent="0.25">
      <c r="A3" s="11" t="s">
        <v>17</v>
      </c>
      <c r="B3">
        <v>22460</v>
      </c>
      <c r="C3">
        <v>32580</v>
      </c>
      <c r="D3">
        <v>32580</v>
      </c>
      <c r="N3" s="34" t="s">
        <v>55</v>
      </c>
    </row>
    <row r="4" spans="1:14" x14ac:dyDescent="0.25">
      <c r="A4" s="11" t="s">
        <v>18</v>
      </c>
      <c r="B4">
        <v>2235</v>
      </c>
      <c r="C4">
        <f t="shared" ref="C4:C7" si="0">B4</f>
        <v>2235</v>
      </c>
      <c r="N4" s="34" t="s">
        <v>56</v>
      </c>
    </row>
    <row r="5" spans="1:14" x14ac:dyDescent="0.25">
      <c r="A5" s="11" t="s">
        <v>19</v>
      </c>
      <c r="B5">
        <v>515</v>
      </c>
      <c r="C5">
        <v>515</v>
      </c>
      <c r="N5" s="34" t="s">
        <v>57</v>
      </c>
    </row>
    <row r="6" spans="1:14" x14ac:dyDescent="0.25">
      <c r="A6" s="11" t="s">
        <v>20</v>
      </c>
      <c r="B6">
        <v>405</v>
      </c>
      <c r="C6">
        <v>405</v>
      </c>
      <c r="N6" s="34" t="s">
        <v>58</v>
      </c>
    </row>
    <row r="7" spans="1:14" x14ac:dyDescent="0.25">
      <c r="A7" s="37" t="s">
        <v>48</v>
      </c>
      <c r="B7" s="39">
        <v>8.0000000000000002E-3</v>
      </c>
      <c r="C7" s="129">
        <f t="shared" si="0"/>
        <v>8.0000000000000002E-3</v>
      </c>
      <c r="N7" s="34" t="s">
        <v>59</v>
      </c>
    </row>
    <row r="8" spans="1:14" x14ac:dyDescent="0.25">
      <c r="N8" s="34" t="s">
        <v>60</v>
      </c>
    </row>
    <row r="9" spans="1:14" x14ac:dyDescent="0.25">
      <c r="A9" s="38" t="s">
        <v>70</v>
      </c>
      <c r="B9" s="36">
        <f>SUM(B1:B6)*(1+B7)</f>
        <v>25819.920000000002</v>
      </c>
      <c r="C9" s="36">
        <f>SUM(C1:C6)*(1+C7)</f>
        <v>36020.879999999997</v>
      </c>
      <c r="N9" s="34" t="s">
        <v>61</v>
      </c>
    </row>
    <row r="10" spans="1:14" x14ac:dyDescent="0.25">
      <c r="A10" s="38" t="s">
        <v>71</v>
      </c>
      <c r="B10" s="36">
        <f>B9*1.2</f>
        <v>30983.904000000002</v>
      </c>
      <c r="C10" s="36">
        <f>C9*1.2</f>
        <v>43225.055999999997</v>
      </c>
      <c r="N10" s="34" t="s">
        <v>62</v>
      </c>
    </row>
    <row r="11" spans="1:14" x14ac:dyDescent="0.25">
      <c r="N11" s="34" t="s">
        <v>63</v>
      </c>
    </row>
    <row r="12" spans="1:14" x14ac:dyDescent="0.25">
      <c r="N12" s="34" t="s">
        <v>64</v>
      </c>
    </row>
    <row r="13" spans="1:14" x14ac:dyDescent="0.25">
      <c r="N13" s="34" t="s">
        <v>65</v>
      </c>
    </row>
    <row r="14" spans="1:14" x14ac:dyDescent="0.25">
      <c r="C14" s="40">
        <f>D3-B3</f>
        <v>10120</v>
      </c>
      <c r="N14" s="34" t="s">
        <v>66</v>
      </c>
    </row>
    <row r="15" spans="1:14" x14ac:dyDescent="0.25">
      <c r="C15">
        <f>(C3-B3)</f>
        <v>10120</v>
      </c>
      <c r="N15" s="34" t="s">
        <v>67</v>
      </c>
    </row>
    <row r="16" spans="1:14" x14ac:dyDescent="0.25">
      <c r="C16" s="130">
        <f>C15/C14</f>
        <v>1</v>
      </c>
      <c r="N16" s="34" t="s">
        <v>68</v>
      </c>
    </row>
    <row r="17" spans="14:14" x14ac:dyDescent="0.25">
      <c r="N17" s="34" t="s">
        <v>69</v>
      </c>
    </row>
  </sheetData>
  <pageMargins left="0.7" right="0.7" top="0.75" bottom="0.75" header="0.3" footer="0.3"/>
  <pageSetup paperSize="9" scale="85" fitToWidth="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Resistencia</vt:lpstr>
      <vt:lpstr>Amortización</vt:lpstr>
      <vt:lpstr>TL_v1</vt:lpstr>
      <vt:lpstr>Planning_v3</vt:lpstr>
      <vt:lpstr>PLANTILLA</vt:lpstr>
      <vt:lpstr>Evaluacion Jugadores</vt:lpstr>
      <vt:lpstr>CambioENTRENADOR</vt:lpstr>
      <vt:lpstr>Rendimiento_ENTRENAMIENTO</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2017-11-21T14:00:14Z</dcterms:modified>
</cp:coreProperties>
</file>