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A20" i="32" l="1"/>
  <c r="AA22" i="32"/>
  <c r="AA23" i="32"/>
  <c r="AA21" i="32"/>
  <c r="AA15" i="32"/>
  <c r="AA13" i="32"/>
  <c r="AA14" i="32"/>
  <c r="AA12" i="32"/>
  <c r="AA11" i="32"/>
  <c r="AA17" i="32"/>
  <c r="AA8" i="32"/>
  <c r="AA7" i="32"/>
  <c r="AA10" i="32"/>
  <c r="AA9" i="32"/>
  <c r="AA5" i="32"/>
  <c r="Z20" i="32" l="1"/>
  <c r="Z22" i="32"/>
  <c r="Z23" i="32"/>
  <c r="Z21" i="32"/>
  <c r="Z15" i="32"/>
  <c r="Z18" i="32"/>
  <c r="Z16" i="32"/>
  <c r="Z13" i="32"/>
  <c r="Z14" i="32"/>
  <c r="Z12" i="32"/>
  <c r="Z17" i="32"/>
  <c r="Z8" i="32"/>
  <c r="Z7" i="32"/>
  <c r="Z10" i="32"/>
  <c r="Z9" i="32"/>
  <c r="Z5" i="32"/>
  <c r="R33" i="49" l="1"/>
  <c r="Y22" i="32" l="1"/>
  <c r="Y23" i="32"/>
  <c r="Y21" i="32"/>
  <c r="Y15" i="32"/>
  <c r="Y18" i="32"/>
  <c r="Y16" i="32"/>
  <c r="Y13" i="32"/>
  <c r="Y14" i="32"/>
  <c r="Y12" i="32"/>
  <c r="Y11" i="32"/>
  <c r="Y17" i="32"/>
  <c r="Y8" i="32"/>
  <c r="Y7" i="32"/>
  <c r="Y10" i="32"/>
  <c r="Y9" i="32"/>
  <c r="Y6" i="32"/>
  <c r="Y5" i="32"/>
  <c r="Y19" i="32" l="1"/>
  <c r="Z19" i="32" l="1"/>
  <c r="Z11"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S20" i="32"/>
  <c r="AT20"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2" i="32"/>
  <c r="AD23" i="32"/>
  <c r="AD21" i="32"/>
  <c r="AD15" i="32"/>
  <c r="AD18" i="32"/>
  <c r="AD16" i="32"/>
  <c r="AD13" i="32"/>
  <c r="AD14" i="32"/>
  <c r="AD12" i="32"/>
  <c r="AD17" i="32"/>
  <c r="AD8" i="32"/>
  <c r="AD7" i="32"/>
  <c r="AD10" i="32"/>
  <c r="AD9" i="32"/>
  <c r="AD5"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1" i="32"/>
  <c r="AS22" i="32"/>
  <c r="AS23" i="32"/>
  <c r="AS5" i="32"/>
  <c r="G22" i="49" l="1"/>
  <c r="O26"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J23" i="11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6" i="32" l="1"/>
  <c r="F17" i="32"/>
  <c r="F12" i="32"/>
  <c r="F21" i="32"/>
  <c r="F10" i="32"/>
  <c r="F19" i="32"/>
  <c r="F5" i="32"/>
  <c r="F23" i="32"/>
  <c r="F9" i="32"/>
  <c r="F6" i="32"/>
  <c r="D12" i="111"/>
  <c r="F7" i="32"/>
  <c r="D15" i="111" s="1"/>
  <c r="F13" i="32"/>
  <c r="F11" i="32"/>
  <c r="F22" i="32"/>
  <c r="F15" i="32"/>
  <c r="F14" i="32"/>
  <c r="F18" i="32"/>
  <c r="F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<sst xmlns="http://schemas.openxmlformats.org/spreadsheetml/2006/main" count="4183" uniqueCount="881">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</sst>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74802648"/>
        <c:axId val="374799120"/>
      </c:barChart>
      <c:catAx>
        <c:axId val="374802648"/>
        <c:scaling>
          <c:orientation val="minMax"/>
        </c:scaling>
        <c:delete val="0"/>
        <c:axPos val="b"/>
        <c:numFmt formatCode="General" sourceLinked="1"/>
        <c:majorTickMark val="out"/>
        <c:minorTickMark val="none"/>
        <c:tickLblPos val="nextTo"/>
        <c:crossAx val="374799120"/>
        <c:crosses val="autoZero"/>
        <c:auto val="1"/>
        <c:lblAlgn val="ctr"/>
        <c:lblOffset val="100"/>
        <c:noMultiLvlLbl val="0"/>
      </c:catAx>
      <c:valAx>
        <c:axId val="374799120"/>
        <c:scaling>
          <c:orientation val="minMax"/>
        </c:scaling>
        <c:delete val="0"/>
        <c:axPos val="l"/>
        <c:majorGridlines/>
        <c:numFmt formatCode="_-* #,##0\ [$€-C0A]_-;\-* #,##0\ [$€-C0A]_-;_-* &quot;-&quot;??\ [$€-C0A]_-;_-@_-" sourceLinked="1"/>
        <c:majorTickMark val="out"/>
        <c:minorTickMark val="none"/>
        <c:tickLblPos val="nextTo"/>
        <c:crossAx val="374802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806176"/>
        <c:axId val="374808136"/>
      </c:barChart>
      <c:catAx>
        <c:axId val="374806176"/>
        <c:scaling>
          <c:orientation val="minMax"/>
        </c:scaling>
        <c:delete val="0"/>
        <c:axPos val="b"/>
        <c:numFmt formatCode="General" sourceLinked="1"/>
        <c:majorTickMark val="out"/>
        <c:minorTickMark val="none"/>
        <c:tickLblPos val="nextTo"/>
        <c:crossAx val="374808136"/>
        <c:crosses val="autoZero"/>
        <c:auto val="1"/>
        <c:lblAlgn val="ctr"/>
        <c:lblOffset val="100"/>
        <c:noMultiLvlLbl val="0"/>
      </c:catAx>
      <c:valAx>
        <c:axId val="374808136"/>
        <c:scaling>
          <c:orientation val="minMax"/>
        </c:scaling>
        <c:delete val="0"/>
        <c:axPos val="l"/>
        <c:majorGridlines/>
        <c:numFmt formatCode="_-* #,##0\ [$€-C0A]_-;\-* #,##0\ [$€-C0A]_-;_-* &quot;-&quot;??\ [$€-C0A]_-;_-@_-" sourceLinked="1"/>
        <c:majorTickMark val="out"/>
        <c:minorTickMark val="none"/>
        <c:tickLblPos val="nextTo"/>
        <c:crossAx val="3748061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74806568"/>
        <c:axId val="374805000"/>
      </c:barChart>
      <c:catAx>
        <c:axId val="374806568"/>
        <c:scaling>
          <c:orientation val="minMax"/>
        </c:scaling>
        <c:delete val="0"/>
        <c:axPos val="b"/>
        <c:numFmt formatCode="General" sourceLinked="1"/>
        <c:majorTickMark val="out"/>
        <c:minorTickMark val="none"/>
        <c:tickLblPos val="nextTo"/>
        <c:crossAx val="374805000"/>
        <c:crosses val="autoZero"/>
        <c:auto val="1"/>
        <c:lblAlgn val="ctr"/>
        <c:lblOffset val="100"/>
        <c:noMultiLvlLbl val="0"/>
      </c:catAx>
      <c:valAx>
        <c:axId val="374805000"/>
        <c:scaling>
          <c:orientation val="minMax"/>
        </c:scaling>
        <c:delete val="0"/>
        <c:axPos val="l"/>
        <c:majorGridlines/>
        <c:numFmt formatCode="_-* #,##0\ [$€-C0A]_-;\-* #,##0\ [$€-C0A]_-;_-* &quot;-&quot;??\ [$€-C0A]_-;_-@_-" sourceLinked="1"/>
        <c:majorTickMark val="out"/>
        <c:minorTickMark val="none"/>
        <c:tickLblPos val="nextTo"/>
        <c:crossAx val="3748065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805392"/>
        <c:axId val="374807744"/>
      </c:barChart>
      <c:catAx>
        <c:axId val="374805392"/>
        <c:scaling>
          <c:orientation val="minMax"/>
        </c:scaling>
        <c:delete val="0"/>
        <c:axPos val="b"/>
        <c:numFmt formatCode="General" sourceLinked="1"/>
        <c:majorTickMark val="out"/>
        <c:minorTickMark val="none"/>
        <c:tickLblPos val="nextTo"/>
        <c:crossAx val="374807744"/>
        <c:crosses val="autoZero"/>
        <c:auto val="1"/>
        <c:lblAlgn val="ctr"/>
        <c:lblOffset val="100"/>
        <c:noMultiLvlLbl val="0"/>
      </c:catAx>
      <c:valAx>
        <c:axId val="374807744"/>
        <c:scaling>
          <c:orientation val="minMax"/>
        </c:scaling>
        <c:delete val="0"/>
        <c:axPos val="l"/>
        <c:majorGridlines/>
        <c:numFmt formatCode="_-* #,##0\ [$€-C0A]_-;\-* #,##0\ [$€-C0A]_-;_-* &quot;-&quot;??\ [$€-C0A]_-;_-@_-" sourceLinked="1"/>
        <c:majorTickMark val="out"/>
        <c:minorTickMark val="none"/>
        <c:tickLblPos val="nextTo"/>
        <c:crossAx val="374805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94540048"/>
        <c:axId val="394544360"/>
      </c:barChart>
      <c:catAx>
        <c:axId val="394540048"/>
        <c:scaling>
          <c:orientation val="minMax"/>
        </c:scaling>
        <c:delete val="0"/>
        <c:axPos val="b"/>
        <c:numFmt formatCode="General" sourceLinked="1"/>
        <c:majorTickMark val="out"/>
        <c:minorTickMark val="none"/>
        <c:tickLblPos val="nextTo"/>
        <c:crossAx val="394544360"/>
        <c:crosses val="autoZero"/>
        <c:auto val="1"/>
        <c:lblAlgn val="ctr"/>
        <c:lblOffset val="100"/>
        <c:noMultiLvlLbl val="0"/>
      </c:catAx>
      <c:valAx>
        <c:axId val="394544360"/>
        <c:scaling>
          <c:orientation val="minMax"/>
        </c:scaling>
        <c:delete val="0"/>
        <c:axPos val="l"/>
        <c:majorGridlines/>
        <c:numFmt formatCode="_-* #,##0\ [$€-C0A]_-;\-* #,##0\ [$€-C0A]_-;_-* &quot;-&quot;??\ [$€-C0A]_-;_-@_-" sourceLinked="1"/>
        <c:majorTickMark val="out"/>
        <c:minorTickMark val="none"/>
        <c:tickLblPos val="nextTo"/>
        <c:crossAx val="394540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94542792"/>
        <c:axId val="394547496"/>
      </c:barChart>
      <c:catAx>
        <c:axId val="394542792"/>
        <c:scaling>
          <c:orientation val="minMax"/>
        </c:scaling>
        <c:delete val="0"/>
        <c:axPos val="b"/>
        <c:numFmt formatCode="General" sourceLinked="1"/>
        <c:majorTickMark val="out"/>
        <c:minorTickMark val="none"/>
        <c:tickLblPos val="nextTo"/>
        <c:crossAx val="394547496"/>
        <c:crosses val="autoZero"/>
        <c:auto val="1"/>
        <c:lblAlgn val="ctr"/>
        <c:lblOffset val="100"/>
        <c:noMultiLvlLbl val="0"/>
      </c:catAx>
      <c:valAx>
        <c:axId val="394547496"/>
        <c:scaling>
          <c:orientation val="minMax"/>
        </c:scaling>
        <c:delete val="0"/>
        <c:axPos val="l"/>
        <c:majorGridlines/>
        <c:numFmt formatCode="_-* #,##0\ [$€-C0A]_-;\-* #,##0\ [$€-C0A]_-;_-* &quot;-&quot;??\ [$€-C0A]_-;_-@_-" sourceLinked="1"/>
        <c:majorTickMark val="out"/>
        <c:minorTickMark val="none"/>
        <c:tickLblPos val="nextTo"/>
        <c:crossAx val="394542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94539656"/>
        <c:axId val="394547104"/>
      </c:barChart>
      <c:catAx>
        <c:axId val="394539656"/>
        <c:scaling>
          <c:orientation val="minMax"/>
        </c:scaling>
        <c:delete val="0"/>
        <c:axPos val="b"/>
        <c:numFmt formatCode="General" sourceLinked="1"/>
        <c:majorTickMark val="out"/>
        <c:minorTickMark val="none"/>
        <c:tickLblPos val="nextTo"/>
        <c:crossAx val="394547104"/>
        <c:crosses val="autoZero"/>
        <c:auto val="1"/>
        <c:lblAlgn val="ctr"/>
        <c:lblOffset val="100"/>
        <c:noMultiLvlLbl val="0"/>
      </c:catAx>
      <c:valAx>
        <c:axId val="394547104"/>
        <c:scaling>
          <c:orientation val="minMax"/>
        </c:scaling>
        <c:delete val="0"/>
        <c:axPos val="l"/>
        <c:majorGridlines/>
        <c:numFmt formatCode="_-* #,##0\ [$€-C0A]_-;\-* #,##0\ [$€-C0A]_-;_-* &quot;-&quot;??\ [$€-C0A]_-;_-@_-" sourceLinked="1"/>
        <c:majorTickMark val="out"/>
        <c:minorTickMark val="none"/>
        <c:tickLblPos val="nextTo"/>
        <c:crossAx val="394539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4540440"/>
        <c:axId val="394546712"/>
      </c:barChart>
      <c:catAx>
        <c:axId val="394540440"/>
        <c:scaling>
          <c:orientation val="minMax"/>
        </c:scaling>
        <c:delete val="0"/>
        <c:axPos val="b"/>
        <c:numFmt formatCode="General" sourceLinked="1"/>
        <c:majorTickMark val="out"/>
        <c:minorTickMark val="none"/>
        <c:tickLblPos val="nextTo"/>
        <c:crossAx val="394546712"/>
        <c:crosses val="autoZero"/>
        <c:auto val="1"/>
        <c:lblAlgn val="ctr"/>
        <c:lblOffset val="100"/>
        <c:noMultiLvlLbl val="0"/>
      </c:catAx>
      <c:valAx>
        <c:axId val="394546712"/>
        <c:scaling>
          <c:orientation val="minMax"/>
        </c:scaling>
        <c:delete val="0"/>
        <c:axPos val="l"/>
        <c:majorGridlines/>
        <c:numFmt formatCode="_-* #,##0\ [$€-C0A]_-;\-* #,##0\ [$€-C0A]_-;_-* &quot;-&quot;??\ [$€-C0A]_-;_-@_-" sourceLinked="1"/>
        <c:majorTickMark val="out"/>
        <c:minorTickMark val="none"/>
        <c:tickLblPos val="nextTo"/>
        <c:crossAx val="394540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4542008"/>
        <c:axId val="394543184"/>
      </c:barChart>
      <c:catAx>
        <c:axId val="394542008"/>
        <c:scaling>
          <c:orientation val="minMax"/>
        </c:scaling>
        <c:delete val="0"/>
        <c:axPos val="b"/>
        <c:numFmt formatCode="General" sourceLinked="1"/>
        <c:majorTickMark val="out"/>
        <c:minorTickMark val="none"/>
        <c:tickLblPos val="nextTo"/>
        <c:crossAx val="394543184"/>
        <c:crosses val="autoZero"/>
        <c:auto val="1"/>
        <c:lblAlgn val="ctr"/>
        <c:lblOffset val="100"/>
        <c:noMultiLvlLbl val="0"/>
      </c:catAx>
      <c:valAx>
        <c:axId val="394543184"/>
        <c:scaling>
          <c:orientation val="minMax"/>
        </c:scaling>
        <c:delete val="0"/>
        <c:axPos val="l"/>
        <c:majorGridlines/>
        <c:numFmt formatCode="_-* #,##0\ [$€-C0A]_-;\-* #,##0\ [$€-C0A]_-;_-* &quot;-&quot;??\ [$€-C0A]_-;_-@_-" sourceLinked="1"/>
        <c:majorTickMark val="out"/>
        <c:minorTickMark val="none"/>
        <c:tickLblPos val="nextTo"/>
        <c:crossAx val="394542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4543968"/>
        <c:axId val="394545536"/>
      </c:barChart>
      <c:catAx>
        <c:axId val="394543968"/>
        <c:scaling>
          <c:orientation val="minMax"/>
        </c:scaling>
        <c:delete val="0"/>
        <c:axPos val="b"/>
        <c:numFmt formatCode="General" sourceLinked="1"/>
        <c:majorTickMark val="out"/>
        <c:minorTickMark val="none"/>
        <c:tickLblPos val="nextTo"/>
        <c:crossAx val="394545536"/>
        <c:crosses val="autoZero"/>
        <c:auto val="1"/>
        <c:lblAlgn val="ctr"/>
        <c:lblOffset val="100"/>
        <c:noMultiLvlLbl val="0"/>
      </c:catAx>
      <c:valAx>
        <c:axId val="394545536"/>
        <c:scaling>
          <c:orientation val="minMax"/>
        </c:scaling>
        <c:delete val="0"/>
        <c:axPos val="l"/>
        <c:majorGridlines/>
        <c:numFmt formatCode="_-* #,##0\ [$€-C0A]_-;\-* #,##0\ [$€-C0A]_-;_-* &quot;-&quot;??\ [$€-C0A]_-;_-@_-" sourceLinked="1"/>
        <c:majorTickMark val="out"/>
        <c:minorTickMark val="none"/>
        <c:tickLblPos val="nextTo"/>
        <c:crossAx val="394543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94545928"/>
        <c:axId val="394548280"/>
      </c:barChart>
      <c:catAx>
        <c:axId val="394545928"/>
        <c:scaling>
          <c:orientation val="minMax"/>
        </c:scaling>
        <c:delete val="0"/>
        <c:axPos val="b"/>
        <c:numFmt formatCode="General" sourceLinked="1"/>
        <c:majorTickMark val="out"/>
        <c:minorTickMark val="none"/>
        <c:tickLblPos val="nextTo"/>
        <c:crossAx val="394548280"/>
        <c:crosses val="autoZero"/>
        <c:auto val="1"/>
        <c:lblAlgn val="ctr"/>
        <c:lblOffset val="100"/>
        <c:noMultiLvlLbl val="0"/>
      </c:catAx>
      <c:valAx>
        <c:axId val="394548280"/>
        <c:scaling>
          <c:orientation val="minMax"/>
        </c:scaling>
        <c:delete val="0"/>
        <c:axPos val="l"/>
        <c:majorGridlines/>
        <c:numFmt formatCode="_-* #,##0\ [$€-C0A]_-;\-* #,##0\ [$€-C0A]_-;_-* &quot;-&quot;??\ [$€-C0A]_-;_-@_-" sourceLinked="1"/>
        <c:majorTickMark val="out"/>
        <c:minorTickMark val="none"/>
        <c:tickLblPos val="nextTo"/>
        <c:crossAx val="3945459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803432"/>
        <c:axId val="374804216"/>
      </c:barChart>
      <c:catAx>
        <c:axId val="374803432"/>
        <c:scaling>
          <c:orientation val="minMax"/>
        </c:scaling>
        <c:delete val="0"/>
        <c:axPos val="b"/>
        <c:numFmt formatCode="General" sourceLinked="1"/>
        <c:majorTickMark val="out"/>
        <c:minorTickMark val="none"/>
        <c:tickLblPos val="nextTo"/>
        <c:crossAx val="374804216"/>
        <c:crosses val="autoZero"/>
        <c:auto val="1"/>
        <c:lblAlgn val="ctr"/>
        <c:lblOffset val="100"/>
        <c:noMultiLvlLbl val="0"/>
      </c:catAx>
      <c:valAx>
        <c:axId val="374804216"/>
        <c:scaling>
          <c:orientation val="minMax"/>
        </c:scaling>
        <c:delete val="0"/>
        <c:axPos val="l"/>
        <c:majorGridlines/>
        <c:numFmt formatCode="_-* #,##0\ [$€-C0A]_-;\-* #,##0\ [$€-C0A]_-;_-* &quot;-&quot;??\ [$€-C0A]_-;_-@_-" sourceLinked="1"/>
        <c:majorTickMark val="out"/>
        <c:minorTickMark val="none"/>
        <c:tickLblPos val="nextTo"/>
        <c:crossAx val="374803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4548672"/>
        <c:axId val="394549064"/>
      </c:barChart>
      <c:catAx>
        <c:axId val="394548672"/>
        <c:scaling>
          <c:orientation val="minMax"/>
        </c:scaling>
        <c:delete val="0"/>
        <c:axPos val="b"/>
        <c:numFmt formatCode="General" sourceLinked="1"/>
        <c:majorTickMark val="out"/>
        <c:minorTickMark val="none"/>
        <c:tickLblPos val="nextTo"/>
        <c:crossAx val="394549064"/>
        <c:crosses val="autoZero"/>
        <c:auto val="1"/>
        <c:lblAlgn val="ctr"/>
        <c:lblOffset val="100"/>
        <c:noMultiLvlLbl val="0"/>
      </c:catAx>
      <c:valAx>
        <c:axId val="394549064"/>
        <c:scaling>
          <c:orientation val="minMax"/>
        </c:scaling>
        <c:delete val="0"/>
        <c:axPos val="l"/>
        <c:majorGridlines/>
        <c:numFmt formatCode="_-* #,##0\ [$€-C0A]_-;\-* #,##0\ [$€-C0A]_-;_-* &quot;-&quot;??\ [$€-C0A]_-;_-@_-" sourceLinked="1"/>
        <c:majorTickMark val="out"/>
        <c:minorTickMark val="none"/>
        <c:tickLblPos val="nextTo"/>
        <c:crossAx val="394548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94549456"/>
        <c:axId val="394549848"/>
      </c:barChart>
      <c:catAx>
        <c:axId val="394549456"/>
        <c:scaling>
          <c:orientation val="minMax"/>
        </c:scaling>
        <c:delete val="0"/>
        <c:axPos val="b"/>
        <c:numFmt formatCode="General" sourceLinked="1"/>
        <c:majorTickMark val="out"/>
        <c:minorTickMark val="none"/>
        <c:tickLblPos val="nextTo"/>
        <c:crossAx val="394549848"/>
        <c:crosses val="autoZero"/>
        <c:auto val="1"/>
        <c:lblAlgn val="ctr"/>
        <c:lblOffset val="100"/>
        <c:noMultiLvlLbl val="0"/>
      </c:catAx>
      <c:valAx>
        <c:axId val="394549848"/>
        <c:scaling>
          <c:orientation val="minMax"/>
        </c:scaling>
        <c:delete val="0"/>
        <c:axPos val="l"/>
        <c:majorGridlines/>
        <c:numFmt formatCode="_-* #,##0\ [$€-C0A]_-;\-* #,##0\ [$€-C0A]_-;_-* &quot;-&quot;??\ [$€-C0A]_-;_-@_-" sourceLinked="1"/>
        <c:majorTickMark val="out"/>
        <c:minorTickMark val="none"/>
        <c:tickLblPos val="nextTo"/>
        <c:crossAx val="3945494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4538088"/>
        <c:axId val="394538480"/>
      </c:barChart>
      <c:catAx>
        <c:axId val="394538088"/>
        <c:scaling>
          <c:orientation val="minMax"/>
        </c:scaling>
        <c:delete val="0"/>
        <c:axPos val="b"/>
        <c:numFmt formatCode="General" sourceLinked="1"/>
        <c:majorTickMark val="out"/>
        <c:minorTickMark val="none"/>
        <c:tickLblPos val="nextTo"/>
        <c:crossAx val="394538480"/>
        <c:crosses val="autoZero"/>
        <c:auto val="1"/>
        <c:lblAlgn val="ctr"/>
        <c:lblOffset val="100"/>
        <c:noMultiLvlLbl val="0"/>
      </c:catAx>
      <c:valAx>
        <c:axId val="394538480"/>
        <c:scaling>
          <c:orientation val="minMax"/>
        </c:scaling>
        <c:delete val="0"/>
        <c:axPos val="l"/>
        <c:majorGridlines/>
        <c:numFmt formatCode="_-* #,##0\ [$€-C0A]_-;\-* #,##0\ [$€-C0A]_-;_-* &quot;-&quot;??\ [$€-C0A]_-;_-@_-" sourceLinked="1"/>
        <c:majorTickMark val="out"/>
        <c:minorTickMark val="none"/>
        <c:tickLblPos val="nextTo"/>
        <c:crossAx val="394538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94540832"/>
        <c:axId val="394542400"/>
      </c:lineChart>
      <c:catAx>
        <c:axId val="394540832"/>
        <c:scaling>
          <c:orientation val="minMax"/>
        </c:scaling>
        <c:delete val="0"/>
        <c:axPos val="b"/>
        <c:numFmt formatCode="General" sourceLinked="0"/>
        <c:majorTickMark val="out"/>
        <c:minorTickMark val="none"/>
        <c:tickLblPos val="nextTo"/>
        <c:crossAx val="394542400"/>
        <c:crosses val="autoZero"/>
        <c:auto val="1"/>
        <c:lblAlgn val="ctr"/>
        <c:lblOffset val="100"/>
        <c:noMultiLvlLbl val="0"/>
      </c:catAx>
      <c:valAx>
        <c:axId val="394542400"/>
        <c:scaling>
          <c:orientation val="minMax"/>
          <c:min val="0"/>
        </c:scaling>
        <c:delete val="0"/>
        <c:axPos val="l"/>
        <c:majorGridlines/>
        <c:numFmt formatCode="General" sourceLinked="1"/>
        <c:majorTickMark val="out"/>
        <c:minorTickMark val="none"/>
        <c:tickLblPos val="nextTo"/>
        <c:crossAx val="39454083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799512"/>
        <c:axId val="374801080"/>
      </c:barChart>
      <c:catAx>
        <c:axId val="374799512"/>
        <c:scaling>
          <c:orientation val="minMax"/>
        </c:scaling>
        <c:delete val="0"/>
        <c:axPos val="b"/>
        <c:numFmt formatCode="General" sourceLinked="1"/>
        <c:majorTickMark val="out"/>
        <c:minorTickMark val="none"/>
        <c:tickLblPos val="nextTo"/>
        <c:crossAx val="374801080"/>
        <c:crosses val="autoZero"/>
        <c:auto val="1"/>
        <c:lblAlgn val="ctr"/>
        <c:lblOffset val="100"/>
        <c:noMultiLvlLbl val="0"/>
      </c:catAx>
      <c:valAx>
        <c:axId val="374801080"/>
        <c:scaling>
          <c:orientation val="minMax"/>
        </c:scaling>
        <c:delete val="0"/>
        <c:axPos val="l"/>
        <c:majorGridlines/>
        <c:numFmt formatCode="_-* #,##0\ [$€-C0A]_-;\-* #,##0\ [$€-C0A]_-;_-* &quot;-&quot;??\ [$€-C0A]_-;_-@_-" sourceLinked="1"/>
        <c:majorTickMark val="out"/>
        <c:minorTickMark val="none"/>
        <c:tickLblPos val="nextTo"/>
        <c:crossAx val="374799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794416"/>
        <c:axId val="374801864"/>
      </c:barChart>
      <c:catAx>
        <c:axId val="374794416"/>
        <c:scaling>
          <c:orientation val="minMax"/>
        </c:scaling>
        <c:delete val="0"/>
        <c:axPos val="b"/>
        <c:numFmt formatCode="General" sourceLinked="1"/>
        <c:majorTickMark val="out"/>
        <c:minorTickMark val="none"/>
        <c:tickLblPos val="nextTo"/>
        <c:crossAx val="374801864"/>
        <c:crosses val="autoZero"/>
        <c:auto val="1"/>
        <c:lblAlgn val="ctr"/>
        <c:lblOffset val="100"/>
        <c:noMultiLvlLbl val="0"/>
      </c:catAx>
      <c:valAx>
        <c:axId val="374801864"/>
        <c:scaling>
          <c:orientation val="minMax"/>
        </c:scaling>
        <c:delete val="0"/>
        <c:axPos val="l"/>
        <c:majorGridlines/>
        <c:numFmt formatCode="_-* #,##0\ [$€-C0A]_-;\-* #,##0\ [$€-C0A]_-;_-* &quot;-&quot;??\ [$€-C0A]_-;_-@_-" sourceLinked="1"/>
        <c:majorTickMark val="out"/>
        <c:minorTickMark val="none"/>
        <c:tickLblPos val="nextTo"/>
        <c:crossAx val="374794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74798728"/>
        <c:axId val="374803040"/>
      </c:barChart>
      <c:catAx>
        <c:axId val="374798728"/>
        <c:scaling>
          <c:orientation val="minMax"/>
        </c:scaling>
        <c:delete val="0"/>
        <c:axPos val="b"/>
        <c:numFmt formatCode="General" sourceLinked="1"/>
        <c:majorTickMark val="out"/>
        <c:minorTickMark val="none"/>
        <c:tickLblPos val="nextTo"/>
        <c:crossAx val="374803040"/>
        <c:crosses val="autoZero"/>
        <c:auto val="1"/>
        <c:lblAlgn val="ctr"/>
        <c:lblOffset val="100"/>
        <c:noMultiLvlLbl val="0"/>
      </c:catAx>
      <c:valAx>
        <c:axId val="374803040"/>
        <c:scaling>
          <c:orientation val="minMax"/>
        </c:scaling>
        <c:delete val="0"/>
        <c:axPos val="l"/>
        <c:majorGridlines/>
        <c:numFmt formatCode="_-* #,##0\ [$€-C0A]_-;\-* #,##0\ [$€-C0A]_-;_-* &quot;-&quot;??\ [$€-C0A]_-;_-@_-" sourceLinked="1"/>
        <c:majorTickMark val="out"/>
        <c:minorTickMark val="none"/>
        <c:tickLblPos val="nextTo"/>
        <c:crossAx val="3747987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804608"/>
        <c:axId val="374795984"/>
      </c:barChart>
      <c:catAx>
        <c:axId val="374804608"/>
        <c:scaling>
          <c:orientation val="minMax"/>
        </c:scaling>
        <c:delete val="0"/>
        <c:axPos val="b"/>
        <c:numFmt formatCode="General" sourceLinked="1"/>
        <c:majorTickMark val="out"/>
        <c:minorTickMark val="none"/>
        <c:tickLblPos val="nextTo"/>
        <c:crossAx val="374795984"/>
        <c:crosses val="autoZero"/>
        <c:auto val="1"/>
        <c:lblAlgn val="ctr"/>
        <c:lblOffset val="100"/>
        <c:noMultiLvlLbl val="0"/>
      </c:catAx>
      <c:valAx>
        <c:axId val="374795984"/>
        <c:scaling>
          <c:orientation val="minMax"/>
        </c:scaling>
        <c:delete val="0"/>
        <c:axPos val="l"/>
        <c:majorGridlines/>
        <c:numFmt formatCode="_-* #,##0\ [$€-C0A]_-;\-* #,##0\ [$€-C0A]_-;_-* &quot;-&quot;??\ [$€-C0A]_-;_-@_-" sourceLinked="1"/>
        <c:majorTickMark val="out"/>
        <c:minorTickMark val="none"/>
        <c:tickLblPos val="nextTo"/>
        <c:crossAx val="374804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74793240"/>
        <c:axId val="374794808"/>
      </c:barChart>
      <c:catAx>
        <c:axId val="374793240"/>
        <c:scaling>
          <c:orientation val="minMax"/>
        </c:scaling>
        <c:delete val="0"/>
        <c:axPos val="b"/>
        <c:numFmt formatCode="General" sourceLinked="1"/>
        <c:majorTickMark val="out"/>
        <c:minorTickMark val="none"/>
        <c:tickLblPos val="nextTo"/>
        <c:crossAx val="374794808"/>
        <c:crosses val="autoZero"/>
        <c:auto val="1"/>
        <c:lblAlgn val="ctr"/>
        <c:lblOffset val="100"/>
        <c:noMultiLvlLbl val="0"/>
      </c:catAx>
      <c:valAx>
        <c:axId val="374794808"/>
        <c:scaling>
          <c:orientation val="minMax"/>
        </c:scaling>
        <c:delete val="0"/>
        <c:axPos val="l"/>
        <c:majorGridlines/>
        <c:numFmt formatCode="_-* #,##0\ [$€-C0A]_-;\-* #,##0\ [$€-C0A]_-;_-* &quot;-&quot;??\ [$€-C0A]_-;_-@_-" sourceLinked="1"/>
        <c:majorTickMark val="out"/>
        <c:minorTickMark val="none"/>
        <c:tickLblPos val="nextTo"/>
        <c:crossAx val="374793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74795592"/>
        <c:axId val="374797944"/>
      </c:barChart>
      <c:catAx>
        <c:axId val="374795592"/>
        <c:scaling>
          <c:orientation val="minMax"/>
        </c:scaling>
        <c:delete val="0"/>
        <c:axPos val="b"/>
        <c:numFmt formatCode="General" sourceLinked="1"/>
        <c:majorTickMark val="out"/>
        <c:minorTickMark val="none"/>
        <c:tickLblPos val="nextTo"/>
        <c:crossAx val="374797944"/>
        <c:crosses val="autoZero"/>
        <c:auto val="1"/>
        <c:lblAlgn val="ctr"/>
        <c:lblOffset val="100"/>
        <c:noMultiLvlLbl val="0"/>
      </c:catAx>
      <c:valAx>
        <c:axId val="374797944"/>
        <c:scaling>
          <c:orientation val="minMax"/>
        </c:scaling>
        <c:delete val="0"/>
        <c:axPos val="l"/>
        <c:majorGridlines/>
        <c:numFmt formatCode="_-* #,##0\ [$€-C0A]_-;\-* #,##0\ [$€-C0A]_-;_-* &quot;-&quot;??\ [$€-C0A]_-;_-@_-" sourceLinked="1"/>
        <c:majorTickMark val="out"/>
        <c:minorTickMark val="none"/>
        <c:tickLblPos val="nextTo"/>
        <c:crossAx val="3747955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74796768"/>
        <c:axId val="374797160"/>
      </c:barChart>
      <c:catAx>
        <c:axId val="374796768"/>
        <c:scaling>
          <c:orientation val="minMax"/>
        </c:scaling>
        <c:delete val="0"/>
        <c:axPos val="b"/>
        <c:numFmt formatCode="General" sourceLinked="1"/>
        <c:majorTickMark val="out"/>
        <c:minorTickMark val="none"/>
        <c:tickLblPos val="nextTo"/>
        <c:crossAx val="374797160"/>
        <c:crosses val="autoZero"/>
        <c:auto val="1"/>
        <c:lblAlgn val="ctr"/>
        <c:lblOffset val="100"/>
        <c:noMultiLvlLbl val="0"/>
      </c:catAx>
      <c:valAx>
        <c:axId val="374797160"/>
        <c:scaling>
          <c:orientation val="minMax"/>
        </c:scaling>
        <c:delete val="0"/>
        <c:axPos val="l"/>
        <c:majorGridlines/>
        <c:numFmt formatCode="_-* #,##0\ [$€-C0A]_-;\-* #,##0\ [$€-C0A]_-;_-* &quot;-&quot;??\ [$€-C0A]_-;_-@_-" sourceLinked="1"/>
        <c:majorTickMark val="out"/>
        <c:minorTickMark val="none"/>
        <c:tickLblPos val="nextTo"/>
        <c:crossAx val="374796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43124</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1724</v>
      </c>
      <c r="G5" s="593">
        <f ca="1">F5/112</f>
        <v>15.392857142857142</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1724</v>
      </c>
      <c r="G6" s="593">
        <f t="shared" ref="G6:G20" ca="1" si="1">F6/112</f>
        <v>15.392857142857142</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1605</v>
      </c>
      <c r="G7" s="593">
        <f t="shared" ca="1" si="1"/>
        <v>14.330357142857142</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1597</v>
      </c>
      <c r="G8" s="593">
        <f t="shared" ca="1" si="1"/>
        <v>14.258928571428571</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1585</v>
      </c>
      <c r="G9" s="593">
        <f t="shared" ca="1" si="1"/>
        <v>14.151785714285714</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1572</v>
      </c>
      <c r="G10" s="593">
        <f t="shared" ca="1" si="1"/>
        <v>14.035714285714286</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1541</v>
      </c>
      <c r="G11" s="593">
        <f t="shared" ca="1" si="1"/>
        <v>13.758928571428571</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1471</v>
      </c>
      <c r="G12" s="593">
        <f t="shared" ca="1" si="1"/>
        <v>13.133928571428571</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1460</v>
      </c>
      <c r="G13" s="593">
        <f t="shared" ca="1" si="1"/>
        <v>13.035714285714286</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1438</v>
      </c>
      <c r="G14" s="593">
        <f t="shared" ca="1" si="1"/>
        <v>12.839285714285714</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1402</v>
      </c>
      <c r="G15" s="593">
        <f t="shared" ca="1" si="1"/>
        <v>12.517857142857142</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1387</v>
      </c>
      <c r="G16" s="593">
        <f t="shared" ca="1" si="1"/>
        <v>12.383928571428571</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1377</v>
      </c>
      <c r="G17" s="593">
        <f t="shared" ca="1" si="1"/>
        <v>12.294642857142858</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1213</v>
      </c>
      <c r="G18" s="593">
        <f t="shared" ca="1" si="1"/>
        <v>10.830357142857142</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1151</v>
      </c>
      <c r="G19" s="593">
        <f t="shared" ca="1" si="1"/>
        <v>10.276785714285714</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1018</v>
      </c>
      <c r="G20" s="593">
        <f t="shared" ca="1" si="1"/>
        <v>9.0892857142857135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43124</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2.5892857142857144</v>
      </c>
      <c r="D4" s="294" t="str">
        <f>PLANTILLA!D5</f>
        <v>D. Gehmacher</v>
      </c>
      <c r="E4" s="387">
        <f>PLANTILLA!E5</f>
        <v>30</v>
      </c>
      <c r="F4" s="395">
        <f ca="1">PLANTILLA!F5</f>
        <v>46</v>
      </c>
      <c r="G4" s="388"/>
      <c r="H4" s="403">
        <v>7</v>
      </c>
      <c r="I4" s="308">
        <f>PLANTILLA!I5</f>
        <v>18.5</v>
      </c>
      <c r="J4" s="486">
        <f>PLANTILLA!X5</f>
        <v>16.666666666666668</v>
      </c>
      <c r="K4" s="486">
        <f>PLANTILLA!Y5</f>
        <v>12.080559440559444</v>
      </c>
      <c r="L4" s="486">
        <f>PLANTILLA!Z5</f>
        <v>2.0599999999999987</v>
      </c>
      <c r="M4" s="486">
        <f>PLANTILLA!AA5</f>
        <v>2.149999999999999</v>
      </c>
      <c r="N4" s="486">
        <f>PLANTILLA!AB5</f>
        <v>1.0400000000000003</v>
      </c>
      <c r="O4" s="486">
        <f>PLANTILLA!AC5</f>
        <v>0.14055555555555557</v>
      </c>
      <c r="P4" s="486">
        <f>PLANTILLA!AD5</f>
        <v>17.849999999999998</v>
      </c>
      <c r="Q4" s="411">
        <f t="shared" ref="Q4:Q23" si="4">E4</f>
        <v>30</v>
      </c>
      <c r="R4" s="412">
        <f t="shared" ref="R4:R23" ca="1" si="5">F4+7</f>
        <v>53</v>
      </c>
      <c r="S4" s="180"/>
      <c r="T4" s="180"/>
      <c r="U4" s="180"/>
      <c r="V4" s="180"/>
      <c r="W4" s="180"/>
      <c r="X4" s="180"/>
      <c r="Y4" s="180"/>
      <c r="Z4" s="180"/>
      <c r="AA4" s="296">
        <f t="shared" ref="AA4:AA23" si="6">I4+$AA$2</f>
        <v>18.5</v>
      </c>
      <c r="AB4" s="506">
        <f>J4+(S4*S$2/15)</f>
        <v>16.666666666666668</v>
      </c>
      <c r="AC4" s="506">
        <f>K4+(T$2/11)</f>
        <v>12.080559440559444</v>
      </c>
      <c r="AD4" s="506">
        <f>L4+(U$2/18)</f>
        <v>2.0599999999999987</v>
      </c>
      <c r="AE4" s="506">
        <f>M4+(V$2/12)</f>
        <v>2.149999999999999</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-1.4910714285714286</v>
      </c>
      <c r="D5" s="386" t="s">
        <v>267</v>
      </c>
      <c r="E5" s="387">
        <f>PLANTILLA!E6</f>
        <v>34</v>
      </c>
      <c r="F5" s="387">
        <f ca="1">PLANTILLA!F6</f>
        <v>55</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62</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1.0803571428571428</v>
      </c>
      <c r="D7" s="294" t="s">
        <v>275</v>
      </c>
      <c r="E7" s="387">
        <f>PLANTILLA!E8</f>
        <v>31</v>
      </c>
      <c r="F7" s="387">
        <f ca="1">PLANTILLA!F8</f>
        <v>103</v>
      </c>
      <c r="G7" s="388" t="s">
        <v>502</v>
      </c>
      <c r="H7" s="394">
        <v>5</v>
      </c>
      <c r="I7" s="308">
        <f>PLANTILLA!I8</f>
        <v>7.6</v>
      </c>
      <c r="J7" s="486">
        <f>PLANTILLA!X8</f>
        <v>0</v>
      </c>
      <c r="K7" s="486">
        <f>PLANTILLA!Y8</f>
        <v>11.077333333333334</v>
      </c>
      <c r="L7" s="486">
        <f>PLANTILLA!Z8</f>
        <v>6.2094444444444408</v>
      </c>
      <c r="M7" s="486">
        <f>PLANTILLA!AA8</f>
        <v>6.1</v>
      </c>
      <c r="N7" s="486">
        <f>PLANTILLA!AB8</f>
        <v>7.7227777777777789</v>
      </c>
      <c r="O7" s="486">
        <f>PLANTILLA!AC8</f>
        <v>4.383333333333332</v>
      </c>
      <c r="P7" s="486">
        <f>PLANTILLA!AD8</f>
        <v>15.349999999999998</v>
      </c>
      <c r="Q7" s="411">
        <f t="shared" si="4"/>
        <v>31</v>
      </c>
      <c r="R7" s="412">
        <f t="shared" ca="1" si="5"/>
        <v>110</v>
      </c>
      <c r="S7" s="180"/>
      <c r="T7" s="180"/>
      <c r="U7" s="180"/>
      <c r="V7" s="180"/>
      <c r="W7" s="180"/>
      <c r="X7" s="180"/>
      <c r="Y7" s="180"/>
      <c r="Z7" s="180"/>
      <c r="AA7" s="296">
        <f t="shared" si="6"/>
        <v>7.6</v>
      </c>
      <c r="AB7" s="506">
        <f t="shared" si="20"/>
        <v>0</v>
      </c>
      <c r="AC7" s="506">
        <f>K7+(T$2/11)</f>
        <v>11.077333333333334</v>
      </c>
      <c r="AD7" s="506">
        <f>L7+(U$2/6.5)</f>
        <v>6.2094444444444408</v>
      </c>
      <c r="AE7" s="506">
        <f>M7+(V$2/62)</f>
        <v>6.1</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1.4910714285714286</v>
      </c>
      <c r="D8" s="386" t="s">
        <v>269</v>
      </c>
      <c r="E8" s="387">
        <f>PLANTILLA!E9</f>
        <v>31</v>
      </c>
      <c r="F8" s="387">
        <f ca="1">PLANTILLA!F9</f>
        <v>57</v>
      </c>
      <c r="G8" s="388"/>
      <c r="H8" s="394">
        <v>5</v>
      </c>
      <c r="I8" s="308">
        <f>PLANTILLA!I9</f>
        <v>12.4</v>
      </c>
      <c r="J8" s="486">
        <f>PLANTILLA!X9</f>
        <v>0</v>
      </c>
      <c r="K8" s="486">
        <f>PLANTILLA!Y9</f>
        <v>12.200000000000005</v>
      </c>
      <c r="L8" s="486">
        <f>PLANTILLA!Z9</f>
        <v>13.226555555555553</v>
      </c>
      <c r="M8" s="486">
        <f>PLANTILLA!AA9</f>
        <v>9.8750000000000053</v>
      </c>
      <c r="N8" s="486">
        <f>PLANTILLA!AB9</f>
        <v>9.6</v>
      </c>
      <c r="O8" s="486">
        <f>PLANTILLA!AC9</f>
        <v>3.6816666666666658</v>
      </c>
      <c r="P8" s="486">
        <f>PLANTILLA!AD9</f>
        <v>16.627777777777773</v>
      </c>
      <c r="Q8" s="411">
        <f t="shared" si="4"/>
        <v>31</v>
      </c>
      <c r="R8" s="412">
        <f t="shared" ca="1" si="5"/>
        <v>64</v>
      </c>
      <c r="S8" s="180"/>
      <c r="T8" s="180"/>
      <c r="U8" s="180"/>
      <c r="V8" s="180"/>
      <c r="W8" s="180"/>
      <c r="X8" s="180"/>
      <c r="Y8" s="180"/>
      <c r="Z8" s="180"/>
      <c r="AA8" s="296">
        <f t="shared" si="6"/>
        <v>12.4</v>
      </c>
      <c r="AB8" s="506">
        <f t="shared" si="20"/>
        <v>0</v>
      </c>
      <c r="AC8" s="506">
        <f>K8+(T$2/11)</f>
        <v>12.200000000000005</v>
      </c>
      <c r="AD8" s="506">
        <f>L8+(U$2/29)</f>
        <v>13.226555555555553</v>
      </c>
      <c r="AE8" s="506">
        <f>M8+(V$2/13)</f>
        <v>9.8750000000000053</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1.625</v>
      </c>
      <c r="D9" s="294" t="s">
        <v>273</v>
      </c>
      <c r="E9" s="387">
        <f>PLANTILLA!E10</f>
        <v>31</v>
      </c>
      <c r="F9" s="387">
        <f ca="1">PLANTILLA!F10</f>
        <v>42</v>
      </c>
      <c r="G9" s="388"/>
      <c r="H9" s="371">
        <v>4</v>
      </c>
      <c r="I9" s="308">
        <f>PLANTILLA!I10</f>
        <v>9.5</v>
      </c>
      <c r="J9" s="486">
        <f>PLANTILLA!X10</f>
        <v>0</v>
      </c>
      <c r="K9" s="486">
        <f>PLANTILLA!Y10</f>
        <v>11.999999999999996</v>
      </c>
      <c r="L9" s="486">
        <f>PLANTILLA!Z10</f>
        <v>7.012500000000002</v>
      </c>
      <c r="M9" s="486">
        <f>PLANTILLA!AA10</f>
        <v>7.5000000000000018</v>
      </c>
      <c r="N9" s="486">
        <f>PLANTILLA!AB10</f>
        <v>9.0199999999999978</v>
      </c>
      <c r="O9" s="486">
        <f>PLANTILLA!AC10</f>
        <v>4.6199999999999966</v>
      </c>
      <c r="P9" s="486">
        <f>PLANTILLA!AD10</f>
        <v>15.6</v>
      </c>
      <c r="Q9" s="411">
        <f t="shared" si="4"/>
        <v>31</v>
      </c>
      <c r="R9" s="412">
        <f t="shared" ca="1" si="5"/>
        <v>49</v>
      </c>
      <c r="S9" s="180"/>
      <c r="T9" s="180"/>
      <c r="U9" s="180"/>
      <c r="V9" s="180"/>
      <c r="W9" s="180"/>
      <c r="X9" s="180"/>
      <c r="Y9" s="180"/>
      <c r="Z9" s="180"/>
      <c r="AA9" s="296">
        <f t="shared" si="6"/>
        <v>9.5</v>
      </c>
      <c r="AB9" s="506">
        <f t="shared" si="20"/>
        <v>0</v>
      </c>
      <c r="AC9" s="506">
        <f>K9+(T$2/10)</f>
        <v>11.999999999999996</v>
      </c>
      <c r="AD9" s="506">
        <f>L9+(U$2/31)</f>
        <v>7.012500000000002</v>
      </c>
      <c r="AE9" s="506">
        <f>M9+(V$2/6)</f>
        <v>7.5000000000000018</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5.4196428571428568</v>
      </c>
      <c r="D10" s="294" t="s">
        <v>567</v>
      </c>
      <c r="E10" s="387">
        <f>PLANTILLA!E11</f>
        <v>27</v>
      </c>
      <c r="F10" s="387">
        <f ca="1">PLANTILLA!F11</f>
        <v>65</v>
      </c>
      <c r="G10" s="388"/>
      <c r="H10" s="394">
        <v>5</v>
      </c>
      <c r="I10" s="308">
        <f>PLANTILLA!I11</f>
        <v>4.9000000000000004</v>
      </c>
      <c r="J10" s="486">
        <f>PLANTILLA!X11</f>
        <v>0</v>
      </c>
      <c r="K10" s="486">
        <f>PLANTILLA!Y11</f>
        <v>9.6046666666666667</v>
      </c>
      <c r="L10" s="486">
        <f>PLANTILLA!Z11</f>
        <v>7.7507222222222225</v>
      </c>
      <c r="M10" s="486">
        <f>PLANTILLA!AA11</f>
        <v>6.1599999999999984</v>
      </c>
      <c r="N10" s="486">
        <f>PLANTILLA!AB11</f>
        <v>8.8633333333333315</v>
      </c>
      <c r="O10" s="486">
        <f>PLANTILLA!AC11</f>
        <v>3.2566666666666673</v>
      </c>
      <c r="P10" s="486">
        <f>PLANTILLA!AD11</f>
        <v>13.238888888888889</v>
      </c>
      <c r="Q10" s="411">
        <f t="shared" si="4"/>
        <v>27</v>
      </c>
      <c r="R10" s="412">
        <f t="shared" ca="1" si="5"/>
        <v>72</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1.8303571428571428</v>
      </c>
      <c r="D11" s="386" t="s">
        <v>270</v>
      </c>
      <c r="E11" s="387">
        <f>PLANTILLA!E12</f>
        <v>31</v>
      </c>
      <c r="F11" s="387">
        <f ca="1">PLANTILLA!F12</f>
        <v>19</v>
      </c>
      <c r="G11" s="388" t="s">
        <v>271</v>
      </c>
      <c r="H11" s="371">
        <v>1</v>
      </c>
      <c r="I11" s="308">
        <f>PLANTILLA!I12</f>
        <v>12.6</v>
      </c>
      <c r="J11" s="486">
        <f>PLANTILLA!X12</f>
        <v>0</v>
      </c>
      <c r="K11" s="486">
        <f>PLANTILLA!Y12</f>
        <v>12.06111111111111</v>
      </c>
      <c r="L11" s="486">
        <f>PLANTILLA!Z12</f>
        <v>12.579111111111114</v>
      </c>
      <c r="M11" s="486">
        <f>PLANTILLA!AA12</f>
        <v>13.216666666666669</v>
      </c>
      <c r="N11" s="486">
        <f>PLANTILLA!AB12</f>
        <v>10.91</v>
      </c>
      <c r="O11" s="486">
        <f>PLANTILLA!AC12</f>
        <v>7.7700000000000005</v>
      </c>
      <c r="P11" s="486">
        <f>PLANTILLA!AD12</f>
        <v>17.13</v>
      </c>
      <c r="Q11" s="411">
        <f t="shared" si="4"/>
        <v>31</v>
      </c>
      <c r="R11" s="412">
        <f t="shared" ca="1" si="5"/>
        <v>26</v>
      </c>
      <c r="S11" s="180"/>
      <c r="T11" s="180"/>
      <c r="U11" s="180"/>
      <c r="V11" s="180"/>
      <c r="W11" s="180"/>
      <c r="X11" s="180"/>
      <c r="Y11" s="180"/>
      <c r="Z11" s="180"/>
      <c r="AA11" s="296">
        <f t="shared" si="6"/>
        <v>12.6</v>
      </c>
      <c r="AB11" s="506">
        <f t="shared" si="20"/>
        <v>0</v>
      </c>
      <c r="AC11" s="506">
        <f>K11+(T$2/10)</f>
        <v>12.06111111111111</v>
      </c>
      <c r="AD11" s="506">
        <f>L11+(U$2/18)</f>
        <v>12.579111111111114</v>
      </c>
      <c r="AE11" s="506">
        <f>M11+(V$2/15)</f>
        <v>13.216666666666669</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2.3035714285714284</v>
      </c>
      <c r="D12" s="386" t="s">
        <v>298</v>
      </c>
      <c r="E12" s="387">
        <f>PLANTILLA!E13</f>
        <v>30</v>
      </c>
      <c r="F12" s="387">
        <f ca="1">PLANTILLA!F13</f>
        <v>78</v>
      </c>
      <c r="G12" s="388" t="s">
        <v>268</v>
      </c>
      <c r="H12" s="371">
        <v>3</v>
      </c>
      <c r="I12" s="308">
        <f>PLANTILLA!I13</f>
        <v>10.4</v>
      </c>
      <c r="J12" s="486">
        <f>PLANTILLA!X13</f>
        <v>0</v>
      </c>
      <c r="K12" s="486">
        <f>PLANTILLA!Y13</f>
        <v>7.2503030303030309</v>
      </c>
      <c r="L12" s="486">
        <f>PLANTILLA!Z13</f>
        <v>10.550000000000004</v>
      </c>
      <c r="M12" s="486">
        <f>PLANTILLA!AA13</f>
        <v>13.471666666666668</v>
      </c>
      <c r="N12" s="486">
        <f>PLANTILLA!AB13</f>
        <v>10.359999999999998</v>
      </c>
      <c r="O12" s="486">
        <f>PLANTILLA!AC13</f>
        <v>5.4050000000000002</v>
      </c>
      <c r="P12" s="486">
        <f>PLANTILLA!AD13</f>
        <v>17.300000000000004</v>
      </c>
      <c r="Q12" s="411">
        <f t="shared" si="4"/>
        <v>30</v>
      </c>
      <c r="R12" s="412">
        <f t="shared" ca="1" si="5"/>
        <v>85</v>
      </c>
      <c r="S12" s="180"/>
      <c r="T12" s="180"/>
      <c r="U12" s="180"/>
      <c r="V12" s="180"/>
      <c r="W12" s="180"/>
      <c r="X12" s="180"/>
      <c r="Y12" s="180"/>
      <c r="Z12" s="180"/>
      <c r="AA12" s="296">
        <f t="shared" si="6"/>
        <v>10.4</v>
      </c>
      <c r="AB12" s="506">
        <f t="shared" si="20"/>
        <v>0</v>
      </c>
      <c r="AC12" s="506">
        <f>K12+(T$2/7)</f>
        <v>7.2503030303030309</v>
      </c>
      <c r="AD12" s="506">
        <f>L12+(U$2/7)</f>
        <v>10.550000000000004</v>
      </c>
      <c r="AE12" s="506">
        <f>M12+(V$2/8)</f>
        <v>13.471666666666668</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5.1696428571428568</v>
      </c>
      <c r="D13" s="386" t="s">
        <v>507</v>
      </c>
      <c r="E13" s="387">
        <f>PLANTILLA!E14</f>
        <v>27</v>
      </c>
      <c r="F13" s="387">
        <f ca="1">PLANTILLA!F14</f>
        <v>93</v>
      </c>
      <c r="G13" s="388" t="s">
        <v>502</v>
      </c>
      <c r="H13" s="371">
        <v>3</v>
      </c>
      <c r="I13" s="308">
        <f>PLANTILLA!I14</f>
        <v>9</v>
      </c>
      <c r="J13" s="486">
        <f>PLANTILLA!X14</f>
        <v>0</v>
      </c>
      <c r="K13" s="486">
        <f>PLANTILLA!Y14</f>
        <v>8.3599999999999977</v>
      </c>
      <c r="L13" s="486">
        <f>PLANTILLA!Z14</f>
        <v>12.208412698412699</v>
      </c>
      <c r="M13" s="486">
        <f>PLANTILLA!AA14</f>
        <v>12.36</v>
      </c>
      <c r="N13" s="486">
        <f>PLANTILLA!AB14</f>
        <v>10.24</v>
      </c>
      <c r="O13" s="486">
        <f>PLANTILLA!AC14</f>
        <v>7.4766666666666666</v>
      </c>
      <c r="P13" s="486">
        <f>PLANTILLA!AD14</f>
        <v>15.270000000000001</v>
      </c>
      <c r="Q13" s="411">
        <f t="shared" si="4"/>
        <v>27</v>
      </c>
      <c r="R13" s="412">
        <f t="shared" ca="1" si="5"/>
        <v>100</v>
      </c>
      <c r="S13" s="180"/>
      <c r="T13" s="180"/>
      <c r="U13" s="180"/>
      <c r="V13" s="180"/>
      <c r="W13" s="180"/>
      <c r="X13" s="180"/>
      <c r="Y13" s="180"/>
      <c r="Z13" s="180"/>
      <c r="AA13" s="296">
        <f t="shared" si="6"/>
        <v>9</v>
      </c>
      <c r="AB13" s="506">
        <f t="shared" si="20"/>
        <v>0</v>
      </c>
      <c r="AC13" s="506">
        <f>K13+(T$2/6.5)</f>
        <v>8.3599999999999977</v>
      </c>
      <c r="AD13" s="506">
        <f>L13+(U$2/8)</f>
        <v>12.208412698412699</v>
      </c>
      <c r="AE13" s="506">
        <f>M13+(V$2/6)</f>
        <v>12.36</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3.1964285714285716</v>
      </c>
      <c r="D14" s="294" t="s">
        <v>415</v>
      </c>
      <c r="E14" s="387">
        <f>PLANTILLA!E15</f>
        <v>29</v>
      </c>
      <c r="F14" s="387">
        <f ca="1">PLANTILLA!F15</f>
        <v>90</v>
      </c>
      <c r="G14" s="388" t="s">
        <v>268</v>
      </c>
      <c r="H14" s="371">
        <v>4</v>
      </c>
      <c r="I14" s="308">
        <f>PLANTILLA!I15</f>
        <v>10.8</v>
      </c>
      <c r="J14" s="486">
        <f>PLANTILLA!X15</f>
        <v>0</v>
      </c>
      <c r="K14" s="486">
        <f>PLANTILLA!Y15</f>
        <v>9.3036666666666648</v>
      </c>
      <c r="L14" s="486">
        <f>PLANTILLA!Z15</f>
        <v>13.839999999999998</v>
      </c>
      <c r="M14" s="486">
        <f>PLANTILLA!AA15</f>
        <v>12.945</v>
      </c>
      <c r="N14" s="486">
        <f>PLANTILLA!AB15</f>
        <v>9.6733333333333356</v>
      </c>
      <c r="O14" s="486">
        <f>PLANTILLA!AC15</f>
        <v>5.0296666666666656</v>
      </c>
      <c r="P14" s="486">
        <f>PLANTILLA!AD15</f>
        <v>15.2</v>
      </c>
      <c r="Q14" s="411">
        <f t="shared" si="4"/>
        <v>29</v>
      </c>
      <c r="R14" s="412">
        <f t="shared" ca="1" si="5"/>
        <v>97</v>
      </c>
      <c r="S14" s="180"/>
      <c r="T14" s="180"/>
      <c r="U14" s="180"/>
      <c r="V14" s="180"/>
      <c r="W14" s="180"/>
      <c r="X14" s="180"/>
      <c r="Y14" s="180"/>
      <c r="Z14" s="180"/>
      <c r="AA14" s="296">
        <f t="shared" si="6"/>
        <v>10.8</v>
      </c>
      <c r="AB14" s="506">
        <f t="shared" si="20"/>
        <v>0</v>
      </c>
      <c r="AC14" s="506">
        <f>K14+(T$2/50)</f>
        <v>9.3036666666666648</v>
      </c>
      <c r="AD14" s="506">
        <f>L14+(U$2/10)</f>
        <v>13.839999999999998</v>
      </c>
      <c r="AE14" s="506">
        <f>M14+(V$2/15)</f>
        <v>12.945</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0.8928571428571429</v>
      </c>
      <c r="D15" s="386" t="s">
        <v>285</v>
      </c>
      <c r="E15" s="387">
        <f>PLANTILLA!E16</f>
        <v>32</v>
      </c>
      <c r="F15" s="387">
        <f ca="1">PLANTILLA!F16</f>
        <v>12</v>
      </c>
      <c r="G15" s="388" t="s">
        <v>268</v>
      </c>
      <c r="H15" s="394">
        <v>5</v>
      </c>
      <c r="I15" s="308">
        <f>PLANTILLA!I16</f>
        <v>11.3</v>
      </c>
      <c r="J15" s="486">
        <f>PLANTILLA!X16</f>
        <v>0</v>
      </c>
      <c r="K15" s="486">
        <f>PLANTILLA!Y16</f>
        <v>8.6275555555555581</v>
      </c>
      <c r="L15" s="486">
        <f>PLANTILLA!Z16</f>
        <v>14.2856365079365</v>
      </c>
      <c r="M15" s="486">
        <f>PLANTILLA!AA16</f>
        <v>9.99</v>
      </c>
      <c r="N15" s="486">
        <f>PLANTILLA!AB16</f>
        <v>10.09</v>
      </c>
      <c r="O15" s="486">
        <f>PLANTILLA!AC16</f>
        <v>4.3999999999999995</v>
      </c>
      <c r="P15" s="486">
        <f>PLANTILLA!AD16</f>
        <v>16.544444444444441</v>
      </c>
      <c r="Q15" s="411">
        <f t="shared" si="4"/>
        <v>32</v>
      </c>
      <c r="R15" s="412">
        <f t="shared" ca="1" si="5"/>
        <v>19</v>
      </c>
      <c r="S15" s="180"/>
      <c r="T15" s="180"/>
      <c r="U15" s="180"/>
      <c r="V15" s="180"/>
      <c r="W15" s="180"/>
      <c r="X15" s="180"/>
      <c r="Y15" s="180"/>
      <c r="Z15" s="180"/>
      <c r="AA15" s="296">
        <f t="shared" si="6"/>
        <v>11.3</v>
      </c>
      <c r="AB15" s="506">
        <f t="shared" si="20"/>
        <v>0</v>
      </c>
      <c r="AC15" s="506">
        <f>K15+(T$2/50)</f>
        <v>8.6275555555555581</v>
      </c>
      <c r="AD15" s="506">
        <f>L15+(U$2/11)</f>
        <v>14.2856365079365</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1.9464285714285714</v>
      </c>
      <c r="D16" s="386" t="s">
        <v>272</v>
      </c>
      <c r="E16" s="387">
        <f>PLANTILLA!E17</f>
        <v>31</v>
      </c>
      <c r="F16" s="387">
        <f ca="1">PLANTILLA!F17</f>
        <v>6</v>
      </c>
      <c r="G16" s="388"/>
      <c r="H16" s="371">
        <v>4</v>
      </c>
      <c r="I16" s="308">
        <f>PLANTILLA!I17</f>
        <v>9.3000000000000007</v>
      </c>
      <c r="J16" s="486">
        <f>PLANTILLA!X17</f>
        <v>0</v>
      </c>
      <c r="K16" s="486">
        <f>PLANTILLA!Y17</f>
        <v>10.549999999999995</v>
      </c>
      <c r="L16" s="486">
        <f>PLANTILLA!Z17</f>
        <v>12.969777777777777</v>
      </c>
      <c r="M16" s="486">
        <f>PLANTILLA!AA17</f>
        <v>5.1399999999999979</v>
      </c>
      <c r="N16" s="486">
        <f>PLANTILLA!AB17</f>
        <v>9.24</v>
      </c>
      <c r="O16" s="486">
        <f>PLANTILLA!AC17</f>
        <v>2.98</v>
      </c>
      <c r="P16" s="486">
        <f>PLANTILLA!AD17</f>
        <v>16.959999999999997</v>
      </c>
      <c r="Q16" s="411">
        <f t="shared" si="4"/>
        <v>31</v>
      </c>
      <c r="R16" s="412">
        <f t="shared" ca="1" si="5"/>
        <v>13</v>
      </c>
      <c r="S16" s="180"/>
      <c r="T16" s="180"/>
      <c r="U16" s="180"/>
      <c r="V16" s="180"/>
      <c r="W16" s="180"/>
      <c r="X16" s="180"/>
      <c r="Y16" s="180"/>
      <c r="Z16" s="180"/>
      <c r="AA16" s="296">
        <f t="shared" si="6"/>
        <v>9.3000000000000007</v>
      </c>
      <c r="AB16" s="506">
        <f t="shared" si="20"/>
        <v>0</v>
      </c>
      <c r="AC16" s="506">
        <f>K16+(T$2/7)</f>
        <v>10.549999999999995</v>
      </c>
      <c r="AD16" s="506">
        <f>L16+(U$2/11)</f>
        <v>12.969777777777777</v>
      </c>
      <c r="AE16" s="506">
        <f>M16+(V$2/19)</f>
        <v>5.1399999999999979</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2.1696428571428572</v>
      </c>
      <c r="D17" s="294" t="s">
        <v>400</v>
      </c>
      <c r="E17" s="387">
        <f>PLANTILLA!E18</f>
        <v>30</v>
      </c>
      <c r="F17" s="387">
        <f ca="1">PLANTILLA!F18</f>
        <v>93</v>
      </c>
      <c r="G17" s="388"/>
      <c r="H17" s="371">
        <v>1</v>
      </c>
      <c r="I17" s="308">
        <f>PLANTILLA!I18</f>
        <v>8.1999999999999993</v>
      </c>
      <c r="J17" s="486">
        <f>PLANTILLA!X18</f>
        <v>0</v>
      </c>
      <c r="K17" s="486">
        <f>PLANTILLA!Y18</f>
        <v>5.4644444444444451</v>
      </c>
      <c r="L17" s="486">
        <f>PLANTILLA!Z18</f>
        <v>14.379028042328033</v>
      </c>
      <c r="M17" s="486">
        <f>PLANTILLA!AA18</f>
        <v>3.5124999999999993</v>
      </c>
      <c r="N17" s="486">
        <f>PLANTILLA!AB18</f>
        <v>9.1400000000000041</v>
      </c>
      <c r="O17" s="486">
        <f>PLANTILLA!AC18</f>
        <v>7.4318888888888894</v>
      </c>
      <c r="P17" s="486">
        <f>PLANTILLA!AD18</f>
        <v>16.07</v>
      </c>
      <c r="Q17" s="411">
        <f t="shared" si="4"/>
        <v>30</v>
      </c>
      <c r="R17" s="412">
        <f t="shared" ca="1" si="5"/>
        <v>100</v>
      </c>
      <c r="S17" s="180"/>
      <c r="T17" s="180"/>
      <c r="U17" s="180"/>
      <c r="V17" s="180"/>
      <c r="W17" s="180"/>
      <c r="X17" s="180"/>
      <c r="Y17" s="180"/>
      <c r="Z17" s="180"/>
      <c r="AA17" s="296">
        <f t="shared" si="6"/>
        <v>8.1999999999999993</v>
      </c>
      <c r="AB17" s="506">
        <f t="shared" si="20"/>
        <v>0</v>
      </c>
      <c r="AC17" s="506">
        <f>K17+(T$2/6.5)</f>
        <v>5.4644444444444451</v>
      </c>
      <c r="AD17" s="506">
        <f>L17+(U$2/11)</f>
        <v>14.379028042328033</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3.6160714285714284</v>
      </c>
      <c r="D18" s="294" t="s">
        <v>414</v>
      </c>
      <c r="E18" s="387">
        <f>PLANTILLA!E19</f>
        <v>29</v>
      </c>
      <c r="F18" s="387">
        <f ca="1">PLANTILLA!F19</f>
        <v>43</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50</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2.4821428571428572</v>
      </c>
      <c r="D20" s="294" t="str">
        <f>PLANTILLA!D7</f>
        <v>B. Pinczehelyi</v>
      </c>
      <c r="E20" s="387">
        <f>PLANTILLA!E7</f>
        <v>30</v>
      </c>
      <c r="F20" s="395">
        <f ca="1">PLANTILLA!F7</f>
        <v>58</v>
      </c>
      <c r="G20" s="388" t="s">
        <v>502</v>
      </c>
      <c r="H20" s="371">
        <v>2</v>
      </c>
      <c r="I20" s="308">
        <f>PLANTILLA!I7</f>
        <v>14.4</v>
      </c>
      <c r="J20" s="486">
        <f>PLANTILLA!X7</f>
        <v>0</v>
      </c>
      <c r="K20" s="486">
        <f>PLANTILLA!Y7</f>
        <v>14.300000000000004</v>
      </c>
      <c r="L20" s="486">
        <f>PLANTILLA!Z7</f>
        <v>9.3693333333333353</v>
      </c>
      <c r="M20" s="486">
        <f>PLANTILLA!AA7</f>
        <v>14.333333333333329</v>
      </c>
      <c r="N20" s="486">
        <f>PLANTILLA!AB7</f>
        <v>9.4199999999999982</v>
      </c>
      <c r="O20" s="486">
        <f>PLANTILLA!AC7</f>
        <v>1.1428571428571428</v>
      </c>
      <c r="P20" s="486">
        <f>PLANTILLA!AD7</f>
        <v>9.4</v>
      </c>
      <c r="Q20" s="411">
        <f t="shared" si="4"/>
        <v>30</v>
      </c>
      <c r="R20" s="412">
        <f t="shared" ca="1" si="5"/>
        <v>65</v>
      </c>
      <c r="S20" s="180"/>
      <c r="T20" s="180"/>
      <c r="U20" s="180"/>
      <c r="V20" s="180"/>
      <c r="W20" s="180"/>
      <c r="X20" s="180"/>
      <c r="Y20" s="180"/>
      <c r="Z20" s="180"/>
      <c r="AA20" s="296">
        <f t="shared" si="6"/>
        <v>14.4</v>
      </c>
      <c r="AB20" s="506">
        <f t="shared" si="20"/>
        <v>0</v>
      </c>
      <c r="AC20" s="506">
        <f>K20+(T$2/20)</f>
        <v>14.300000000000004</v>
      </c>
      <c r="AD20" s="506">
        <f>L20+(U$2/50)</f>
        <v>9.3693333333333353</v>
      </c>
      <c r="AE20" s="506">
        <f>M20+(V$2/35)</f>
        <v>14.333333333333329</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2.8392857142857144</v>
      </c>
      <c r="D21" s="386" t="s">
        <v>287</v>
      </c>
      <c r="E21" s="387">
        <f>PLANTILLA!E21</f>
        <v>30</v>
      </c>
      <c r="F21" s="387">
        <f ca="1">PLANTILLA!F21</f>
        <v>18</v>
      </c>
      <c r="G21" s="388" t="s">
        <v>296</v>
      </c>
      <c r="H21" s="371">
        <v>4</v>
      </c>
      <c r="I21" s="308">
        <f>PLANTILLA!I21</f>
        <v>10.3</v>
      </c>
      <c r="J21" s="486">
        <f>PLANTILLA!X21</f>
        <v>0</v>
      </c>
      <c r="K21" s="486">
        <f>PLANTILLA!Y21</f>
        <v>6.8376190476190493</v>
      </c>
      <c r="L21" s="486">
        <f>PLANTILLA!Z21</f>
        <v>8.6349999999999998</v>
      </c>
      <c r="M21" s="486">
        <f>PLANTILLA!AA21</f>
        <v>8.7399999999999967</v>
      </c>
      <c r="N21" s="486">
        <f>PLANTILLA!AB21</f>
        <v>9.6900000000000013</v>
      </c>
      <c r="O21" s="486">
        <f>PLANTILLA!AC21</f>
        <v>8.5625000000000018</v>
      </c>
      <c r="P21" s="486">
        <f>PLANTILLA!AD21</f>
        <v>18.639999999999993</v>
      </c>
      <c r="Q21" s="411">
        <f t="shared" si="4"/>
        <v>30</v>
      </c>
      <c r="R21" s="412">
        <f t="shared" ca="1" si="5"/>
        <v>25</v>
      </c>
      <c r="S21" s="180"/>
      <c r="T21" s="180"/>
      <c r="U21" s="180"/>
      <c r="V21" s="180"/>
      <c r="W21" s="180"/>
      <c r="X21" s="180"/>
      <c r="Y21" s="180"/>
      <c r="Z21" s="180"/>
      <c r="AA21" s="296">
        <f t="shared" si="6"/>
        <v>10.3</v>
      </c>
      <c r="AB21" s="506">
        <f t="shared" si="20"/>
        <v>0</v>
      </c>
      <c r="AC21" s="506">
        <f>K21+(T$2/32)</f>
        <v>6.8376190476190493</v>
      </c>
      <c r="AD21" s="506">
        <f>L21+(U$2/7)</f>
        <v>8.6349999999999998</v>
      </c>
      <c r="AE21" s="506">
        <f>M21+(V$2/25)</f>
        <v>8.7399999999999967</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2.2232142857142856</v>
      </c>
      <c r="D22" s="386" t="str">
        <f>PLANTILLA!D22</f>
        <v>L. Calosso</v>
      </c>
      <c r="E22" s="387">
        <f>PLANTILLA!E22</f>
        <v>30</v>
      </c>
      <c r="F22" s="387">
        <f ca="1">PLANTILLA!F22</f>
        <v>87</v>
      </c>
      <c r="G22" s="388"/>
      <c r="H22" s="371">
        <v>4</v>
      </c>
      <c r="I22" s="308">
        <f>PLANTILLA!I22</f>
        <v>10.5</v>
      </c>
      <c r="J22" s="486">
        <f>PLANTILLA!X22</f>
        <v>0</v>
      </c>
      <c r="K22" s="486">
        <f>PLANTILLA!Y22</f>
        <v>3.02</v>
      </c>
      <c r="L22" s="486">
        <f>PLANTILLA!Z22</f>
        <v>14.237609523809523</v>
      </c>
      <c r="M22" s="486">
        <f>PLANTILLA!AA22</f>
        <v>3.04</v>
      </c>
      <c r="N22" s="486">
        <f>PLANTILLA!AB22</f>
        <v>15.02</v>
      </c>
      <c r="O22" s="486">
        <f>PLANTILLA!AC22</f>
        <v>10</v>
      </c>
      <c r="P22" s="486">
        <f>PLANTILLA!AD22</f>
        <v>9.3000000000000007</v>
      </c>
      <c r="Q22" s="411">
        <f t="shared" si="4"/>
        <v>30</v>
      </c>
      <c r="R22" s="412">
        <f t="shared" ca="1" si="5"/>
        <v>94</v>
      </c>
      <c r="S22" s="180"/>
      <c r="T22" s="180"/>
      <c r="U22" s="180"/>
      <c r="V22" s="180"/>
      <c r="W22" s="180"/>
      <c r="X22" s="180"/>
      <c r="Y22" s="180"/>
      <c r="Z22" s="180"/>
      <c r="AA22" s="296">
        <f t="shared" si="6"/>
        <v>10.5</v>
      </c>
      <c r="AB22" s="506">
        <f t="shared" si="20"/>
        <v>0</v>
      </c>
      <c r="AC22" s="506">
        <f>K22+(T$2/21)</f>
        <v>3.02</v>
      </c>
      <c r="AD22" s="506">
        <f>L22+(U$2/21)</f>
        <v>14.237609523809523</v>
      </c>
      <c r="AE22" s="506">
        <f>M22+(V$2/22)</f>
        <v>3.04</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5.5625</v>
      </c>
      <c r="D23" s="294" t="s">
        <v>541</v>
      </c>
      <c r="E23" s="387">
        <f>PLANTILLA!E23</f>
        <v>27</v>
      </c>
      <c r="F23" s="387">
        <f ca="1">PLANTILLA!F23</f>
        <v>49</v>
      </c>
      <c r="G23" s="388"/>
      <c r="H23" s="396">
        <v>6</v>
      </c>
      <c r="I23" s="308">
        <f>PLANTILLA!I23</f>
        <v>5.5</v>
      </c>
      <c r="J23" s="486">
        <f>PLANTILLA!X23</f>
        <v>0</v>
      </c>
      <c r="K23" s="486">
        <f>PLANTILLA!Y23</f>
        <v>4.0199999999999996</v>
      </c>
      <c r="L23" s="486">
        <f>PLANTILLA!Z23</f>
        <v>5.5638722222222201</v>
      </c>
      <c r="M23" s="486">
        <f>PLANTILLA!AA23</f>
        <v>5.5099999999999989</v>
      </c>
      <c r="N23" s="486">
        <f>PLANTILLA!AB23</f>
        <v>10.799999999999999</v>
      </c>
      <c r="O23" s="486">
        <f>PLANTILLA!AC23</f>
        <v>8.384500000000001</v>
      </c>
      <c r="P23" s="486">
        <f>PLANTILLA!AD23</f>
        <v>13.566666666666668</v>
      </c>
      <c r="Q23" s="411">
        <f t="shared" si="4"/>
        <v>27</v>
      </c>
      <c r="R23" s="412">
        <f t="shared" ca="1" si="5"/>
        <v>56</v>
      </c>
      <c r="S23" s="180"/>
      <c r="T23" s="180"/>
      <c r="U23" s="180"/>
      <c r="V23" s="180"/>
      <c r="W23" s="180"/>
      <c r="X23" s="180"/>
      <c r="Y23" s="180"/>
      <c r="Z23" s="180"/>
      <c r="AA23" s="296">
        <f t="shared" si="6"/>
        <v>5.5</v>
      </c>
      <c r="AB23" s="506">
        <f t="shared" si="20"/>
        <v>0</v>
      </c>
      <c r="AC23" s="506">
        <f>K23+(T$2/20)</f>
        <v>4.0199999999999996</v>
      </c>
      <c r="AD23" s="506">
        <f>L23+(U$2/27)</f>
        <v>5.5638722222222201</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2.0599999999999987</v>
      </c>
      <c r="H3" s="265">
        <f>Evaluacion!N3</f>
        <v>2.149999999999999</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13.226555555555553</v>
      </c>
      <c r="H4" s="265">
        <f>Evaluacion!N6</f>
        <v>9.8750000000000053</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2.7028033396739017</v>
      </c>
      <c r="S4" s="597">
        <f>Evaluacion!AL6</f>
        <v>7.5457426011671949</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12.969777777777777</v>
      </c>
      <c r="H5" s="265">
        <f>Evaluacion!N15</f>
        <v>5.1399999999999979</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3.7511390334522261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9.3693333333333353</v>
      </c>
      <c r="H6" s="265">
        <f>Evaluacion!N9</f>
        <v>14.333333333333329</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1.9896073815732096</v>
      </c>
      <c r="S6" s="597">
        <v>0</v>
      </c>
      <c r="T6" s="597">
        <f>0</f>
        <v>0</v>
      </c>
      <c r="U6" s="597">
        <f>Evaluacion!AL9</f>
        <v>9.9241561938026734</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13.839999999999998</v>
      </c>
      <c r="H7" s="265">
        <f>Evaluacion!N13</f>
        <v>12.945</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12.1509864614424</v>
      </c>
      <c r="S7" s="597">
        <f>Evaluacion!BH13*N7</f>
        <v>10.754684840490688</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14.379028042328033</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14.105393372542713</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14.2856365079365</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12.493933574460728</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12.579111111111114</v>
      </c>
      <c r="H10" s="265">
        <f>Evaluacion!N10</f>
        <v>13.216666666666669</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7.0735536862602117</v>
      </c>
      <c r="S10" s="597">
        <f>Evaluacion!BW10</f>
        <v>17.368854085320347</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10.550000000000004</v>
      </c>
      <c r="H11" s="265">
        <f>Evaluacion!N11</f>
        <v>13.471666666666668</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6.0997502258412624</v>
      </c>
      <c r="S11" s="597">
        <v>0</v>
      </c>
      <c r="T11" s="597">
        <f>Evaluacion!BX11</f>
        <v>1.5991413787402029</v>
      </c>
      <c r="U11" s="597">
        <f>Evaluacion!BW11</f>
        <v>17.3318572532574</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8.6349999999999998</v>
      </c>
      <c r="H12" s="265">
        <f>Evaluacion!N19</f>
        <v>8.7399999999999967</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2.7134374757821291</v>
      </c>
      <c r="S12" s="597">
        <f>N12*Evaluacion!CH19</f>
        <v>6.7847221146490657</v>
      </c>
      <c r="T12" s="597">
        <f>N12*Evaluacion!CI19</f>
        <v>15.158154892382942</v>
      </c>
      <c r="U12" s="597">
        <f>S12</f>
        <v>6.7847221146490657</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14.237609523809523</v>
      </c>
      <c r="H13" s="265">
        <f>Evaluacion!N20</f>
        <v>3.04</v>
      </c>
      <c r="I13" s="265">
        <f>Evaluacion!O20</f>
        <v>15.02</v>
      </c>
      <c r="J13" s="265">
        <f>Evaluacion!P20</f>
        <v>10</v>
      </c>
      <c r="K13" s="265">
        <f>Evaluacion!Q20</f>
        <v>9.3000000000000007</v>
      </c>
      <c r="M13" t="s">
        <v>602</v>
      </c>
      <c r="N13" s="596">
        <f>1-0.055</f>
        <v>0.94499999999999995</v>
      </c>
      <c r="O13" s="597">
        <v>0</v>
      </c>
      <c r="P13" s="597">
        <v>0</v>
      </c>
      <c r="Q13" s="597">
        <v>0</v>
      </c>
      <c r="R13" s="597">
        <f>N13*Evaluacion!CD20</f>
        <v>6.5604482438322176</v>
      </c>
      <c r="S13" s="597">
        <f>N13*Evaluacion!CE20</f>
        <v>7.8551169086137014</v>
      </c>
      <c r="T13" s="597">
        <f>N13*Evaluacion!CF20</f>
        <v>16.261565229948463</v>
      </c>
      <c r="U13" s="597">
        <f>S13</f>
        <v>7.8551169086137014</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69.641052794860997</v>
      </c>
      <c r="S14" s="598">
        <f t="shared" si="0"/>
        <v>52.165481846579787</v>
      </c>
      <c r="T14" s="598">
        <f t="shared" si="0"/>
        <v>44.871659757894058</v>
      </c>
      <c r="U14" s="598">
        <f t="shared" si="0"/>
        <v>53.235059926544068</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8.7051315993576246</v>
      </c>
      <c r="S15" s="600">
        <f>S14*0.25</f>
        <v>13.041370461644947</v>
      </c>
      <c r="T15" s="600">
        <f>T14*0.19</f>
        <v>8.5256153539998714</v>
      </c>
      <c r="U15" s="600">
        <f>U14*0.25</f>
        <v>13.308764981636017</v>
      </c>
    </row>
    <row r="16" spans="2:25" ht="15.75" x14ac:dyDescent="0.25">
      <c r="M16" s="263"/>
      <c r="N16" s="263" t="s">
        <v>813</v>
      </c>
      <c r="O16" s="610">
        <f>O15*1.2/1.05</f>
        <v>16.665838879741326</v>
      </c>
      <c r="P16" s="610">
        <f t="shared" ref="P16:Q16" si="1">P15*1.2/1.05</f>
        <v>18.275978087461741</v>
      </c>
      <c r="Q16" s="610">
        <f t="shared" si="1"/>
        <v>16.664987246541664</v>
      </c>
      <c r="R16" s="610">
        <f>R15</f>
        <v>8.7051315993576246</v>
      </c>
      <c r="S16" s="610">
        <f>S15*0.925/1.05</f>
        <v>11.488826359068167</v>
      </c>
      <c r="T16" s="610">
        <f t="shared" ref="T16:U16" si="2">T15*0.925/1.05</f>
        <v>7.5106611451903627</v>
      </c>
      <c r="U16" s="610">
        <f t="shared" si="2"/>
        <v>11.724388198107921</v>
      </c>
    </row>
    <row r="17" spans="13:21" ht="15.75" x14ac:dyDescent="0.25">
      <c r="M17" s="263"/>
      <c r="N17" s="263" t="s">
        <v>814</v>
      </c>
      <c r="O17" s="610">
        <f>O15*0.925/1.05</f>
        <v>12.846584136467273</v>
      </c>
      <c r="P17" s="610">
        <f t="shared" ref="P17:Q17" si="3">P15*0.925/1.05</f>
        <v>14.087733109085093</v>
      </c>
      <c r="Q17" s="610">
        <f t="shared" si="3"/>
        <v>12.8459276692092</v>
      </c>
      <c r="R17" s="610">
        <f>R16</f>
        <v>8.7051315993576246</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2.0599999999999987</v>
      </c>
      <c r="G2" s="265">
        <f>Evaluacion!N3</f>
        <v>2.149999999999999</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9.3693333333333353</v>
      </c>
      <c r="G3" s="265">
        <f>Evaluacion!N9</f>
        <v>14.333333333333329</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1.9896073815732096</v>
      </c>
      <c r="R3" s="597">
        <f>Evaluacion!AL9</f>
        <v>9.9241561938026734</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7.012500000000002</v>
      </c>
      <c r="G4" s="265">
        <f>Evaluacion!N7</f>
        <v>7.5000000000000018</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13.226555555555553</v>
      </c>
      <c r="G5" s="265">
        <f>Evaluacion!N6</f>
        <v>9.8750000000000053</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3.4667094332823338</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6.2094444444444408</v>
      </c>
      <c r="G6" s="265">
        <f>Evaluacion!N5</f>
        <v>6.1</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12.579111111111114</v>
      </c>
      <c r="G7" s="265">
        <f>Evaluacion!N10</f>
        <v>13.216666666666669</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2.5962273969350669</v>
      </c>
      <c r="R7" s="597">
        <v>0</v>
      </c>
      <c r="S7" s="597">
        <v>0</v>
      </c>
      <c r="T7" s="597">
        <f>Evaluacion!AL10</f>
        <v>9.5160905073721693</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14.2856365079365</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14.159791384388827</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13.839999999999998</v>
      </c>
      <c r="G9" s="265">
        <f>Evaluacion!N13</f>
        <v>12.945</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13.771117989634721</v>
      </c>
      <c r="R9" s="597">
        <v>0</v>
      </c>
      <c r="S9" s="597">
        <f>Evaluacion!BI13*M9</f>
        <v>2.8282317892568698</v>
      </c>
      <c r="T9" s="597">
        <f>Evaluacion!BH13*M9</f>
        <v>12.188642819222782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10.550000000000004</v>
      </c>
      <c r="G10" s="265">
        <f>Evaluacion!N11</f>
        <v>13.471666666666668</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6.0997502258412624</v>
      </c>
      <c r="R10" s="597">
        <f>Evaluacion!BW11</f>
        <v>17.3318572532574</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12.208412698412699</v>
      </c>
      <c r="G11" s="265">
        <f>Evaluacion!N12</f>
        <v>12.36</v>
      </c>
      <c r="H11" s="265">
        <f>Evaluacion!O12</f>
        <v>10.24</v>
      </c>
      <c r="I11" s="265">
        <f>Evaluacion!P12</f>
        <v>7.4766666666666666</v>
      </c>
      <c r="J11" s="265">
        <f>Evaluacion!Q12</f>
        <v>15.270000000000001</v>
      </c>
      <c r="L11" t="str">
        <f t="shared" si="0"/>
        <v>EXTN</v>
      </c>
      <c r="M11" s="596">
        <v>1</v>
      </c>
      <c r="N11" s="597">
        <v>0</v>
      </c>
      <c r="O11" s="597">
        <f>Evaluacion!BU12</f>
        <v>2.7162868964042599</v>
      </c>
      <c r="P11" s="597">
        <f>Evaluacion!BT12</f>
        <v>3.1615798302410232</v>
      </c>
      <c r="Q11" s="597">
        <f>Evaluacion!BV12</f>
        <v>6.8162349001709686</v>
      </c>
      <c r="R11" s="597">
        <v>0</v>
      </c>
      <c r="S11" s="597">
        <f>Evaluacion!BX12</f>
        <v>1.574491124856211</v>
      </c>
      <c r="T11" s="597">
        <f>Evaluacion!BW12</f>
        <v>16.24933426727836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14.237609523809523</v>
      </c>
      <c r="G12" s="265">
        <f>Evaluacion!N20</f>
        <v>3.04</v>
      </c>
      <c r="H12" s="265">
        <f>Evaluacion!O20</f>
        <v>15.02</v>
      </c>
      <c r="I12" s="265">
        <f>Evaluacion!P20</f>
        <v>10</v>
      </c>
      <c r="J12" s="265">
        <f>Evaluacion!Q20</f>
        <v>9.3000000000000007</v>
      </c>
      <c r="L12" t="str">
        <f t="shared" si="0"/>
        <v>DD</v>
      </c>
      <c r="M12" s="596">
        <v>1</v>
      </c>
      <c r="N12" s="597">
        <v>0</v>
      </c>
      <c r="O12" s="597">
        <v>0</v>
      </c>
      <c r="P12" s="597">
        <v>0</v>
      </c>
      <c r="Q12" s="597">
        <f>M12*Evaluacion!CD20</f>
        <v>6.9422732738965269</v>
      </c>
      <c r="R12" s="597">
        <f>M12*Evaluacion!CE20</f>
        <v>8.312293024988044</v>
      </c>
      <c r="S12" s="597">
        <f>M12*Evaluacion!CF20</f>
        <v>17.208005534336998</v>
      </c>
      <c r="T12" s="597">
        <f>R12</f>
        <v>8.312293024988044</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80.970757575371522</v>
      </c>
      <c r="P13" s="598">
        <f t="shared" si="1"/>
        <v>50.545666902496862</v>
      </c>
      <c r="Q13" s="598">
        <f t="shared" si="1"/>
        <v>61.316847840115877</v>
      </c>
      <c r="R13" s="598">
        <f t="shared" si="1"/>
        <v>48.112729397902704</v>
      </c>
      <c r="S13" s="598">
        <f t="shared" si="1"/>
        <v>26.137896385273397</v>
      </c>
      <c r="T13" s="598">
        <f t="shared" si="1"/>
        <v>47.916111396353593</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19.837835605966024</v>
      </c>
      <c r="P14" s="600">
        <f>P13*0.34</f>
        <v>17.185526746848936</v>
      </c>
      <c r="Q14" s="600">
        <f>Q13*0.125</f>
        <v>7.6646059800144846</v>
      </c>
      <c r="R14" s="600">
        <f>R13*0.25</f>
        <v>12.028182349475676</v>
      </c>
      <c r="S14" s="600">
        <f>S13*0.19</f>
        <v>4.9662003132019459</v>
      </c>
      <c r="T14" s="600">
        <f>T13*0.25</f>
        <v>11.979027849088398</v>
      </c>
    </row>
    <row r="15" spans="1:27" ht="15.75" x14ac:dyDescent="0.25">
      <c r="L15" s="263"/>
      <c r="M15" s="263" t="s">
        <v>813</v>
      </c>
      <c r="N15" s="610">
        <f>N14*1.2/1.05</f>
        <v>20.385304515814244</v>
      </c>
      <c r="O15" s="610">
        <f t="shared" ref="O15:P15" si="2">O14*1.2/1.05</f>
        <v>22.671812121104026</v>
      </c>
      <c r="P15" s="610">
        <f t="shared" si="2"/>
        <v>19.640601996398782</v>
      </c>
      <c r="Q15" s="610">
        <f>Q14</f>
        <v>7.6646059800144846</v>
      </c>
      <c r="R15" s="610">
        <f>R14*0.925/1.05</f>
        <v>10.596255879300001</v>
      </c>
      <c r="S15" s="610">
        <f t="shared" ref="S15:T15" si="3">S14*0.925/1.05</f>
        <v>4.3749859902017141</v>
      </c>
      <c r="T15" s="610">
        <f t="shared" si="3"/>
        <v>10.552953105149303</v>
      </c>
    </row>
    <row r="16" spans="1:27" ht="15.75" x14ac:dyDescent="0.25">
      <c r="L16" s="263"/>
      <c r="M16" s="263" t="s">
        <v>814</v>
      </c>
      <c r="N16" s="610">
        <f>N14*0.925/1.05</f>
        <v>15.713672230940148</v>
      </c>
      <c r="O16" s="610">
        <f t="shared" ref="O16:P16" si="4">O14*0.925/1.05</f>
        <v>17.476188510017689</v>
      </c>
      <c r="P16" s="610">
        <f t="shared" si="4"/>
        <v>15.139630705557396</v>
      </c>
      <c r="Q16" s="610">
        <f>Q15</f>
        <v>7.6646059800144846</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31</v>
      </c>
      <c r="D4" s="5">
        <f ca="1">PLANTILLA!F17</f>
        <v>6</v>
      </c>
      <c r="E4" s="163">
        <f>PLANTILLA!X17</f>
        <v>0</v>
      </c>
      <c r="F4" s="163">
        <f>PLANTILLA!Y17</f>
        <v>10.549999999999995</v>
      </c>
      <c r="G4" s="163">
        <f>PLANTILLA!Z17</f>
        <v>12.969777777777777</v>
      </c>
      <c r="H4" s="163">
        <f>PLANTILLA!AA17</f>
        <v>5.1399999999999979</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42</v>
      </c>
      <c r="E5" s="163">
        <f>PLANTILLA!X10</f>
        <v>0</v>
      </c>
      <c r="F5" s="163">
        <f>PLANTILLA!Y10</f>
        <v>11.999999999999996</v>
      </c>
      <c r="G5" s="163">
        <f>PLANTILLA!Z10</f>
        <v>7.012500000000002</v>
      </c>
      <c r="H5" s="163">
        <f>PLANTILLA!AA10</f>
        <v>7.5000000000000018</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103</v>
      </c>
      <c r="E6" s="163">
        <f>PLANTILLA!X8</f>
        <v>0</v>
      </c>
      <c r="F6" s="163">
        <f>PLANTILLA!Y8</f>
        <v>11.077333333333334</v>
      </c>
      <c r="G6" s="163">
        <f>PLANTILLA!Z8</f>
        <v>6.2094444444444408</v>
      </c>
      <c r="H6" s="163">
        <f>PLANTILLA!AA8</f>
        <v>6.1</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57</v>
      </c>
      <c r="E7" s="163">
        <f>PLANTILLA!X9</f>
        <v>0</v>
      </c>
      <c r="F7" s="163">
        <f>PLANTILLA!Y9</f>
        <v>12.200000000000005</v>
      </c>
      <c r="G7" s="163">
        <f>PLANTILLA!Z9</f>
        <v>13.226555555555553</v>
      </c>
      <c r="H7" s="163">
        <f>PLANTILLA!AA9</f>
        <v>9.8750000000000053</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19</v>
      </c>
      <c r="E8" s="163">
        <f>PLANTILLA!X12</f>
        <v>0</v>
      </c>
      <c r="F8" s="163">
        <f>PLANTILLA!Y12</f>
        <v>12.06111111111111</v>
      </c>
      <c r="G8" s="163">
        <f>PLANTILLA!Z12</f>
        <v>12.579111111111114</v>
      </c>
      <c r="H8" s="163">
        <f>PLANTILLA!AA12</f>
        <v>13.216666666666669</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PLANTILLA!A20</f>
        <v>#19</v>
      </c>
      <c r="B9" s="169" t="str">
        <f>PLANTILLA!D20</f>
        <v>G. Kerschl</v>
      </c>
      <c r="C9" s="5">
        <f>PLANTILLA!E20</f>
        <v>29</v>
      </c>
      <c r="D9" s="5">
        <f ca="1">PLANTILLA!F20</f>
        <v>8</v>
      </c>
      <c r="E9" s="163">
        <f>PLANTILLA!X20</f>
        <v>0</v>
      </c>
      <c r="F9" s="163">
        <f>PLANTILLA!Y20</f>
        <v>3</v>
      </c>
      <c r="G9" s="163">
        <f>PLANTILLA!Z20</f>
        <v>15.01</v>
      </c>
      <c r="H9" s="163">
        <f>PLANTILLA!AA20</f>
        <v>12.02</v>
      </c>
      <c r="I9" s="163">
        <f>PLANTILLA!AB20</f>
        <v>12</v>
      </c>
      <c r="J9" s="163">
        <f>PLANTILLA!AC20</f>
        <v>8</v>
      </c>
      <c r="K9" s="163">
        <f>PLANTILLA!AD20</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58</v>
      </c>
      <c r="E10" s="163">
        <f>PLANTILLA!X7</f>
        <v>0</v>
      </c>
      <c r="F10" s="163">
        <f>PLANTILLA!Y7</f>
        <v>14.300000000000004</v>
      </c>
      <c r="G10" s="163">
        <f>PLANTILLA!Z7</f>
        <v>9.3693333333333353</v>
      </c>
      <c r="H10" s="163">
        <f>PLANTILLA!AA7</f>
        <v>14.333333333333329</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46</v>
      </c>
      <c r="E11" s="163">
        <f>PLANTILLA!X5</f>
        <v>16.666666666666668</v>
      </c>
      <c r="F11" s="163">
        <f>PLANTILLA!Y5</f>
        <v>12.080559440559444</v>
      </c>
      <c r="G11" s="163">
        <f>PLANTILLA!Z5</f>
        <v>2.0599999999999987</v>
      </c>
      <c r="H11" s="163">
        <f>PLANTILLA!AA5</f>
        <v>2.149999999999999</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93</v>
      </c>
      <c r="E12" s="163">
        <f>PLANTILLA!X18</f>
        <v>0</v>
      </c>
      <c r="F12" s="163">
        <f>PLANTILLA!Y18</f>
        <v>5.4644444444444451</v>
      </c>
      <c r="G12" s="163">
        <f>PLANTILLA!Z18</f>
        <v>14.379028042328033</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78</v>
      </c>
      <c r="E13" s="163">
        <f>PLANTILLA!X13</f>
        <v>0</v>
      </c>
      <c r="F13" s="163">
        <f>PLANTILLA!Y13</f>
        <v>7.2503030303030309</v>
      </c>
      <c r="G13" s="163">
        <f>PLANTILLA!Z13</f>
        <v>10.550000000000004</v>
      </c>
      <c r="H13" s="163">
        <f>PLANTILLA!AA13</f>
        <v>13.471666666666668</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93</v>
      </c>
      <c r="E14" s="163">
        <f>PLANTILLA!X14</f>
        <v>0</v>
      </c>
      <c r="F14" s="163">
        <f>PLANTILLA!Y14</f>
        <v>8.3599999999999977</v>
      </c>
      <c r="G14" s="163">
        <f>PLANTILLA!Z14</f>
        <v>12.208412698412699</v>
      </c>
      <c r="H14" s="163">
        <f>PLANTILLA!AA14</f>
        <v>12.36</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90</v>
      </c>
      <c r="E15" s="163">
        <f>PLANTILLA!X15</f>
        <v>0</v>
      </c>
      <c r="F15" s="163">
        <f>PLANTILLA!Y15</f>
        <v>9.3036666666666648</v>
      </c>
      <c r="G15" s="163">
        <f>PLANTILLA!Z15</f>
        <v>13.839999999999998</v>
      </c>
      <c r="H15" s="163">
        <f>PLANTILLA!AA15</f>
        <v>12.945</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12</v>
      </c>
      <c r="E16" s="163">
        <f>PLANTILLA!X16</f>
        <v>0</v>
      </c>
      <c r="F16" s="163">
        <f>PLANTILLA!Y16</f>
        <v>8.6275555555555581</v>
      </c>
      <c r="G16" s="163">
        <f>PLANTILLA!Z16</f>
        <v>14.2856365079365</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18</v>
      </c>
      <c r="E17" s="163">
        <f>PLANTILLA!X21</f>
        <v>0</v>
      </c>
      <c r="F17" s="163">
        <f>PLANTILLA!Y21</f>
        <v>6.8376190476190493</v>
      </c>
      <c r="G17" s="163">
        <f>PLANTILLA!Z21</f>
        <v>8.6349999999999998</v>
      </c>
      <c r="H17" s="163">
        <f>PLANTILLA!AA21</f>
        <v>8.7399999999999967</v>
      </c>
      <c r="I17" s="163">
        <f>PLANTILLA!AB21</f>
        <v>9.6900000000000013</v>
      </c>
      <c r="J17" s="163">
        <f>PLANTILLA!AC21</f>
        <v>8.5625000000000018</v>
      </c>
      <c r="K17" s="163">
        <f>PLANTILLA!AD21</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49</v>
      </c>
      <c r="E18" s="163">
        <f>PLANTILLA!X23</f>
        <v>0</v>
      </c>
      <c r="F18" s="163">
        <f>PLANTILLA!Y23</f>
        <v>4.0199999999999996</v>
      </c>
      <c r="G18" s="163">
        <f>PLANTILLA!Z23</f>
        <v>5.5638722222222201</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87</v>
      </c>
      <c r="E19" s="163">
        <f>PLANTILLA!X22</f>
        <v>0</v>
      </c>
      <c r="F19" s="163">
        <f>PLANTILLA!Y22</f>
        <v>3.02</v>
      </c>
      <c r="G19" s="163">
        <f>PLANTILLA!Z22</f>
        <v>14.237609523809523</v>
      </c>
      <c r="H19" s="163">
        <f>PLANTILLA!AA22</f>
        <v>3.04</v>
      </c>
      <c r="I19" s="163">
        <f>PLANTILLA!AB22</f>
        <v>15.02</v>
      </c>
      <c r="J19" s="163">
        <f>PLANTILLA!AC22</f>
        <v>10</v>
      </c>
      <c r="K19" s="163">
        <f>PLANTILLA!AD22</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65</v>
      </c>
      <c r="E20" s="163">
        <f>PLANTILLA!X11</f>
        <v>0</v>
      </c>
      <c r="F20" s="163">
        <f>PLANTILLA!Y11</f>
        <v>9.6046666666666667</v>
      </c>
      <c r="G20" s="163">
        <f>PLANTILLA!Z11</f>
        <v>7.7507222222222225</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43</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55</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90</v>
      </c>
      <c r="E4" s="163">
        <f>PLANTILLA!X15</f>
        <v>0</v>
      </c>
      <c r="F4" s="163">
        <f>PLANTILLA!Y15</f>
        <v>9.3036666666666648</v>
      </c>
      <c r="G4" s="163">
        <f>PLANTILLA!Z15</f>
        <v>13.839999999999998</v>
      </c>
      <c r="H4" s="163">
        <f>PLANTILLA!AA15</f>
        <v>12.945</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93</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PLANTILLA!A21</f>
        <v>#9</v>
      </c>
      <c r="B6" s="169" t="str">
        <f>PLANTILLA!D21</f>
        <v>J. Limon</v>
      </c>
      <c r="C6" s="287">
        <f>PLANTILLA!E21</f>
        <v>30</v>
      </c>
      <c r="D6" s="287">
        <f ca="1">PLANTILLA!F21</f>
        <v>18</v>
      </c>
      <c r="E6" s="163">
        <f>PLANTILLA!X21</f>
        <v>0</v>
      </c>
      <c r="F6" s="163">
        <f>PLANTILLA!Y21</f>
        <v>6.8376190476190493</v>
      </c>
      <c r="G6" s="163">
        <f>PLANTILLA!Z21</f>
        <v>8.6349999999999998</v>
      </c>
      <c r="H6" s="163">
        <f>PLANTILLA!AA21</f>
        <v>8.7399999999999967</v>
      </c>
      <c r="I6" s="163">
        <f>PLANTILLA!AB21</f>
        <v>9.6900000000000013</v>
      </c>
      <c r="J6" s="163">
        <f>PLANTILLA!AC21</f>
        <v>8.5625000000000018</v>
      </c>
      <c r="K6" s="163">
        <f>PLANTILLA!AD21</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PLANTILLA!A20</f>
        <v>#19</v>
      </c>
      <c r="B7" s="169" t="str">
        <f>PLANTILLA!D20</f>
        <v>G. Kerschl</v>
      </c>
      <c r="C7" s="287">
        <f>PLANTILLA!E20</f>
        <v>29</v>
      </c>
      <c r="D7" s="287">
        <f ca="1">PLANTILLA!F20</f>
        <v>8</v>
      </c>
      <c r="E7" s="163">
        <f>PLANTILLA!X20</f>
        <v>0</v>
      </c>
      <c r="F7" s="163">
        <f>PLANTILLA!Y20</f>
        <v>3</v>
      </c>
      <c r="G7" s="163">
        <f>PLANTILLA!Z20</f>
        <v>15.01</v>
      </c>
      <c r="H7" s="163">
        <f>PLANTILLA!AA20</f>
        <v>12.02</v>
      </c>
      <c r="I7" s="163">
        <f>PLANTILLA!AB20</f>
        <v>12</v>
      </c>
      <c r="J7" s="163">
        <f>PLANTILLA!AC20</f>
        <v>8</v>
      </c>
      <c r="K7" s="163">
        <f>PLANTILLA!AD20</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78</v>
      </c>
      <c r="E8" s="163">
        <f>PLANTILLA!X13</f>
        <v>0</v>
      </c>
      <c r="F8" s="163">
        <f>PLANTILLA!Y13</f>
        <v>7.2503030303030309</v>
      </c>
      <c r="G8" s="163">
        <f>PLANTILLA!Z13</f>
        <v>10.550000000000004</v>
      </c>
      <c r="H8" s="163">
        <f>PLANTILLA!AA13</f>
        <v>13.471666666666668</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32</v>
      </c>
      <c r="D9" s="287">
        <f ca="1">PLANTILLA!F16</f>
        <v>12</v>
      </c>
      <c r="E9" s="163">
        <f>PLANTILLA!X16</f>
        <v>0</v>
      </c>
      <c r="F9" s="163">
        <f>PLANTILLA!Y16</f>
        <v>8.6275555555555581</v>
      </c>
      <c r="G9" s="163">
        <f>PLANTILLA!Z16</f>
        <v>14.2856365079365</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93</v>
      </c>
      <c r="E10" s="163">
        <f>PLANTILLA!X14</f>
        <v>0</v>
      </c>
      <c r="F10" s="163">
        <f>PLANTILLA!Y14</f>
        <v>8.3599999999999977</v>
      </c>
      <c r="G10" s="163">
        <f>PLANTILLA!Z14</f>
        <v>12.208412698412699</v>
      </c>
      <c r="H10" s="163">
        <f>PLANTILLA!AA14</f>
        <v>12.36</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19</v>
      </c>
      <c r="E11" s="163">
        <f>PLANTILLA!X12</f>
        <v>0</v>
      </c>
      <c r="F11" s="163">
        <f>PLANTILLA!Y12</f>
        <v>12.06111111111111</v>
      </c>
      <c r="G11" s="163">
        <f>PLANTILLA!Z12</f>
        <v>12.579111111111114</v>
      </c>
      <c r="H11" s="163">
        <f>PLANTILLA!AA12</f>
        <v>13.216666666666669</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103</v>
      </c>
      <c r="E12" s="163">
        <f>PLANTILLA!X8</f>
        <v>0</v>
      </c>
      <c r="F12" s="163">
        <f>PLANTILLA!Y8</f>
        <v>11.077333333333334</v>
      </c>
      <c r="G12" s="163">
        <f>PLANTILLA!Z8</f>
        <v>6.2094444444444408</v>
      </c>
      <c r="H12" s="163">
        <f>PLANTILLA!AA8</f>
        <v>6.1</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42</v>
      </c>
      <c r="E13" s="163">
        <f>PLANTILLA!X10</f>
        <v>0</v>
      </c>
      <c r="F13" s="163">
        <f>PLANTILLA!Y10</f>
        <v>11.999999999999996</v>
      </c>
      <c r="G13" s="163">
        <f>PLANTILLA!Z10</f>
        <v>7.012500000000002</v>
      </c>
      <c r="H13" s="163">
        <f>PLANTILLA!AA10</f>
        <v>7.5000000000000018</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57</v>
      </c>
      <c r="E14" s="163">
        <f>PLANTILLA!X9</f>
        <v>0</v>
      </c>
      <c r="F14" s="163">
        <f>PLANTILLA!Y9</f>
        <v>12.200000000000005</v>
      </c>
      <c r="G14" s="163">
        <f>PLANTILLA!Z9</f>
        <v>13.226555555555553</v>
      </c>
      <c r="H14" s="163">
        <f>PLANTILLA!AA9</f>
        <v>9.8750000000000053</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87</v>
      </c>
      <c r="E15" s="163">
        <f>PLANTILLA!X22</f>
        <v>0</v>
      </c>
      <c r="F15" s="163">
        <f>PLANTILLA!Y22</f>
        <v>3.02</v>
      </c>
      <c r="G15" s="163">
        <f>PLANTILLA!Z22</f>
        <v>14.237609523809523</v>
      </c>
      <c r="H15" s="163">
        <f>PLANTILLA!AA22</f>
        <v>3.04</v>
      </c>
      <c r="I15" s="163">
        <f>PLANTILLA!AB22</f>
        <v>15.02</v>
      </c>
      <c r="J15" s="163">
        <f>PLANTILLA!AC22</f>
        <v>10</v>
      </c>
      <c r="K15" s="163">
        <f>PLANTILLA!AD22</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6</v>
      </c>
      <c r="E16" s="163">
        <f>PLANTILLA!X17</f>
        <v>0</v>
      </c>
      <c r="F16" s="163">
        <f>PLANTILLA!Y17</f>
        <v>10.549999999999995</v>
      </c>
      <c r="G16" s="163">
        <f>PLANTILLA!Z17</f>
        <v>12.969777777777777</v>
      </c>
      <c r="H16" s="163">
        <f>PLANTILLA!AA17</f>
        <v>5.1399999999999979</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58</v>
      </c>
      <c r="E17" s="163">
        <f>PLANTILLA!X7</f>
        <v>0</v>
      </c>
      <c r="F17" s="163">
        <f>PLANTILLA!Y7</f>
        <v>14.300000000000004</v>
      </c>
      <c r="G17" s="163">
        <f>PLANTILLA!Z7</f>
        <v>9.3693333333333353</v>
      </c>
      <c r="H17" s="163">
        <f>PLANTILLA!AA7</f>
        <v>14.333333333333329</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49</v>
      </c>
      <c r="E18" s="163">
        <f>PLANTILLA!X23</f>
        <v>0</v>
      </c>
      <c r="F18" s="163">
        <f>PLANTILLA!Y23</f>
        <v>4.0199999999999996</v>
      </c>
      <c r="G18" s="163">
        <f>PLANTILLA!Z23</f>
        <v>5.5638722222222201</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46</v>
      </c>
      <c r="E19" s="163">
        <f>PLANTILLA!X5</f>
        <v>16.666666666666668</v>
      </c>
      <c r="F19" s="163">
        <f>PLANTILLA!Y5</f>
        <v>12.080559440559444</v>
      </c>
      <c r="G19" s="163">
        <f>PLANTILLA!Z5</f>
        <v>2.0599999999999987</v>
      </c>
      <c r="H19" s="163">
        <f>PLANTILLA!AA5</f>
        <v>2.149999999999999</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55</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65</v>
      </c>
      <c r="E21" s="163">
        <f>PLANTILLA!X11</f>
        <v>0</v>
      </c>
      <c r="F21" s="163">
        <f>PLANTILLA!Y11</f>
        <v>9.6046666666666667</v>
      </c>
      <c r="G21" s="163">
        <f>PLANTILLA!Z11</f>
        <v>7.7507222222222225</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43</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PLANTILLA!A21</f>
        <v>#9</v>
      </c>
      <c r="B4" s="670" t="str">
        <f>PLANTILLA!D21</f>
        <v>J. Limon</v>
      </c>
      <c r="C4" s="287">
        <f>PLANTILLA!E21</f>
        <v>30</v>
      </c>
      <c r="D4" s="287">
        <f ca="1">PLANTILLA!F21</f>
        <v>18</v>
      </c>
      <c r="E4" s="163">
        <f>PLANTILLA!X21</f>
        <v>0</v>
      </c>
      <c r="F4" s="163">
        <f>PLANTILLA!Y21</f>
        <v>6.8376190476190493</v>
      </c>
      <c r="G4" s="163">
        <f>PLANTILLA!Z21</f>
        <v>8.6349999999999998</v>
      </c>
      <c r="H4" s="163">
        <f>PLANTILLA!AA21</f>
        <v>8.7399999999999967</v>
      </c>
      <c r="I4" s="163">
        <f>PLANTILLA!AB21</f>
        <v>9.6900000000000013</v>
      </c>
      <c r="J4" s="163">
        <f>PLANTILLA!AC21</f>
        <v>8.5625000000000018</v>
      </c>
      <c r="K4" s="163">
        <f>PLANTILLA!AD21</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93</v>
      </c>
      <c r="E5" s="163">
        <f>PLANTILLA!X18</f>
        <v>0</v>
      </c>
      <c r="F5" s="163">
        <f>PLANTILLA!Y18</f>
        <v>5.4644444444444451</v>
      </c>
      <c r="G5" s="163">
        <f>PLANTILLA!Z18</f>
        <v>14.379028042328033</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90</v>
      </c>
      <c r="E6" s="163">
        <f>PLANTILLA!X15</f>
        <v>0</v>
      </c>
      <c r="F6" s="163">
        <f>PLANTILLA!Y15</f>
        <v>9.3036666666666648</v>
      </c>
      <c r="G6" s="163">
        <f>PLANTILLA!Z15</f>
        <v>13.839999999999998</v>
      </c>
      <c r="H6" s="163">
        <f>PLANTILLA!AA15</f>
        <v>12.945</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PLANTILLA!A20</f>
        <v>#19</v>
      </c>
      <c r="B7" s="670" t="str">
        <f>PLANTILLA!D20</f>
        <v>G. Kerschl</v>
      </c>
      <c r="C7" s="287">
        <f>PLANTILLA!E20</f>
        <v>29</v>
      </c>
      <c r="D7" s="287">
        <f ca="1">PLANTILLA!F20</f>
        <v>8</v>
      </c>
      <c r="E7" s="163">
        <f>PLANTILLA!X20</f>
        <v>0</v>
      </c>
      <c r="F7" s="163">
        <f>PLANTILLA!Y20</f>
        <v>3</v>
      </c>
      <c r="G7" s="163">
        <f>PLANTILLA!Z20</f>
        <v>15.01</v>
      </c>
      <c r="H7" s="163">
        <f>PLANTILLA!AA20</f>
        <v>12.02</v>
      </c>
      <c r="I7" s="163">
        <f>PLANTILLA!AB20</f>
        <v>12</v>
      </c>
      <c r="J7" s="163">
        <f>PLANTILLA!AC20</f>
        <v>8</v>
      </c>
      <c r="K7" s="163">
        <f>PLANTILLA!AD20</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32</v>
      </c>
      <c r="D8" s="287">
        <f ca="1">PLANTILLA!F16</f>
        <v>12</v>
      </c>
      <c r="E8" s="163">
        <f>PLANTILLA!X16</f>
        <v>0</v>
      </c>
      <c r="F8" s="163">
        <f>PLANTILLA!Y16</f>
        <v>8.6275555555555581</v>
      </c>
      <c r="G8" s="163">
        <f>PLANTILLA!Z16</f>
        <v>14.2856365079365</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78</v>
      </c>
      <c r="E9" s="163">
        <f>PLANTILLA!X13</f>
        <v>0</v>
      </c>
      <c r="F9" s="163">
        <f>PLANTILLA!Y13</f>
        <v>7.2503030303030309</v>
      </c>
      <c r="G9" s="163">
        <f>PLANTILLA!Z13</f>
        <v>10.550000000000004</v>
      </c>
      <c r="H9" s="163">
        <f>PLANTILLA!AA13</f>
        <v>13.471666666666668</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93</v>
      </c>
      <c r="E10" s="163">
        <f>PLANTILLA!X14</f>
        <v>0</v>
      </c>
      <c r="F10" s="163">
        <f>PLANTILLA!Y14</f>
        <v>8.3599999999999977</v>
      </c>
      <c r="G10" s="163">
        <f>PLANTILLA!Z14</f>
        <v>12.208412698412699</v>
      </c>
      <c r="H10" s="163">
        <f>PLANTILLA!AA14</f>
        <v>12.36</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19</v>
      </c>
      <c r="E11" s="163">
        <f>PLANTILLA!X12</f>
        <v>0</v>
      </c>
      <c r="F11" s="163">
        <f>PLANTILLA!Y12</f>
        <v>12.06111111111111</v>
      </c>
      <c r="G11" s="163">
        <f>PLANTILLA!Z12</f>
        <v>12.579111111111114</v>
      </c>
      <c r="H11" s="163">
        <f>PLANTILLA!AA12</f>
        <v>13.216666666666669</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PLANTILLA!A22</f>
        <v>#18</v>
      </c>
      <c r="B12" s="670" t="str">
        <f>PLANTILLA!D22</f>
        <v>L. Calosso</v>
      </c>
      <c r="C12" s="287">
        <f>PLANTILLA!E22</f>
        <v>30</v>
      </c>
      <c r="D12" s="287">
        <f ca="1">PLANTILLA!F22</f>
        <v>87</v>
      </c>
      <c r="E12" s="163">
        <f>PLANTILLA!X22</f>
        <v>0</v>
      </c>
      <c r="F12" s="163">
        <f>PLANTILLA!Y22</f>
        <v>3.02</v>
      </c>
      <c r="G12" s="163">
        <f>PLANTILLA!Z22</f>
        <v>14.237609523809523</v>
      </c>
      <c r="H12" s="163">
        <f>PLANTILLA!AA22</f>
        <v>3.04</v>
      </c>
      <c r="I12" s="163">
        <f>PLANTILLA!AB22</f>
        <v>15.02</v>
      </c>
      <c r="J12" s="163">
        <f>PLANTILLA!AC22</f>
        <v>10</v>
      </c>
      <c r="K12" s="163">
        <f>PLANTILLA!AD22</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PLANTILLA!A23</f>
        <v>#15</v>
      </c>
      <c r="B13" s="670" t="str">
        <f>PLANTILLA!D23</f>
        <v>P .Trivadi</v>
      </c>
      <c r="C13" s="287">
        <f>PLANTILLA!E23</f>
        <v>27</v>
      </c>
      <c r="D13" s="287">
        <f ca="1">PLANTILLA!F23</f>
        <v>49</v>
      </c>
      <c r="E13" s="163">
        <f>PLANTILLA!X23</f>
        <v>0</v>
      </c>
      <c r="F13" s="163">
        <f>PLANTILLA!Y23</f>
        <v>4.0199999999999996</v>
      </c>
      <c r="G13" s="163">
        <f>PLANTILLA!Z23</f>
        <v>5.5638722222222201</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46</v>
      </c>
      <c r="E14" s="163">
        <f>PLANTILLA!X5</f>
        <v>16.666666666666668</v>
      </c>
      <c r="F14" s="163">
        <f>PLANTILLA!Y5</f>
        <v>12.080559440559444</v>
      </c>
      <c r="G14" s="163">
        <f>PLANTILLA!Z5</f>
        <v>2.0599999999999987</v>
      </c>
      <c r="H14" s="163">
        <f>PLANTILLA!AA5</f>
        <v>2.149999999999999</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58</v>
      </c>
      <c r="E15" s="163">
        <f>PLANTILLA!X7</f>
        <v>0</v>
      </c>
      <c r="F15" s="163">
        <f>PLANTILLA!Y7</f>
        <v>14.300000000000004</v>
      </c>
      <c r="G15" s="163">
        <f>PLANTILLA!Z7</f>
        <v>9.3693333333333353</v>
      </c>
      <c r="H15" s="163">
        <f>PLANTILLA!AA7</f>
        <v>14.333333333333329</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103</v>
      </c>
      <c r="E16" s="163">
        <f>PLANTILLA!X8</f>
        <v>0</v>
      </c>
      <c r="F16" s="163">
        <f>PLANTILLA!Y8</f>
        <v>11.077333333333334</v>
      </c>
      <c r="G16" s="163">
        <f>PLANTILLA!Z8</f>
        <v>6.2094444444444408</v>
      </c>
      <c r="H16" s="163">
        <f>PLANTILLA!AA8</f>
        <v>6.1</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57</v>
      </c>
      <c r="E17" s="163">
        <f>PLANTILLA!X9</f>
        <v>0</v>
      </c>
      <c r="F17" s="163">
        <f>PLANTILLA!Y9</f>
        <v>12.200000000000005</v>
      </c>
      <c r="G17" s="163">
        <f>PLANTILLA!Z9</f>
        <v>13.226555555555553</v>
      </c>
      <c r="H17" s="163">
        <f>PLANTILLA!AA9</f>
        <v>9.8750000000000053</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6</v>
      </c>
      <c r="E18" s="163">
        <f>PLANTILLA!X17</f>
        <v>0</v>
      </c>
      <c r="F18" s="163">
        <f>PLANTILLA!Y17</f>
        <v>10.549999999999995</v>
      </c>
      <c r="G18" s="163">
        <f>PLANTILLA!Z17</f>
        <v>12.969777777777777</v>
      </c>
      <c r="H18" s="163">
        <f>PLANTILLA!AA17</f>
        <v>5.1399999999999979</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42</v>
      </c>
      <c r="E19" s="163">
        <f>PLANTILLA!X10</f>
        <v>0</v>
      </c>
      <c r="F19" s="163">
        <f>PLANTILLA!Y10</f>
        <v>11.999999999999996</v>
      </c>
      <c r="G19" s="163">
        <f>PLANTILLA!Z10</f>
        <v>7.012500000000002</v>
      </c>
      <c r="H19" s="163">
        <f>PLANTILLA!AA10</f>
        <v>7.5000000000000018</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55</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65</v>
      </c>
      <c r="E21" s="163">
        <f>PLANTILLA!X11</f>
        <v>0</v>
      </c>
      <c r="F21" s="163">
        <f>PLANTILLA!Y11</f>
        <v>9.6046666666666667</v>
      </c>
      <c r="G21" s="163">
        <f>PLANTILLA!Z11</f>
        <v>7.7507222222222225</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43</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103</v>
      </c>
      <c r="E4" s="163">
        <f>PLANTILLA!X8</f>
        <v>0</v>
      </c>
      <c r="F4" s="163">
        <f>PLANTILLA!Y8</f>
        <v>11.077333333333334</v>
      </c>
      <c r="G4" s="163">
        <f>PLANTILLA!Z8</f>
        <v>6.2094444444444408</v>
      </c>
      <c r="H4" s="163">
        <f>PLANTILLA!AA8</f>
        <v>6.1</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42</v>
      </c>
      <c r="E5" s="163">
        <f>PLANTILLA!X10</f>
        <v>0</v>
      </c>
      <c r="F5" s="163">
        <f>PLANTILLA!Y10</f>
        <v>11.999999999999996</v>
      </c>
      <c r="G5" s="163">
        <f>PLANTILLA!Z10</f>
        <v>7.012500000000002</v>
      </c>
      <c r="H5" s="163">
        <f>PLANTILLA!AA10</f>
        <v>7.5000000000000018</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93</v>
      </c>
      <c r="E6" s="163">
        <f>PLANTILLA!X14</f>
        <v>0</v>
      </c>
      <c r="F6" s="163">
        <f>PLANTILLA!Y14</f>
        <v>8.3599999999999977</v>
      </c>
      <c r="G6" s="163">
        <f>PLANTILLA!Z14</f>
        <v>12.208412698412699</v>
      </c>
      <c r="H6" s="163">
        <f>PLANTILLA!AA14</f>
        <v>12.36</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57</v>
      </c>
      <c r="E7" s="163">
        <f>PLANTILLA!X9</f>
        <v>0</v>
      </c>
      <c r="F7" s="163">
        <f>PLANTILLA!Y9</f>
        <v>12.200000000000005</v>
      </c>
      <c r="G7" s="163">
        <f>PLANTILLA!Z9</f>
        <v>13.226555555555553</v>
      </c>
      <c r="H7" s="163">
        <f>PLANTILLA!AA9</f>
        <v>9.8750000000000053</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19</v>
      </c>
      <c r="E8" s="163">
        <f>PLANTILLA!X12</f>
        <v>0</v>
      </c>
      <c r="F8" s="163">
        <f>PLANTILLA!Y12</f>
        <v>12.06111111111111</v>
      </c>
      <c r="G8" s="163">
        <f>PLANTILLA!Z12</f>
        <v>12.579111111111114</v>
      </c>
      <c r="H8" s="163">
        <f>PLANTILLA!AA12</f>
        <v>13.216666666666669</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78</v>
      </c>
      <c r="E9" s="163">
        <f>PLANTILLA!X13</f>
        <v>0</v>
      </c>
      <c r="F9" s="163">
        <f>PLANTILLA!Y13</f>
        <v>7.2503030303030309</v>
      </c>
      <c r="G9" s="163">
        <f>PLANTILLA!Z13</f>
        <v>10.550000000000004</v>
      </c>
      <c r="H9" s="163">
        <f>PLANTILLA!AA13</f>
        <v>13.471666666666668</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12</v>
      </c>
      <c r="E10" s="163">
        <f>PLANTILLA!X16</f>
        <v>0</v>
      </c>
      <c r="F10" s="163">
        <f>PLANTILLA!Y16</f>
        <v>8.6275555555555581</v>
      </c>
      <c r="G10" s="163">
        <f>PLANTILLA!Z16</f>
        <v>14.2856365079365</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90</v>
      </c>
      <c r="E11" s="163">
        <f>PLANTILLA!X15</f>
        <v>0</v>
      </c>
      <c r="F11" s="163">
        <f>PLANTILLA!Y15</f>
        <v>9.3036666666666648</v>
      </c>
      <c r="G11" s="163">
        <f>PLANTILLA!Z15</f>
        <v>13.839999999999998</v>
      </c>
      <c r="H11" s="163">
        <f>PLANTILLA!AA15</f>
        <v>12.945</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PLANTILLA!A20</f>
        <v>#19</v>
      </c>
      <c r="B12" s="219" t="str">
        <f>PLANTILLA!D20</f>
        <v>G. Kerschl</v>
      </c>
      <c r="C12" s="287">
        <f>PLANTILLA!E20</f>
        <v>29</v>
      </c>
      <c r="D12" s="287">
        <f ca="1">PLANTILLA!F20</f>
        <v>8</v>
      </c>
      <c r="E12" s="163">
        <f>PLANTILLA!X20</f>
        <v>0</v>
      </c>
      <c r="F12" s="163">
        <f>PLANTILLA!Y20</f>
        <v>3</v>
      </c>
      <c r="G12" s="163">
        <f>PLANTILLA!Z20</f>
        <v>15.01</v>
      </c>
      <c r="H12" s="163">
        <f>PLANTILLA!AA20</f>
        <v>12.02</v>
      </c>
      <c r="I12" s="163">
        <f>PLANTILLA!AB20</f>
        <v>12</v>
      </c>
      <c r="J12" s="163">
        <f>PLANTILLA!AC20</f>
        <v>8</v>
      </c>
      <c r="K12" s="163">
        <f>PLANTILLA!AD20</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PLANTILLA!A22</f>
        <v>#18</v>
      </c>
      <c r="B13" s="219" t="str">
        <f>PLANTILLA!D22</f>
        <v>L. Calosso</v>
      </c>
      <c r="C13" s="287">
        <f>PLANTILLA!E22</f>
        <v>30</v>
      </c>
      <c r="D13" s="287">
        <f ca="1">PLANTILLA!F22</f>
        <v>87</v>
      </c>
      <c r="E13" s="163">
        <f>PLANTILLA!X22</f>
        <v>0</v>
      </c>
      <c r="F13" s="163">
        <f>PLANTILLA!Y22</f>
        <v>3.02</v>
      </c>
      <c r="G13" s="163">
        <f>PLANTILLA!Z22</f>
        <v>14.237609523809523</v>
      </c>
      <c r="H13" s="163">
        <f>PLANTILLA!AA22</f>
        <v>3.04</v>
      </c>
      <c r="I13" s="163">
        <f>PLANTILLA!AB22</f>
        <v>15.02</v>
      </c>
      <c r="J13" s="163">
        <f>PLANTILLA!AC22</f>
        <v>10</v>
      </c>
      <c r="K13" s="163">
        <f>PLANTILLA!AD22</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93</v>
      </c>
      <c r="E14" s="163">
        <f>PLANTILLA!X18</f>
        <v>0</v>
      </c>
      <c r="F14" s="163">
        <f>PLANTILLA!Y18</f>
        <v>5.4644444444444451</v>
      </c>
      <c r="G14" s="163">
        <f>PLANTILLA!Z18</f>
        <v>14.379028042328033</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58</v>
      </c>
      <c r="E15" s="163">
        <f>PLANTILLA!X7</f>
        <v>0</v>
      </c>
      <c r="F15" s="163">
        <f>PLANTILLA!Y7</f>
        <v>14.300000000000004</v>
      </c>
      <c r="G15" s="163">
        <f>PLANTILLA!Z7</f>
        <v>9.3693333333333353</v>
      </c>
      <c r="H15" s="163">
        <f>PLANTILLA!AA7</f>
        <v>14.333333333333329</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18</v>
      </c>
      <c r="E16" s="163">
        <f>PLANTILLA!X21</f>
        <v>0</v>
      </c>
      <c r="F16" s="163">
        <f>PLANTILLA!Y21</f>
        <v>6.8376190476190493</v>
      </c>
      <c r="G16" s="163">
        <f>PLANTILLA!Z21</f>
        <v>8.6349999999999998</v>
      </c>
      <c r="H16" s="163">
        <f>PLANTILLA!AA21</f>
        <v>8.7399999999999967</v>
      </c>
      <c r="I16" s="163">
        <f>PLANTILLA!AB21</f>
        <v>9.6900000000000013</v>
      </c>
      <c r="J16" s="163">
        <f>PLANTILLA!AC21</f>
        <v>8.5625000000000018</v>
      </c>
      <c r="K16" s="163">
        <f>PLANTILLA!AD21</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49</v>
      </c>
      <c r="E17" s="163">
        <f>PLANTILLA!X23</f>
        <v>0</v>
      </c>
      <c r="F17" s="163">
        <f>PLANTILLA!Y23</f>
        <v>4.0199999999999996</v>
      </c>
      <c r="G17" s="163">
        <f>PLANTILLA!Z23</f>
        <v>5.5638722222222201</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46</v>
      </c>
      <c r="E18" s="163">
        <f>PLANTILLA!X5</f>
        <v>16.666666666666668</v>
      </c>
      <c r="F18" s="163">
        <f>PLANTILLA!Y5</f>
        <v>12.080559440559444</v>
      </c>
      <c r="G18" s="163">
        <f>PLANTILLA!Z5</f>
        <v>2.0599999999999987</v>
      </c>
      <c r="H18" s="163">
        <f>PLANTILLA!AA5</f>
        <v>2.149999999999999</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6</v>
      </c>
      <c r="E19" s="163">
        <f>PLANTILLA!X17</f>
        <v>0</v>
      </c>
      <c r="F19" s="163">
        <f>PLANTILLA!Y17</f>
        <v>10.549999999999995</v>
      </c>
      <c r="G19" s="163">
        <f>PLANTILLA!Z17</f>
        <v>12.969777777777777</v>
      </c>
      <c r="H19" s="163">
        <f>PLANTILLA!AA17</f>
        <v>5.1399999999999979</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55</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65</v>
      </c>
      <c r="E21" s="163">
        <f>PLANTILLA!X11</f>
        <v>0</v>
      </c>
      <c r="F21" s="163">
        <f>PLANTILLA!Y11</f>
        <v>9.6046666666666667</v>
      </c>
      <c r="G21" s="163">
        <f>PLANTILLA!Z11</f>
        <v>7.7507222222222225</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43</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9"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0"/>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1">
        <f>C13</f>
        <v>1504841</v>
      </c>
      <c r="AA14" s="712"/>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3" t="s">
        <v>93</v>
      </c>
      <c r="B26" s="713"/>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4" t="s">
        <v>94</v>
      </c>
      <c r="B27" s="704"/>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5" t="s">
        <v>95</v>
      </c>
      <c r="B28" s="705"/>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3" t="s">
        <v>96</v>
      </c>
      <c r="B29" s="713"/>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4" t="s">
        <v>97</v>
      </c>
      <c r="B30" s="704"/>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5" t="s">
        <v>98</v>
      </c>
      <c r="B31" s="705"/>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4"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6">
        <f>C23</f>
        <v>1482625</v>
      </c>
      <c r="AA33" s="707"/>
    </row>
    <row r="34" spans="1:27" x14ac:dyDescent="0.25">
      <c r="A34" s="57"/>
      <c r="B34" s="714"/>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4"/>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4"/>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4"/>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4"/>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8"/>
      <c r="I40" s="708"/>
      <c r="J40" s="708"/>
      <c r="K40" s="708"/>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3"/>
      <c r="I49" s="703"/>
      <c r="J49" s="703"/>
      <c r="K49" s="703"/>
    </row>
    <row r="50" spans="8:11" x14ac:dyDescent="0.25">
      <c r="H50" s="103"/>
      <c r="I50" s="103"/>
      <c r="J50" s="103"/>
      <c r="K50" s="103"/>
    </row>
    <row r="51" spans="8:11" x14ac:dyDescent="0.25">
      <c r="H51" s="703"/>
      <c r="I51" s="703"/>
      <c r="J51" s="703"/>
      <c r="K51" s="703"/>
    </row>
    <row r="52" spans="8:11" ht="15" customHeight="1" x14ac:dyDescent="0.25">
      <c r="H52" s="703"/>
      <c r="I52" s="703"/>
      <c r="J52" s="703"/>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1">
        <f>C13</f>
        <v>2257672</v>
      </c>
      <c r="Z14" s="712"/>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3" t="s">
        <v>93</v>
      </c>
      <c r="B26" s="713"/>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4" t="s">
        <v>94</v>
      </c>
      <c r="B27" s="704"/>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5" t="s">
        <v>95</v>
      </c>
      <c r="B28" s="705"/>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3" t="s">
        <v>96</v>
      </c>
      <c r="B29" s="713"/>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4" t="s">
        <v>97</v>
      </c>
      <c r="B30" s="704"/>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5" t="s">
        <v>98</v>
      </c>
      <c r="B31" s="705"/>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v>49820</v>
      </c>
      <c r="Y33" s="706">
        <f>C23</f>
        <v>2470257</v>
      </c>
      <c r="Z33" s="707"/>
    </row>
    <row r="34" spans="1:26" x14ac:dyDescent="0.25">
      <c r="A34" s="57"/>
      <c r="B34" s="714"/>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4"/>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4"/>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4"/>
      <c r="C37" s="173" t="s">
        <v>211</v>
      </c>
      <c r="D37" s="176"/>
      <c r="E37" s="176"/>
      <c r="F37" s="176"/>
      <c r="G37" s="176"/>
      <c r="H37" s="176"/>
      <c r="I37" s="176"/>
      <c r="J37" s="176"/>
      <c r="K37" s="176"/>
      <c r="L37" s="176"/>
      <c r="M37" s="176"/>
      <c r="N37" s="176"/>
      <c r="O37" s="176"/>
      <c r="P37" s="176"/>
      <c r="Q37" s="176"/>
      <c r="R37" s="176"/>
      <c r="S37" s="176" t="s">
        <v>393</v>
      </c>
    </row>
    <row r="38" spans="1:26" x14ac:dyDescent="0.25">
      <c r="B38" s="714"/>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8"/>
      <c r="H40" s="708"/>
      <c r="I40" s="708"/>
      <c r="J40" s="708"/>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3"/>
      <c r="H49" s="703"/>
      <c r="I49" s="703"/>
      <c r="J49" s="703"/>
    </row>
    <row r="50" spans="7:10" x14ac:dyDescent="0.25">
      <c r="G50" s="216"/>
      <c r="H50" s="216"/>
      <c r="I50" s="216"/>
      <c r="J50" s="216"/>
    </row>
    <row r="51" spans="7:10" x14ac:dyDescent="0.25">
      <c r="G51" s="703"/>
      <c r="H51" s="703"/>
      <c r="I51" s="703"/>
      <c r="J51" s="703"/>
    </row>
    <row r="52" spans="7:10" ht="15" customHeight="1" x14ac:dyDescent="0.25">
      <c r="G52" s="703"/>
      <c r="H52" s="703"/>
      <c r="I52" s="70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0"/>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1">
        <f>C13</f>
        <v>3165941</v>
      </c>
      <c r="Z14" s="712"/>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3" t="s">
        <v>93</v>
      </c>
      <c r="B26" s="713"/>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4" t="s">
        <v>94</v>
      </c>
      <c r="B27" s="704"/>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5" t="s">
        <v>95</v>
      </c>
      <c r="B28" s="705"/>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3" t="s">
        <v>96</v>
      </c>
      <c r="B29" s="713"/>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4" t="s">
        <v>97</v>
      </c>
      <c r="B30" s="704"/>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5" t="s">
        <v>98</v>
      </c>
      <c r="B31" s="705"/>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c r="Y33" s="706">
        <f>C23</f>
        <v>1505104</v>
      </c>
      <c r="Z33" s="707"/>
    </row>
    <row r="34" spans="1:26" x14ac:dyDescent="0.25">
      <c r="A34" s="57"/>
      <c r="B34" s="714"/>
      <c r="C34" s="173" t="s">
        <v>104</v>
      </c>
      <c r="D34" s="174"/>
      <c r="E34" s="174"/>
      <c r="F34" s="174"/>
      <c r="G34" s="174"/>
      <c r="H34" s="174"/>
      <c r="I34" s="174"/>
      <c r="J34" s="174"/>
      <c r="K34" s="174"/>
      <c r="L34" s="174"/>
      <c r="M34" s="174"/>
      <c r="N34" s="174"/>
      <c r="O34" s="174"/>
      <c r="P34" s="174"/>
      <c r="Q34" s="174"/>
      <c r="R34" s="174"/>
      <c r="S34" s="174"/>
    </row>
    <row r="35" spans="1:26" x14ac:dyDescent="0.25">
      <c r="A35" s="57"/>
      <c r="B35" s="714"/>
      <c r="C35" s="173" t="s">
        <v>61</v>
      </c>
      <c r="D35" s="175"/>
      <c r="E35" s="175"/>
      <c r="F35" s="175"/>
      <c r="G35" s="175"/>
      <c r="H35" s="175"/>
      <c r="I35" s="175"/>
      <c r="J35" s="175"/>
      <c r="K35" s="175"/>
      <c r="L35" s="175"/>
      <c r="M35" s="175"/>
      <c r="N35" s="175"/>
      <c r="O35" s="175"/>
      <c r="P35" s="175"/>
      <c r="Q35" s="175"/>
      <c r="R35" s="175"/>
      <c r="S35" s="175"/>
    </row>
    <row r="36" spans="1:26" x14ac:dyDescent="0.25">
      <c r="A36" s="57"/>
      <c r="B36" s="714"/>
      <c r="C36" s="173" t="s">
        <v>210</v>
      </c>
      <c r="D36" s="176"/>
      <c r="E36" s="176"/>
      <c r="F36" s="176"/>
      <c r="G36" s="176"/>
      <c r="H36" s="176"/>
      <c r="I36" s="176"/>
      <c r="J36" s="176"/>
      <c r="K36" s="176"/>
      <c r="L36" s="176"/>
      <c r="M36" s="176"/>
      <c r="N36" s="176"/>
      <c r="O36" s="176"/>
      <c r="P36" s="176"/>
      <c r="Q36" s="176"/>
      <c r="R36" s="176"/>
      <c r="S36" s="176"/>
    </row>
    <row r="37" spans="1:26" x14ac:dyDescent="0.25">
      <c r="B37" s="714"/>
      <c r="C37" s="173" t="s">
        <v>211</v>
      </c>
      <c r="D37" s="176"/>
      <c r="E37" s="176"/>
      <c r="F37" s="176"/>
      <c r="G37" s="176"/>
      <c r="H37" s="176"/>
      <c r="I37" s="176"/>
      <c r="J37" s="176"/>
      <c r="K37" s="176"/>
      <c r="L37" s="176"/>
      <c r="M37" s="176"/>
      <c r="N37" s="176"/>
      <c r="O37" s="176"/>
      <c r="P37" s="176"/>
      <c r="Q37" s="176"/>
      <c r="R37" s="176"/>
      <c r="S37" s="176"/>
    </row>
    <row r="38" spans="1:26" x14ac:dyDescent="0.25">
      <c r="B38" s="714"/>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8"/>
      <c r="H40" s="708"/>
      <c r="I40" s="708"/>
      <c r="J40" s="708"/>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3"/>
      <c r="H49" s="703"/>
      <c r="I49" s="703"/>
      <c r="J49" s="703"/>
    </row>
    <row r="50" spans="7:10" x14ac:dyDescent="0.25">
      <c r="G50" s="243"/>
      <c r="H50" s="243"/>
      <c r="I50" s="243"/>
      <c r="J50" s="243"/>
    </row>
    <row r="51" spans="7:10" x14ac:dyDescent="0.25">
      <c r="G51" s="703"/>
      <c r="H51" s="703"/>
      <c r="I51" s="703"/>
      <c r="J51" s="703"/>
    </row>
    <row r="52" spans="7:10" ht="15" customHeight="1" x14ac:dyDescent="0.25">
      <c r="G52" s="703"/>
      <c r="H52" s="703"/>
      <c r="I52" s="70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9"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1">
        <f>C13</f>
        <v>3470401</v>
      </c>
      <c r="Z14" s="712"/>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3" t="s">
        <v>93</v>
      </c>
      <c r="B26" s="713"/>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4" t="s">
        <v>94</v>
      </c>
      <c r="B27" s="704"/>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5" t="s">
        <v>95</v>
      </c>
      <c r="B28" s="705"/>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3" t="s">
        <v>96</v>
      </c>
      <c r="B29" s="713"/>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4" t="s">
        <v>97</v>
      </c>
      <c r="B30" s="704"/>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5" t="s">
        <v>98</v>
      </c>
      <c r="B31" s="705"/>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6">
        <f>C23</f>
        <v>4347517</v>
      </c>
      <c r="Z33" s="707"/>
    </row>
    <row r="34" spans="1:26" x14ac:dyDescent="0.25">
      <c r="A34" s="57"/>
      <c r="B34" s="714"/>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4"/>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4"/>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4"/>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4"/>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8"/>
      <c r="H40" s="708"/>
      <c r="I40" s="708"/>
      <c r="J40" s="708"/>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3"/>
      <c r="H49" s="703"/>
      <c r="I49" s="703"/>
      <c r="J49" s="703"/>
    </row>
    <row r="50" spans="7:10" x14ac:dyDescent="0.25">
      <c r="G50" s="258"/>
      <c r="H50" s="258"/>
      <c r="I50" s="258"/>
      <c r="J50" s="258"/>
    </row>
    <row r="51" spans="7:10" x14ac:dyDescent="0.25">
      <c r="G51" s="703"/>
      <c r="H51" s="703"/>
      <c r="I51" s="703"/>
      <c r="J51" s="703"/>
    </row>
    <row r="52" spans="7:10" ht="15" customHeight="1" x14ac:dyDescent="0.25">
      <c r="G52" s="703"/>
      <c r="H52" s="703"/>
      <c r="I52" s="70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9"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0"/>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1">
        <f>C13</f>
        <v>3901063</v>
      </c>
      <c r="Z14" s="712"/>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3" t="s">
        <v>93</v>
      </c>
      <c r="B26" s="713"/>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4" t="s">
        <v>94</v>
      </c>
      <c r="B27" s="704"/>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5" t="s">
        <v>95</v>
      </c>
      <c r="B28" s="705"/>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3" t="s">
        <v>96</v>
      </c>
      <c r="B29" s="713"/>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4" t="s">
        <v>97</v>
      </c>
      <c r="B30" s="704"/>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5" t="s">
        <v>98</v>
      </c>
      <c r="B31" s="705"/>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4"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6">
        <f>C23</f>
        <v>2535782</v>
      </c>
      <c r="Z34" s="707"/>
    </row>
    <row r="35" spans="1:26" x14ac:dyDescent="0.25">
      <c r="A35" s="57"/>
      <c r="B35" s="714"/>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4"/>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4"/>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4"/>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4"/>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8"/>
      <c r="H41" s="708"/>
      <c r="I41" s="708"/>
      <c r="J41" s="708"/>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3"/>
      <c r="H46" s="703"/>
      <c r="I46" s="703"/>
      <c r="J46" s="703"/>
    </row>
    <row r="47" spans="1:26" x14ac:dyDescent="0.25">
      <c r="G47" s="329"/>
      <c r="H47" s="329"/>
      <c r="I47" s="329"/>
      <c r="J47" s="329"/>
    </row>
    <row r="48" spans="1:26" x14ac:dyDescent="0.25">
      <c r="G48" s="703"/>
      <c r="H48" s="703"/>
      <c r="I48" s="703"/>
      <c r="J48" s="70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5.0510523991824039</v>
      </c>
      <c r="K3" s="159">
        <f t="shared" si="3"/>
        <v>5.0510523991824039</v>
      </c>
      <c r="M3" t="str">
        <f>A7</f>
        <v>E. Toney</v>
      </c>
      <c r="N3" s="159">
        <f>D7</f>
        <v>5.0510523991824039</v>
      </c>
      <c r="O3" s="159">
        <f t="shared" ref="O3:P3" si="4">E7</f>
        <v>5.0510523991824039</v>
      </c>
      <c r="P3" s="159">
        <f t="shared" si="4"/>
        <v>5.0510523991824039</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4.9664770674054761</v>
      </c>
      <c r="F4" s="159">
        <f>E4*PLANTILLA!S12</f>
        <v>4.9629283159216859</v>
      </c>
      <c r="H4" t="str">
        <f t="shared" ref="H4:H6" si="5">A4</f>
        <v>E. Romweber</v>
      </c>
      <c r="I4" s="159">
        <f t="shared" ref="I4:I6" si="6">D4</f>
        <v>5.3644083430739977</v>
      </c>
      <c r="J4" s="159">
        <f t="shared" ref="J4" si="7">E4</f>
        <v>4.9664770674054761</v>
      </c>
      <c r="K4" s="159">
        <f t="shared" ref="K4" si="8">F4</f>
        <v>4.9629283159216859</v>
      </c>
      <c r="M4" t="str">
        <f t="shared" ref="M4" si="9">A4</f>
        <v>E. Romweber</v>
      </c>
      <c r="N4" s="159">
        <f t="shared" ref="N4" si="10">D4</f>
        <v>5.3644083430739977</v>
      </c>
      <c r="O4" s="159">
        <f t="shared" ref="O4" si="11">E4</f>
        <v>4.9664770674054761</v>
      </c>
      <c r="P4" s="159">
        <f t="shared" ref="P4" si="12">F4</f>
        <v>4.9629283159216859</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5.0510523991824039</v>
      </c>
      <c r="F7" s="159">
        <f>E7*PLANTILLA!S9</f>
        <v>5.0510523991824039</v>
      </c>
      <c r="I7" s="423">
        <f>SUM(I2:I6)</f>
        <v>25.239984364562186</v>
      </c>
      <c r="J7" s="423">
        <f t="shared" ref="J7:K7" si="17">SUM(J2:J6)</f>
        <v>24.448991574028682</v>
      </c>
      <c r="K7" s="423">
        <f t="shared" si="17"/>
        <v>24.441937499592445</v>
      </c>
      <c r="L7" s="423"/>
      <c r="M7" s="423"/>
      <c r="N7" s="423">
        <f>SUM(N2:N6)</f>
        <v>20.5423157522096</v>
      </c>
      <c r="O7" s="423">
        <f t="shared" ref="O7:P7" si="18">SUM(O2:O6)</f>
        <v>19.751322961676095</v>
      </c>
      <c r="P7" s="423">
        <f t="shared" si="18"/>
        <v>19.744268887239858</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3.9447574839453514</v>
      </c>
      <c r="F13" s="159">
        <f>E13*PLANTILLA!S14</f>
        <v>3.6490910517314488</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4.3325905677442806</v>
      </c>
      <c r="F14" s="159">
        <f>E14*PLANTILLA!S15</f>
        <v>4.329494754153024</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3.284751174608199</v>
      </c>
      <c r="F15" s="159">
        <f>E15*PLANTILLA!S6</f>
        <v>3.0385533628391737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4.3643426724877381</v>
      </c>
      <c r="F16" s="159">
        <f>E16*PLANTILLA!S11</f>
        <v>4.3643426724877381</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2.974653057392401</v>
      </c>
      <c r="F18" s="159">
        <f>E18*PLANTILLA!S19</f>
        <v>2.5115253888296438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9"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0"/>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1">
        <f>C13</f>
        <v>5218072</v>
      </c>
      <c r="Z14" s="712"/>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3" t="s">
        <v>93</v>
      </c>
      <c r="B26" s="713"/>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4" t="s">
        <v>94</v>
      </c>
      <c r="B27" s="704"/>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5" t="s">
        <v>95</v>
      </c>
      <c r="B28" s="705"/>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3" t="s">
        <v>96</v>
      </c>
      <c r="B29" s="713"/>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4" t="s">
        <v>97</v>
      </c>
      <c r="B30" s="704"/>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5" t="s">
        <v>98</v>
      </c>
      <c r="B31" s="705"/>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4"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6">
        <f>C23</f>
        <v>4415274</v>
      </c>
      <c r="Z34" s="707"/>
    </row>
    <row r="35" spans="1:26" x14ac:dyDescent="0.25">
      <c r="A35" s="57"/>
      <c r="B35" s="714"/>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4"/>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4"/>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4"/>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4"/>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8"/>
      <c r="H41" s="708"/>
      <c r="I41" s="708"/>
      <c r="J41" s="708"/>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row>
    <row r="47" spans="1:26" x14ac:dyDescent="0.25">
      <c r="G47" s="363"/>
      <c r="H47" s="363"/>
      <c r="I47" s="363"/>
      <c r="J47" s="363"/>
    </row>
    <row r="48" spans="1:26" x14ac:dyDescent="0.25">
      <c r="G48" s="703"/>
      <c r="H48" s="703"/>
      <c r="I48" s="703"/>
      <c r="J48" s="703"/>
      <c r="P48" s="38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9"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0"/>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1">
        <f>C13</f>
        <v>6564204.3711659508</v>
      </c>
      <c r="Z14" s="712"/>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3" t="s">
        <v>93</v>
      </c>
      <c r="B26" s="713"/>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4" t="s">
        <v>94</v>
      </c>
      <c r="B27" s="704"/>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5" t="s">
        <v>95</v>
      </c>
      <c r="B28" s="705"/>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3" t="s">
        <v>96</v>
      </c>
      <c r="B29" s="713"/>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4" t="s">
        <v>97</v>
      </c>
      <c r="B30" s="704"/>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5" t="s">
        <v>98</v>
      </c>
      <c r="B31" s="705"/>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4"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6">
        <f>C23</f>
        <v>4502296</v>
      </c>
      <c r="Z34" s="707"/>
    </row>
    <row r="35" spans="1:26" x14ac:dyDescent="0.25">
      <c r="A35" s="57"/>
      <c r="B35" s="714"/>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4"/>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4"/>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4"/>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4"/>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8"/>
      <c r="H41" s="708"/>
      <c r="I41" s="708"/>
      <c r="J41" s="708"/>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row>
    <row r="47" spans="1:26" x14ac:dyDescent="0.25">
      <c r="G47" s="392"/>
      <c r="H47" s="392"/>
      <c r="I47" s="392"/>
      <c r="J47" s="392"/>
    </row>
    <row r="48" spans="1:26" x14ac:dyDescent="0.25">
      <c r="G48" s="703"/>
      <c r="H48" s="703"/>
      <c r="I48" s="703"/>
      <c r="J48" s="703"/>
      <c r="P48" s="383"/>
    </row>
    <row r="49" spans="7:10" ht="15" customHeight="1" x14ac:dyDescent="0.25">
      <c r="G49" s="703"/>
      <c r="H49" s="703"/>
      <c r="I49" s="70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9"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10"/>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1">
        <f>C13</f>
        <v>6907309.643589247</v>
      </c>
      <c r="Z14" s="712"/>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3" t="s">
        <v>93</v>
      </c>
      <c r="B26" s="713"/>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4" t="s">
        <v>94</v>
      </c>
      <c r="B27" s="704"/>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5" t="s">
        <v>95</v>
      </c>
      <c r="B28" s="705"/>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3" t="s">
        <v>96</v>
      </c>
      <c r="B29" s="713"/>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4" t="s">
        <v>97</v>
      </c>
      <c r="B30" s="704"/>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5" t="s">
        <v>98</v>
      </c>
      <c r="B31" s="705"/>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4"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6">
        <f>C23</f>
        <v>4106107</v>
      </c>
      <c r="Z34" s="707"/>
    </row>
    <row r="35" spans="1:26" x14ac:dyDescent="0.25">
      <c r="A35" s="57"/>
      <c r="B35" s="714"/>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4"/>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4"/>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4"/>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4"/>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8"/>
      <c r="H41" s="708"/>
      <c r="I41" s="708"/>
      <c r="J41" s="708"/>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451"/>
      <c r="H47" s="451"/>
      <c r="I47" s="451"/>
      <c r="J47" s="451"/>
    </row>
    <row r="48" spans="1:26" x14ac:dyDescent="0.25">
      <c r="G48" s="703"/>
      <c r="H48" s="703"/>
      <c r="I48" s="703"/>
      <c r="J48" s="703"/>
      <c r="P48" s="38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9"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10"/>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1">
        <f>C13</f>
        <v>7216225</v>
      </c>
      <c r="Z14" s="712"/>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3" t="s">
        <v>93</v>
      </c>
      <c r="B26" s="713"/>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4" t="s">
        <v>94</v>
      </c>
      <c r="B27" s="704"/>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5" t="s">
        <v>95</v>
      </c>
      <c r="B28" s="705"/>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3" t="s">
        <v>96</v>
      </c>
      <c r="B29" s="713"/>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4" t="s">
        <v>97</v>
      </c>
      <c r="B30" s="704"/>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5" t="s">
        <v>98</v>
      </c>
      <c r="B31" s="705"/>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4"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6">
        <f>C23</f>
        <v>5755973</v>
      </c>
      <c r="Z34" s="707"/>
    </row>
    <row r="35" spans="1:26" x14ac:dyDescent="0.25">
      <c r="A35" s="57"/>
      <c r="B35" s="714"/>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4"/>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4"/>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4"/>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4"/>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4"/>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4"/>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8"/>
      <c r="H43" s="708"/>
      <c r="I43" s="708"/>
      <c r="J43" s="708"/>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3"/>
      <c r="H48" s="703"/>
      <c r="I48" s="703"/>
      <c r="J48" s="703"/>
      <c r="M48" s="383"/>
    </row>
    <row r="49" spans="5:16" x14ac:dyDescent="0.25">
      <c r="E49" s="106"/>
      <c r="G49" s="466"/>
      <c r="H49" s="466"/>
      <c r="I49" s="466"/>
      <c r="J49" s="466"/>
    </row>
    <row r="50" spans="5:16" x14ac:dyDescent="0.25">
      <c r="G50" s="703"/>
      <c r="H50" s="703"/>
      <c r="I50" s="703"/>
      <c r="J50" s="703"/>
      <c r="P50" s="383"/>
    </row>
    <row r="51" spans="5:16" ht="15" customHeight="1" x14ac:dyDescent="0.25">
      <c r="G51" s="703"/>
      <c r="H51" s="703"/>
      <c r="I51" s="703"/>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9"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10"/>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1">
        <f>C13</f>
        <v>9688435</v>
      </c>
      <c r="Z14" s="712"/>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3" t="s">
        <v>93</v>
      </c>
      <c r="B26" s="713"/>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4" t="s">
        <v>94</v>
      </c>
      <c r="B27" s="704"/>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5" t="s">
        <v>95</v>
      </c>
      <c r="B28" s="705"/>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3" t="s">
        <v>96</v>
      </c>
      <c r="B29" s="713"/>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4" t="s">
        <v>97</v>
      </c>
      <c r="B30" s="704"/>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5" t="s">
        <v>98</v>
      </c>
      <c r="B31" s="705"/>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4"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6">
        <f>C23</f>
        <v>16032490</v>
      </c>
      <c r="Z34" s="707"/>
    </row>
    <row r="35" spans="1:26" x14ac:dyDescent="0.25">
      <c r="A35" s="57"/>
      <c r="B35" s="714"/>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4"/>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4"/>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4"/>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4"/>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4"/>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4"/>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561"/>
      <c r="H47" s="561"/>
      <c r="I47" s="561"/>
      <c r="J47" s="561"/>
    </row>
    <row r="48" spans="1:26" x14ac:dyDescent="0.25">
      <c r="G48" s="703"/>
      <c r="H48" s="703"/>
      <c r="I48" s="703"/>
      <c r="J48" s="703"/>
      <c r="P48" s="383"/>
    </row>
    <row r="49" spans="7:10" ht="15" customHeight="1" x14ac:dyDescent="0.25">
      <c r="G49" s="703"/>
      <c r="H49" s="703"/>
      <c r="I49" s="703"/>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18.639999999999993</v>
      </c>
      <c r="E2" s="159">
        <f>PLANTILLA!AI21</f>
        <v>23.283821146797813</v>
      </c>
      <c r="F2" s="159">
        <f>PLANTILLA!AJ21</f>
        <v>18.520854591311224</v>
      </c>
      <c r="G2" s="159">
        <f>PLANTILLA!AK21</f>
        <v>1.2196533673048979</v>
      </c>
      <c r="H2" s="159">
        <f>PLANTILLA!AL21</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19.789276236818541</v>
      </c>
      <c r="F3" s="159">
        <f>PLANTILLA!AJ12</f>
        <v>16.047596425592488</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PLANTILLA!D22</f>
        <v>L. Calosso</v>
      </c>
      <c r="B4" s="159">
        <f>PLANTILLA!J22</f>
        <v>1.4142637871381487</v>
      </c>
      <c r="C4" s="265">
        <f>PLANTILLA!AC22</f>
        <v>10</v>
      </c>
      <c r="D4" s="265">
        <f>PLANTILLA!AD22</f>
        <v>9.3000000000000007</v>
      </c>
      <c r="E4" s="159">
        <f ca="1">PLANTILLA!AI22</f>
        <v>17.676556877998248</v>
      </c>
      <c r="F4" s="159">
        <f ca="1">PLANTILLA!AJ22</f>
        <v>10.889891307076187</v>
      </c>
      <c r="G4" s="159">
        <f ca="1">PLANTILLA!AK22</f>
        <v>0.95919415726675494</v>
      </c>
      <c r="H4" s="159">
        <f ca="1">PLANTILLA!AL22</f>
        <v>0.55746988760841054</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15.270000000000001</v>
      </c>
      <c r="E7" s="159">
        <f>PLANTILLA!AI14</f>
        <v>16.456364727329333</v>
      </c>
      <c r="F7" s="159">
        <f>PLANTILLA!AJ14</f>
        <v>13.324138543879974</v>
      </c>
      <c r="G7" s="159">
        <f>PLANTILLA!AK14</f>
        <v>1.0586</v>
      </c>
      <c r="H7" s="159">
        <f>PLANTILLA!AL14</f>
        <v>0.99083333333333334</v>
      </c>
      <c r="K7" t="str">
        <f>A13</f>
        <v>E. Toney</v>
      </c>
      <c r="L7" s="406">
        <f t="shared" si="1"/>
        <v>1.3333333333333333</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14.635237294077491</v>
      </c>
      <c r="F8" s="159">
        <f>PLANTILLA!AJ13</f>
        <v>14.063963873497711</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14.426800614340543</v>
      </c>
      <c r="F9" s="159">
        <f>PLANTILLA!AJ15</f>
        <v>13.959585835716988</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11.588414558875584</v>
      </c>
      <c r="F10" s="159">
        <f>PLANTILLA!AJ16</f>
        <v>11.984737839917553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11.67523535990766</v>
      </c>
      <c r="F12" s="159">
        <f>PLANTILLA!AJ6</f>
        <v>12.68413891855279</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14.293046583626074</v>
      </c>
      <c r="F13" s="159">
        <f>PLANTILLA!AJ9</f>
        <v>15.746750842264184</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10.673899483194409</v>
      </c>
      <c r="F16" s="159">
        <f>PLANTILLA!AJ11</f>
        <v>12.772024904411747</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7.9383747670995977</v>
      </c>
      <c r="F17" s="159">
        <f>PLANTILLA!AJ19</f>
        <v>9.2295094312563073</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9"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0"/>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1">
        <f>C13</f>
        <v>10943703</v>
      </c>
      <c r="Z14" s="712"/>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3" t="s">
        <v>93</v>
      </c>
      <c r="B26" s="713"/>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4" t="s">
        <v>94</v>
      </c>
      <c r="B27" s="704"/>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5" t="s">
        <v>95</v>
      </c>
      <c r="B28" s="705"/>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3" t="s">
        <v>96</v>
      </c>
      <c r="B29" s="713"/>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4" t="s">
        <v>97</v>
      </c>
      <c r="B30" s="704"/>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5" t="s">
        <v>98</v>
      </c>
      <c r="B31" s="705"/>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4"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6">
        <f>C23</f>
        <v>7143175</v>
      </c>
      <c r="Z34" s="707"/>
    </row>
    <row r="35" spans="1:26" x14ac:dyDescent="0.25">
      <c r="A35" s="57"/>
      <c r="B35" s="714"/>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4"/>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4"/>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4"/>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4"/>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4"/>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4"/>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590"/>
      <c r="H47" s="590"/>
      <c r="I47" s="590"/>
      <c r="J47" s="590"/>
    </row>
    <row r="48" spans="1:26" x14ac:dyDescent="0.25">
      <c r="G48" s="703"/>
      <c r="H48" s="703"/>
      <c r="I48" s="703"/>
      <c r="J48" s="703"/>
      <c r="P48" s="383"/>
    </row>
    <row r="49" spans="7:10" ht="15" customHeight="1" x14ac:dyDescent="0.25">
      <c r="G49" s="703"/>
      <c r="H49" s="703"/>
      <c r="I49" s="703"/>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59700</v>
      </c>
      <c r="S2" s="228">
        <v>2068800</v>
      </c>
      <c r="T2" s="228">
        <f ca="1">S2+Q2+P2+R2</f>
        <v>2907142.8571428573</v>
      </c>
      <c r="U2" s="233">
        <f ca="1">T2/((O2-N2)/112)</f>
        <v>567247.38675958186</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35100</v>
      </c>
      <c r="S4" s="228">
        <v>2059800</v>
      </c>
      <c r="T4" s="228">
        <f>S4+Q4+P4</f>
        <v>3126540</v>
      </c>
      <c r="U4" s="233">
        <f>T4/((O4-N4)/112)</f>
        <v>580717.21393034828</v>
      </c>
      <c r="V4" s="163">
        <f ca="1">(A7-N4)/112</f>
        <v>7.3125</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43124</v>
      </c>
    </row>
    <row r="8" spans="1:22" x14ac:dyDescent="0.25">
      <c r="A8" s="177">
        <v>41757</v>
      </c>
    </row>
    <row r="9" spans="1:22" x14ac:dyDescent="0.25">
      <c r="A9" s="179">
        <f ca="1">A7-A8</f>
        <v>1367</v>
      </c>
    </row>
    <row r="10" spans="1:22" x14ac:dyDescent="0.25">
      <c r="A10" s="417">
        <f ca="1">A9/112</f>
        <v>12.205357142857142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43124</v>
      </c>
      <c r="P13" s="623">
        <v>1800000</v>
      </c>
      <c r="Q13" s="228">
        <v>372</v>
      </c>
      <c r="R13" s="228">
        <f t="shared" ref="R13" ca="1" si="4">((TODAY()-N13)/7)*L13</f>
        <v>26660.571428571428</v>
      </c>
      <c r="S13" s="623">
        <v>2553000</v>
      </c>
      <c r="T13" s="228">
        <f t="shared" ref="T13" si="5">S13+Q13+P13</f>
        <v>4353372</v>
      </c>
      <c r="U13" s="233">
        <f t="shared" ref="U13" ca="1" si="6">T13/((O13-N13)/112)</f>
        <v>2257304</v>
      </c>
      <c r="V13" s="163">
        <v>7</v>
      </c>
    </row>
    <row r="17" spans="1:22" ht="18" x14ac:dyDescent="0.25">
      <c r="A17" s="608">
        <v>42908</v>
      </c>
      <c r="B17" s="290"/>
      <c r="C17">
        <v>112</v>
      </c>
      <c r="D17">
        <v>0</v>
      </c>
    </row>
    <row r="18" spans="1:22" x14ac:dyDescent="0.25">
      <c r="A18" s="290">
        <f ca="1">TODAY()</f>
        <v>43124</v>
      </c>
      <c r="B18" s="290"/>
      <c r="C18">
        <v>400</v>
      </c>
      <c r="D18">
        <v>1</v>
      </c>
    </row>
    <row r="19" spans="1:22" x14ac:dyDescent="0.25">
      <c r="A19">
        <f ca="1">A18-A17</f>
        <v>216</v>
      </c>
      <c r="C19">
        <f>C18-C17</f>
        <v>288</v>
      </c>
      <c r="D19" s="609">
        <f ca="1">(A19-C17)/C19</f>
        <v>0.3611111111111111</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S8" sqref="S8"/>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3.782142857142857</v>
      </c>
      <c r="D1" s="345">
        <f ca="1">TODAY()</f>
        <v>43124</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9.7894736842105274</v>
      </c>
      <c r="J2" s="297"/>
      <c r="K2" s="297"/>
      <c r="M2" s="347">
        <f>AVERAGE(M5:M23)</f>
        <v>7.352631578947368</v>
      </c>
      <c r="N2" s="297"/>
      <c r="O2" s="297"/>
      <c r="P2" s="297"/>
      <c r="Q2" s="347">
        <f>AVERAGE(Q5:Q23)</f>
        <v>5.7894736842105265</v>
      </c>
      <c r="R2" s="502">
        <f>AVERAGE(R5:R23)</f>
        <v>0.90543812924235456</v>
      </c>
      <c r="S2" s="502">
        <f>AVERAGE(S5:S23)</f>
        <v>0.95941220166239372</v>
      </c>
      <c r="T2" s="348">
        <f>AVERAGE(T5:T23)</f>
        <v>116096.84210526316</v>
      </c>
      <c r="U2" s="348"/>
      <c r="V2" s="348">
        <f>AVERAGE(V5:V23)</f>
        <v>15186.105263157895</v>
      </c>
      <c r="W2" s="293"/>
      <c r="X2" s="346">
        <f>(X5+X6)/2</f>
        <v>13.483333333333334</v>
      </c>
      <c r="Y2" s="346">
        <f>AVERAGE(Y5:Y11)</f>
        <v>11.725365634365634</v>
      </c>
      <c r="Z2" s="346">
        <f>AVERAGE(Z12:Z19)</f>
        <v>12.584288128306875</v>
      </c>
      <c r="AA2" s="346">
        <f>AVERAGE(AA12:AA14)</f>
        <v>13.01611111111111</v>
      </c>
      <c r="AB2" s="346">
        <f>AVERAGE(AB6:AB23)</f>
        <v>9.8358950617283956</v>
      </c>
      <c r="AC2" s="346">
        <f>AVERAGE(AC21:AC23)</f>
        <v>8.9823333333333348</v>
      </c>
      <c r="AD2" s="346">
        <f>AVERAGE(AD5:AD23)</f>
        <v>14.435614035087719</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3.5892857142857144</v>
      </c>
      <c r="D5" s="658" t="s">
        <v>782</v>
      </c>
      <c r="E5" s="387">
        <v>30</v>
      </c>
      <c r="F5" s="395">
        <f ca="1">-42406+$D$1-112-112-112-112-112-112</f>
        <v>46</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100150</v>
      </c>
      <c r="U5" s="627">
        <f t="shared" ref="U5:U23" si="2">T5-AR5</f>
        <v>0</v>
      </c>
      <c r="V5" s="324">
        <v>39696</v>
      </c>
      <c r="W5" s="316">
        <f t="shared" ref="W5:W24" si="3">T5/V5</f>
        <v>2.5229242241031842</v>
      </c>
      <c r="X5" s="486">
        <f>16+12/18</f>
        <v>16.666666666666668</v>
      </c>
      <c r="Y5" s="487">
        <f>10.53+0.11+0.11+0.11+0.11+0.11+1/11+1/11*0.16+1/11+1/11+1/11+1/11+1/11+1/11+1/11+1/11+1/11+1/13</f>
        <v>12.080559440559444</v>
      </c>
      <c r="Z5" s="486">
        <f>2+0.01+0.01+0.01+0.01+0.01+0.01</f>
        <v>2.0599999999999987</v>
      </c>
      <c r="AA5" s="487">
        <f>1.94+0.03+0.03+0.03+0.03+0.03+0.03+0.02+0.01</f>
        <v>2.149999999999999</v>
      </c>
      <c r="AB5" s="486">
        <f>0.6+0.04+0.04+0.04+0.04+0.04+0.04+0.03+0.03+0.02+0.02+0.02+0.02+0.02+0.02+0.01+0.01</f>
        <v>1.0400000000000003</v>
      </c>
      <c r="AC5" s="487">
        <f>0+0.05+0.05*37/90+0.04+0.02+0.01</f>
        <v>0.14055555555555557</v>
      </c>
      <c r="AD5" s="486">
        <f>13.8+0.5+0.5+0.5+0.34+0.34+0.34+0.34+0.34+0.25+0.2+0.2+0.2</f>
        <v>17.849999999999998</v>
      </c>
      <c r="AE5" s="324">
        <v>1467</v>
      </c>
      <c r="AF5" s="604">
        <f ca="1">(Z5+P5+J5)*(Q5/7)^0.5</f>
        <v>4.7800461484833559</v>
      </c>
      <c r="AG5" s="604">
        <f ca="1">(Z5+P5+J5)*(IF(Q5=7, (Q5/7)^0.5, ((Q5+1)/7)^0.5))</f>
        <v>4.7800461484833559</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100150</v>
      </c>
      <c r="AS5">
        <f>AR5</f>
        <v>100150</v>
      </c>
      <c r="AT5" s="390">
        <f>AS5-T5</f>
        <v>0</v>
      </c>
    </row>
    <row r="6" spans="1:46" s="263" customFormat="1" x14ac:dyDescent="0.25">
      <c r="A6" s="384" t="s">
        <v>484</v>
      </c>
      <c r="B6" s="384" t="s">
        <v>1</v>
      </c>
      <c r="C6" s="385">
        <f t="shared" ref="C6:C23" ca="1" si="4">((34*112)-(E6*112)-(F6))/112</f>
        <v>-0.49107142857142855</v>
      </c>
      <c r="D6" s="658" t="s">
        <v>267</v>
      </c>
      <c r="E6" s="387">
        <v>34</v>
      </c>
      <c r="F6" s="395">
        <f ca="1">82-41471+$D$1-112-112-112-112-112-112-112-112-112-112-112-112-112-112-112</f>
        <v>55</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5</v>
      </c>
      <c r="R6" s="501">
        <f t="shared" ref="R6:R23" si="9">(Q6/7)^0.5</f>
        <v>0.84515425472851657</v>
      </c>
      <c r="S6" s="501">
        <f t="shared" ref="S6:S23" si="10">IF(Q6=7,1,((Q6+0.99)/7)^0.5)</f>
        <v>0.92504826128926143</v>
      </c>
      <c r="T6" s="324">
        <v>1650</v>
      </c>
      <c r="U6" s="627">
        <f t="shared" si="2"/>
        <v>-150</v>
      </c>
      <c r="V6" s="324">
        <v>2770</v>
      </c>
      <c r="W6" s="316">
        <f t="shared" si="3"/>
        <v>0.59566787003610111</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5.709738196476466</v>
      </c>
      <c r="AG6" s="604">
        <f t="shared" ref="AG6:AG23" si="12">(Z6+P6+J6)*(IF(Q6=7, (Q6/7)^0.5, ((Q6+1)/7)^0.5))</f>
        <v>6.2547048153180489</v>
      </c>
      <c r="AH6" s="316">
        <f t="shared" ref="AH6:AH23" si="13">(((Y6+P6+J6)+(AB6+P6+J6)*2)/8)*(Q6/7)^0.5</f>
        <v>3.284751174608199</v>
      </c>
      <c r="AI6" s="316">
        <f t="shared" ref="AI6:AI23" si="14">(1.66*(AC6+J6+P6)+0.55*(AD6+J6+P6)-7.6)*(Q6/7)^0.5</f>
        <v>11.67523535990766</v>
      </c>
      <c r="AJ6" s="316">
        <f t="shared" ref="AJ6:AJ23" si="15">((AD6+J6+P6)*0.7+(AC6+J6+P6)*0.3)*(Q6/7)^0.5</f>
        <v>12.68413891855279</v>
      </c>
      <c r="AK6" s="316">
        <f t="shared" ref="AK6:AK23" si="16">(0.5*(AC6+P6+J6)+ 0.3*(AD6+P6+J6))/10</f>
        <v>0.89413493404212407</v>
      </c>
      <c r="AL6" s="316">
        <f t="shared" ref="AL6:AL23" si="17">(0.4*(Y6+P6+J6)+0.3*(AD6+P6+J6))/10</f>
        <v>1.0995764006201916</v>
      </c>
      <c r="AM6" s="311">
        <f t="shared" ref="AM6:AM23" si="18">(AD6+P6+(LOG(I6)*4/3))*(Q6/7)^0.5</f>
        <v>15.614837601910667</v>
      </c>
      <c r="AN6" s="311">
        <f t="shared" ref="AN6:AN23" si="19">(AD6+P6+(LOG(I6)*4/3))*(IF(Q6=7, (Q6/7)^0.5, ((Q6+1)/7)^0.5))</f>
        <v>17.105197572692688</v>
      </c>
      <c r="AO6" s="446">
        <v>4</v>
      </c>
      <c r="AP6" s="446">
        <v>3</v>
      </c>
      <c r="AQ6" s="591">
        <f t="shared" ref="AQ6:AQ23" si="20">IF(AO6=4,IF(AP6=0,0.137+0.0697,0.137+0.02),IF(AO6=3,IF(AP6=0,0.0958+0.0697,0.0958+0.02),IF(AO6=2,IF(AP6=0,0.0415+0.0697,0.0415+0.02),IF(AO6=1,IF(AP6=0,0.0294+0.0697,0.0294+0.02),IF(AO6=0,IF(AP6=0,0.0063+0.0697,0.0063+0.02))))))</f>
        <v>0.157</v>
      </c>
      <c r="AR6" s="263">
        <v>1800</v>
      </c>
      <c r="AS6">
        <f t="shared" ref="AS6:AS23" si="21">AR6</f>
        <v>1800</v>
      </c>
      <c r="AT6" s="390">
        <f t="shared" ref="AT6:AT22" si="22">AS6-T6</f>
        <v>150</v>
      </c>
    </row>
    <row r="7" spans="1:46" s="248" customFormat="1" x14ac:dyDescent="0.25">
      <c r="A7" s="384" t="s">
        <v>582</v>
      </c>
      <c r="B7" s="384" t="s">
        <v>2</v>
      </c>
      <c r="C7" s="385">
        <f t="shared" ca="1" si="4"/>
        <v>3.4821428571428572</v>
      </c>
      <c r="D7" s="658" t="s">
        <v>857</v>
      </c>
      <c r="E7" s="387">
        <v>30</v>
      </c>
      <c r="F7" s="395">
        <f ca="1">82-41471+$D$1-112-112-112-112-112-112-112-112-112-112-112+3-112-112-112-112</f>
        <v>58</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252380</v>
      </c>
      <c r="U7" s="627">
        <f t="shared" si="2"/>
        <v>2580</v>
      </c>
      <c r="V7" s="324">
        <v>29520</v>
      </c>
      <c r="W7" s="316">
        <f>T7/V7</f>
        <v>8.5494579945799458</v>
      </c>
      <c r="X7" s="486">
        <v>0</v>
      </c>
      <c r="Y7" s="487">
        <f>14+1/20+1/20+1/20+1/20+1/20+1/20</f>
        <v>14.300000000000004</v>
      </c>
      <c r="Z7" s="486">
        <f>9+1/9*0.5+1/9*0.16+0.1*0.5+0.1*0.5+0.1*0.5+0.01+0.1*0.5+0.1*0.16+0.01+0.01+0.1*0.5</f>
        <v>9.3693333333333353</v>
      </c>
      <c r="AA7" s="487">
        <f>14+1/12*0.5+1/12*0.5+1/12*0.5+1/12*0.5+1/12*0.5+1/12*0.5+1/12*0.5+1/12*0.5</f>
        <v>14.333333333333329</v>
      </c>
      <c r="AB7" s="486">
        <f>8.45+0.15+0.15+0.02+0.12+0.12+0.11+0.01+0.08+0.07+0.07+0.07</f>
        <v>9.4199999999999982</v>
      </c>
      <c r="AC7" s="487">
        <f>1+1/7</f>
        <v>1.1428571428571428</v>
      </c>
      <c r="AD7" s="486">
        <f>9+0.4</f>
        <v>9.4</v>
      </c>
      <c r="AE7" s="324">
        <v>1902</v>
      </c>
      <c r="AF7" s="604">
        <f t="shared" ca="1" si="11"/>
        <v>11.066044624237227</v>
      </c>
      <c r="AG7" s="604">
        <f t="shared" ca="1" si="12"/>
        <v>11.952694294448619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249800</v>
      </c>
      <c r="AS7">
        <f t="shared" si="21"/>
        <v>249800</v>
      </c>
      <c r="AT7" s="390">
        <f t="shared" si="22"/>
        <v>-2580</v>
      </c>
    </row>
    <row r="8" spans="1:46" s="254" customFormat="1" x14ac:dyDescent="0.25">
      <c r="A8" s="305" t="s">
        <v>412</v>
      </c>
      <c r="B8" s="260" t="s">
        <v>2</v>
      </c>
      <c r="C8" s="385">
        <f t="shared" ca="1" si="4"/>
        <v>2.0803571428571428</v>
      </c>
      <c r="D8" s="659" t="s">
        <v>275</v>
      </c>
      <c r="E8" s="210">
        <v>31</v>
      </c>
      <c r="F8" s="211">
        <f ca="1">18-41471+$D$1-112-112-112-112-112-112-112-112-112-112-112-112-112-112</f>
        <v>103</v>
      </c>
      <c r="G8" s="262" t="s">
        <v>502</v>
      </c>
      <c r="H8" s="394">
        <v>4</v>
      </c>
      <c r="I8" s="214">
        <v>7.6</v>
      </c>
      <c r="J8" s="487">
        <f t="shared" si="5"/>
        <v>1.2459979349914236</v>
      </c>
      <c r="K8" s="303">
        <f t="shared" si="6"/>
        <v>121.6</v>
      </c>
      <c r="L8" s="303">
        <f t="shared" si="7"/>
        <v>190</v>
      </c>
      <c r="M8" s="296">
        <v>6.9</v>
      </c>
      <c r="N8" s="446">
        <f t="shared" si="8"/>
        <v>88</v>
      </c>
      <c r="O8" s="446" t="s">
        <v>557</v>
      </c>
      <c r="P8" s="679">
        <v>1.5</v>
      </c>
      <c r="Q8" s="447">
        <v>6</v>
      </c>
      <c r="R8" s="501">
        <f t="shared" si="9"/>
        <v>0.92582009977255142</v>
      </c>
      <c r="S8" s="501">
        <f t="shared" si="10"/>
        <v>0.99928545900129484</v>
      </c>
      <c r="T8" s="628">
        <v>19990</v>
      </c>
      <c r="U8" s="627">
        <f t="shared" si="2"/>
        <v>360</v>
      </c>
      <c r="V8" s="628">
        <v>3510</v>
      </c>
      <c r="W8" s="316">
        <f t="shared" si="3"/>
        <v>5.6951566951566948</v>
      </c>
      <c r="X8" s="486">
        <v>0</v>
      </c>
      <c r="Y8" s="487">
        <f>11+1/15*0.16+1/15</f>
        <v>11.077333333333334</v>
      </c>
      <c r="Z8" s="486">
        <f>4.61+0.04+0.04+0.04+0.04+0.25+0.14+0.13+0.13+0.12+0.12+0.12+0.04*55/90+0.025+0.13+0.02+0.02+0.02+0.02+0.02+0.01+0.01+0.01+0.12*0.5+0.01+0.02+0.01+0.01+0.01</f>
        <v>6.2094444444444408</v>
      </c>
      <c r="AA8" s="487">
        <f>5.98+0.12*0.5+0.12*0.5</f>
        <v>6.1</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8.2911285572366467</v>
      </c>
      <c r="AG8" s="604">
        <f t="shared" si="12"/>
        <v>8.9554423794358637</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19630</v>
      </c>
      <c r="AS8">
        <f t="shared" si="21"/>
        <v>19630</v>
      </c>
      <c r="AT8" s="390">
        <f t="shared" si="22"/>
        <v>-360</v>
      </c>
    </row>
    <row r="9" spans="1:46" s="246" customFormat="1" x14ac:dyDescent="0.25">
      <c r="A9" s="384" t="s">
        <v>504</v>
      </c>
      <c r="B9" s="384" t="s">
        <v>2</v>
      </c>
      <c r="C9" s="385">
        <f t="shared" ca="1" si="4"/>
        <v>2.4910714285714284</v>
      </c>
      <c r="D9" s="658" t="s">
        <v>269</v>
      </c>
      <c r="E9" s="387">
        <v>31</v>
      </c>
      <c r="F9" s="395">
        <f ca="1">84-41471+$D$1-112-112-112-112-112-112-112-112-112-112-112-112-112-112-112</f>
        <v>57</v>
      </c>
      <c r="G9" s="388"/>
      <c r="H9" s="394">
        <v>4</v>
      </c>
      <c r="I9" s="308">
        <v>12.4</v>
      </c>
      <c r="J9" s="487">
        <f t="shared" si="5"/>
        <v>1.5028063978197437</v>
      </c>
      <c r="K9" s="303">
        <f t="shared" si="6"/>
        <v>198.4</v>
      </c>
      <c r="L9" s="303">
        <f t="shared" si="7"/>
        <v>310</v>
      </c>
      <c r="M9" s="389">
        <v>7.3</v>
      </c>
      <c r="N9" s="446">
        <f t="shared" si="8"/>
        <v>92</v>
      </c>
      <c r="O9" s="446" t="s">
        <v>557</v>
      </c>
      <c r="P9" s="679">
        <v>1.5</v>
      </c>
      <c r="Q9" s="446">
        <v>7</v>
      </c>
      <c r="R9" s="501">
        <f t="shared" si="9"/>
        <v>1</v>
      </c>
      <c r="S9" s="501">
        <f t="shared" si="10"/>
        <v>1</v>
      </c>
      <c r="T9" s="324">
        <v>133280</v>
      </c>
      <c r="U9" s="627">
        <f t="shared" si="2"/>
        <v>5470</v>
      </c>
      <c r="V9" s="324">
        <v>14670</v>
      </c>
      <c r="W9" s="316">
        <f t="shared" si="3"/>
        <v>9.0852079072937961</v>
      </c>
      <c r="X9" s="486">
        <v>0</v>
      </c>
      <c r="Y9" s="487">
        <f>9.9+0.14+0.14+0.14+0.14+0.13+0.13+0.13+0.12+0.12+0.09+0.09+0.09+0.09+0.08+0.08+0.08+0.08+0.08+0.07+0.07+0.07+0.07+0.07</f>
        <v>12.200000000000005</v>
      </c>
      <c r="Z9" s="486">
        <f>10.72+0.15+0.15+0.15+0.14+0.14+0.11+0.11+0.11+0.11+0.11+0.11+0.11+0.11*0.5+0.11*0.5+0.11*0.5+0.1+0.1*0.5+0.1*0.5+0.1*0.5+0.1*0.16+0.09+0.08+0.08+0.08*0.5+0.08+1/18+0.08*0.5+0.08*0.5+0.07</f>
        <v>13.226555555555553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16.229361953375296</v>
      </c>
      <c r="AG9" s="604">
        <f t="shared" si="12"/>
        <v>16.229361953375296</v>
      </c>
      <c r="AH9" s="316">
        <f t="shared" si="13"/>
        <v>5.0510523991824039</v>
      </c>
      <c r="AI9" s="316">
        <f t="shared" si="14"/>
        <v>14.293046583626074</v>
      </c>
      <c r="AJ9" s="316">
        <f t="shared" si="15"/>
        <v>15.746750842264184</v>
      </c>
      <c r="AK9" s="316">
        <f t="shared" si="16"/>
        <v>0.92314117849224586</v>
      </c>
      <c r="AL9" s="316">
        <f t="shared" si="17"/>
        <v>1.1970297811807153</v>
      </c>
      <c r="AM9" s="311">
        <f t="shared" si="18"/>
        <v>19.585673357994086</v>
      </c>
      <c r="AN9" s="311">
        <f t="shared" si="19"/>
        <v>19.585673357994086</v>
      </c>
      <c r="AO9" s="446">
        <v>2</v>
      </c>
      <c r="AP9" s="446">
        <v>3</v>
      </c>
      <c r="AQ9" s="591">
        <f t="shared" si="20"/>
        <v>6.1499999999999999E-2</v>
      </c>
      <c r="AR9" s="246">
        <v>127810</v>
      </c>
      <c r="AS9">
        <f t="shared" si="21"/>
        <v>127810</v>
      </c>
      <c r="AT9" s="390">
        <f t="shared" si="22"/>
        <v>-5470</v>
      </c>
    </row>
    <row r="10" spans="1:46" s="247" customFormat="1" x14ac:dyDescent="0.25">
      <c r="A10" s="384" t="s">
        <v>405</v>
      </c>
      <c r="B10" s="260" t="s">
        <v>2</v>
      </c>
      <c r="C10" s="385">
        <f t="shared" ca="1" si="4"/>
        <v>2.625</v>
      </c>
      <c r="D10" s="659" t="s">
        <v>273</v>
      </c>
      <c r="E10" s="210">
        <v>31</v>
      </c>
      <c r="F10" s="211">
        <f ca="1">69-41471+$D$1-112-112-112-112-112-112-112-112-112-112-112-112-112-112-112</f>
        <v>42</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40220</v>
      </c>
      <c r="U10" s="627">
        <f t="shared" si="2"/>
        <v>160</v>
      </c>
      <c r="V10" s="628">
        <v>5350</v>
      </c>
      <c r="W10" s="316">
        <f t="shared" si="3"/>
        <v>7.5177570093457948</v>
      </c>
      <c r="X10" s="486">
        <v>0</v>
      </c>
      <c r="Y10" s="487">
        <f>9.15+0.15+0.15+0.15+0.15+0.15+0.15+0.15+0.15+0.15+0.12+0.12+0.12+0.12+0.12+0.1+0.1+0.1+0.1+0.1+0.1+0.1+0.1+0.1</f>
        <v>11.999999999999996</v>
      </c>
      <c r="Z10" s="486">
        <f>5.99+0.04+0.04+(0.04/90*75)+(0.25*15/90)+0.03+0.03+(0.03*20/90)+0.03+0.03+(0.22*0.5*30/90)+(0.22/16*60/90)+0.03+0.03+0.22*0.5+0.2*0.5+0.03+0.22*0.5+0.03+0.03+0.03+0.01+0.01+0.01+0.01+0.01+1/8*0.5+0.01+1/8*0.5+0.01</f>
        <v>7.012500000000002</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9.8740857320932527</v>
      </c>
      <c r="AG10" s="604">
        <f t="shared" si="12"/>
        <v>9.8740857320932527</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40060</v>
      </c>
      <c r="AS10">
        <f t="shared" si="21"/>
        <v>40060</v>
      </c>
      <c r="AT10" s="390">
        <f t="shared" si="22"/>
        <v>-160</v>
      </c>
    </row>
    <row r="11" spans="1:46" s="264" customFormat="1" x14ac:dyDescent="0.25">
      <c r="A11" s="304" t="s">
        <v>495</v>
      </c>
      <c r="B11" s="260" t="s">
        <v>2</v>
      </c>
      <c r="C11" s="385">
        <f t="shared" ca="1" si="4"/>
        <v>6.4196428571428568</v>
      </c>
      <c r="D11" s="659" t="s">
        <v>567</v>
      </c>
      <c r="E11" s="210">
        <v>27</v>
      </c>
      <c r="F11" s="211">
        <f ca="1">75-41471+$D$1-24-112-10-112-112+6-112-112-112+45-112-112-112-112-112-112-112-112-112</f>
        <v>65</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7</v>
      </c>
      <c r="R11" s="501">
        <f t="shared" si="9"/>
        <v>1</v>
      </c>
      <c r="S11" s="501">
        <f t="shared" si="10"/>
        <v>1</v>
      </c>
      <c r="T11" s="628">
        <v>38480</v>
      </c>
      <c r="U11" s="627">
        <f t="shared" si="2"/>
        <v>-110</v>
      </c>
      <c r="V11" s="628">
        <v>2510</v>
      </c>
      <c r="W11" s="316">
        <f t="shared" si="3"/>
        <v>15.330677290836654</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10.278524904411748</v>
      </c>
      <c r="AG11" s="604">
        <f t="shared" si="12"/>
        <v>10.278524904411748</v>
      </c>
      <c r="AH11" s="316">
        <f t="shared" si="13"/>
        <v>4.3643426724877381</v>
      </c>
      <c r="AI11" s="316">
        <f t="shared" si="14"/>
        <v>10.673899483194409</v>
      </c>
      <c r="AJ11" s="316">
        <f t="shared" si="15"/>
        <v>12.772024904411747</v>
      </c>
      <c r="AK11" s="316">
        <f t="shared" si="16"/>
        <v>0.7622242145751621</v>
      </c>
      <c r="AL11" s="316">
        <f t="shared" si="17"/>
        <v>0.95829952108660021</v>
      </c>
      <c r="AM11" s="311">
        <f t="shared" si="18"/>
        <v>15.659150328926907</v>
      </c>
      <c r="AN11" s="311">
        <f t="shared" si="19"/>
        <v>15.659150328926907</v>
      </c>
      <c r="AO11" s="447">
        <v>3</v>
      </c>
      <c r="AP11" s="447">
        <v>2</v>
      </c>
      <c r="AQ11" s="591">
        <f t="shared" si="20"/>
        <v>0.1158</v>
      </c>
      <c r="AR11" s="264">
        <v>38590</v>
      </c>
      <c r="AS11">
        <f t="shared" si="21"/>
        <v>38590</v>
      </c>
      <c r="AT11" s="390">
        <f t="shared" si="22"/>
        <v>110</v>
      </c>
    </row>
    <row r="12" spans="1:46" s="264" customFormat="1" x14ac:dyDescent="0.25">
      <c r="A12" s="384" t="s">
        <v>408</v>
      </c>
      <c r="B12" s="384" t="s">
        <v>65</v>
      </c>
      <c r="C12" s="385">
        <f t="shared" ca="1" si="4"/>
        <v>2.8303571428571428</v>
      </c>
      <c r="D12" s="658" t="s">
        <v>817</v>
      </c>
      <c r="E12" s="387">
        <v>31</v>
      </c>
      <c r="F12" s="211">
        <f ca="1">46-41471+$D$1-112-112-112-112-112-112-112-112-112-112-112-112-112-112-112</f>
        <v>19</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6</v>
      </c>
      <c r="R12" s="501">
        <f t="shared" si="9"/>
        <v>0.92582009977255142</v>
      </c>
      <c r="S12" s="501">
        <f t="shared" si="10"/>
        <v>0.99928545900129484</v>
      </c>
      <c r="T12" s="324">
        <v>201940</v>
      </c>
      <c r="U12" s="627">
        <f t="shared" si="2"/>
        <v>12770</v>
      </c>
      <c r="V12" s="324">
        <v>14850</v>
      </c>
      <c r="W12" s="316">
        <f t="shared" si="3"/>
        <v>13.598653198653199</v>
      </c>
      <c r="X12" s="486">
        <v>0</v>
      </c>
      <c r="Y12" s="487">
        <f>11.95+1/18+1/18</f>
        <v>12.06111111111111</v>
      </c>
      <c r="Z12" s="486">
        <f>9.9+0.17+(0.17/90*26)+0.17+0.15+0.15+0.15+0.13+0.13+(1/8)+0.13+0.13+0.13*0.5+0.11+0.11+0.11*0.5+0.11*0.5+0.1*0.5+0.1*0.5+0.1+0.1+0.1*0.5+0.09+0.09*0.5+0.09*0.5+0.09*0.5+0.09*0.5+0.09*0.5+0.09*0.5+0.09*0.5+0.09*0.5</f>
        <v>12.579111111111114</v>
      </c>
      <c r="AA12" s="487">
        <f>13.05+1/12+1/12</f>
        <v>13.216666666666669</v>
      </c>
      <c r="AB12" s="486">
        <f>10.7+0.07+0.07+0.07</f>
        <v>10.91</v>
      </c>
      <c r="AC12" s="487">
        <f>5.71+0.29+0.29+0.29+0.25+0.25+0.2+0.2+0.2+0.015+0.15*0.5</f>
        <v>7.7700000000000005</v>
      </c>
      <c r="AD12" s="486">
        <f>10.8+0.67+0.55+0.55+0.45+0.45+0.4+0.4+0.35+0.35+0.33+0.33+0.3+0.3+0.25+0.25+0.2+0.2</f>
        <v>17.13</v>
      </c>
      <c r="AE12" s="324">
        <v>2204</v>
      </c>
      <c r="AF12" s="604">
        <f t="shared" si="11"/>
        <v>14.433994860588907</v>
      </c>
      <c r="AG12" s="604">
        <f t="shared" si="12"/>
        <v>15.590496322271404</v>
      </c>
      <c r="AH12" s="316">
        <f t="shared" si="13"/>
        <v>4.9664770674054761</v>
      </c>
      <c r="AI12" s="316">
        <f t="shared" si="14"/>
        <v>19.789276236818541</v>
      </c>
      <c r="AJ12" s="316">
        <f t="shared" si="15"/>
        <v>16.047596425592488</v>
      </c>
      <c r="AK12" s="316">
        <f t="shared" si="16"/>
        <v>1.1433108168928232</v>
      </c>
      <c r="AL12" s="316">
        <f t="shared" si="17"/>
        <v>1.2071414092256647</v>
      </c>
      <c r="AM12" s="311">
        <f t="shared" si="18"/>
        <v>18.606355349252659</v>
      </c>
      <c r="AN12" s="311">
        <f t="shared" si="19"/>
        <v>20.097160726823418</v>
      </c>
      <c r="AO12" s="446">
        <v>1</v>
      </c>
      <c r="AP12" s="446">
        <v>2</v>
      </c>
      <c r="AQ12" s="591">
        <f t="shared" si="20"/>
        <v>4.9399999999999999E-2</v>
      </c>
      <c r="AR12" s="264">
        <v>189170</v>
      </c>
      <c r="AS12">
        <f t="shared" si="21"/>
        <v>189170</v>
      </c>
      <c r="AT12" s="390">
        <f t="shared" si="22"/>
        <v>-12770</v>
      </c>
    </row>
    <row r="13" spans="1:46" s="254" customFormat="1" x14ac:dyDescent="0.25">
      <c r="A13" s="384" t="s">
        <v>410</v>
      </c>
      <c r="B13" s="384" t="s">
        <v>65</v>
      </c>
      <c r="C13" s="385">
        <f t="shared" ca="1" si="4"/>
        <v>3.3035714285714284</v>
      </c>
      <c r="D13" s="658" t="s">
        <v>298</v>
      </c>
      <c r="E13" s="387">
        <v>30</v>
      </c>
      <c r="F13" s="395">
        <f ca="1">75-41471+$D$1-24-112-10-112-40-8-112-112-112-112-112-112-112-112-112-112-112-112</f>
        <v>78</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105190</v>
      </c>
      <c r="U13" s="627">
        <f t="shared" si="2"/>
        <v>-1060</v>
      </c>
      <c r="V13" s="324">
        <v>10060</v>
      </c>
      <c r="W13" s="316">
        <f t="shared" si="3"/>
        <v>10.456262425447315</v>
      </c>
      <c r="X13" s="486">
        <v>0</v>
      </c>
      <c r="Y13" s="487">
        <f>7+0.11+0.11+1/33</f>
        <v>7.2503030303030309</v>
      </c>
      <c r="Z13" s="486">
        <f>10+0.1*0.5+0.1*0.5+0.1*0.5+0.1*0.5+0.1*0.5+0.1+0.1+0.1*0.5+0.1*0.5</f>
        <v>10.550000000000004</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11.375105612078935</v>
      </c>
      <c r="AG13" s="604">
        <f t="shared" si="12"/>
        <v>12.460803875478485</v>
      </c>
      <c r="AH13" s="316">
        <f t="shared" si="13"/>
        <v>3.8769256607732214</v>
      </c>
      <c r="AI13" s="316">
        <f t="shared" si="14"/>
        <v>14.635237294077491</v>
      </c>
      <c r="AJ13" s="316">
        <f t="shared" si="15"/>
        <v>14.063963873497711</v>
      </c>
      <c r="AK13" s="316">
        <f t="shared" si="16"/>
        <v>1.0219865174758904</v>
      </c>
      <c r="AL13" s="316">
        <f t="shared" si="17"/>
        <v>1.0126565740035254</v>
      </c>
      <c r="AM13" s="311">
        <f t="shared" si="18"/>
        <v>17.034966727441599</v>
      </c>
      <c r="AN13" s="311">
        <f t="shared" si="19"/>
        <v>18.660871085939448</v>
      </c>
      <c r="AO13" s="446">
        <v>4</v>
      </c>
      <c r="AP13" s="446">
        <v>4</v>
      </c>
      <c r="AQ13" s="591">
        <f t="shared" si="20"/>
        <v>0.157</v>
      </c>
      <c r="AR13" s="254">
        <v>106250</v>
      </c>
      <c r="AS13">
        <f t="shared" si="21"/>
        <v>106250</v>
      </c>
      <c r="AT13" s="390">
        <f t="shared" si="22"/>
        <v>1060</v>
      </c>
    </row>
    <row r="14" spans="1:46" s="263" customFormat="1" x14ac:dyDescent="0.25">
      <c r="A14" s="384" t="s">
        <v>409</v>
      </c>
      <c r="B14" s="384" t="s">
        <v>65</v>
      </c>
      <c r="C14" s="385">
        <f t="shared" ca="1" si="4"/>
        <v>6.1696428571428568</v>
      </c>
      <c r="D14" s="658" t="s">
        <v>507</v>
      </c>
      <c r="E14" s="387">
        <v>27</v>
      </c>
      <c r="F14" s="211">
        <f ca="1">7-41471+$D$1-112-111-112+4-112-116-112-112-112-112-112-112-112-112-112</f>
        <v>93</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5</v>
      </c>
      <c r="R14" s="501">
        <f t="shared" si="9"/>
        <v>0.84515425472851657</v>
      </c>
      <c r="S14" s="501">
        <f t="shared" si="10"/>
        <v>0.92504826128926143</v>
      </c>
      <c r="T14" s="324">
        <v>213360</v>
      </c>
      <c r="U14" s="627">
        <f t="shared" si="2"/>
        <v>27980</v>
      </c>
      <c r="V14" s="324">
        <v>12550</v>
      </c>
      <c r="W14" s="316">
        <f t="shared" si="3"/>
        <v>17.000796812749005</v>
      </c>
      <c r="X14" s="486">
        <v>0</v>
      </c>
      <c r="Y14" s="487">
        <f>8+0.12+0.12+0.12</f>
        <v>8.3599999999999977</v>
      </c>
      <c r="Z14" s="486">
        <f>8.4+0.22+0.22+(0.22*75/90)+(0.05*15/90)+0.17+0.17+0.17+0.17+0.17+1/7+0.16+0.16+0.16+0.125+0.16+0.16+0.14+0.14+0.05*61/90+0.11+0.11*0.5+0.11+0.11+0.11+0.1+0.1+0.1*0.5+0.1*0.5+0.1+0.1*0.5</f>
        <v>12.208412698412699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12.712595657275941</v>
      </c>
      <c r="AG14" s="604">
        <f t="shared" si="12"/>
        <v>13.925950811864492</v>
      </c>
      <c r="AH14" s="316">
        <f t="shared" si="13"/>
        <v>3.9447574839453514</v>
      </c>
      <c r="AI14" s="316">
        <f t="shared" si="14"/>
        <v>16.456364727329333</v>
      </c>
      <c r="AJ14" s="316">
        <f t="shared" si="15"/>
        <v>13.324138543879974</v>
      </c>
      <c r="AK14" s="316">
        <f t="shared" si="16"/>
        <v>1.0586</v>
      </c>
      <c r="AL14" s="316">
        <f t="shared" si="17"/>
        <v>0.99083333333333334</v>
      </c>
      <c r="AM14" s="311">
        <f t="shared" si="18"/>
        <v>15.248546340991176</v>
      </c>
      <c r="AN14" s="311">
        <f t="shared" si="19"/>
        <v>16.703945600247458</v>
      </c>
      <c r="AO14" s="446">
        <v>3</v>
      </c>
      <c r="AP14" s="446">
        <v>2</v>
      </c>
      <c r="AQ14" s="591">
        <f t="shared" si="20"/>
        <v>0.1158</v>
      </c>
      <c r="AR14" s="263">
        <v>185380</v>
      </c>
      <c r="AS14">
        <f t="shared" si="21"/>
        <v>185380</v>
      </c>
      <c r="AT14" s="390">
        <f t="shared" si="22"/>
        <v>-27980</v>
      </c>
    </row>
    <row r="15" spans="1:46" s="264" customFormat="1" x14ac:dyDescent="0.25">
      <c r="A15" s="384" t="s">
        <v>406</v>
      </c>
      <c r="B15" s="260" t="s">
        <v>64</v>
      </c>
      <c r="C15" s="385">
        <f t="shared" ca="1" si="4"/>
        <v>4.1964285714285712</v>
      </c>
      <c r="D15" s="659" t="s">
        <v>618</v>
      </c>
      <c r="E15" s="210">
        <v>29</v>
      </c>
      <c r="F15" s="211">
        <f ca="1">7-41471+$D$1-112-111-3-112-112-112-112-112-112-112-112-112-112-112-112</f>
        <v>90</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6</v>
      </c>
      <c r="R15" s="501">
        <f t="shared" si="9"/>
        <v>0.92582009977255142</v>
      </c>
      <c r="S15" s="501">
        <f t="shared" si="10"/>
        <v>0.99928545900129484</v>
      </c>
      <c r="T15" s="324">
        <v>231150</v>
      </c>
      <c r="U15" s="627">
        <f t="shared" si="2"/>
        <v>18620</v>
      </c>
      <c r="V15" s="628">
        <v>21080</v>
      </c>
      <c r="W15" s="316">
        <f t="shared" si="3"/>
        <v>10.965370018975332</v>
      </c>
      <c r="X15" s="486">
        <v>0</v>
      </c>
      <c r="Y15" s="487">
        <f>5.6+0.26+0.26+0.26+(0.26*23/90)+(0.05*(90-23)/90)+0.26+0.26+0.23+0.23+0.22+0.15+0.15+0.14+0.13+0.13+0.13+0.12+0.12+0.12+0.02+0.1+0.1+0.1+0.01+0.1</f>
        <v>9.3036666666666648</v>
      </c>
      <c r="Z15" s="486">
        <f>13+0.1+0.1+0.1+0.1+0.1+0.1+0.08+0.08+0.08</f>
        <v>13.839999999999998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f>
        <v>15.2</v>
      </c>
      <c r="AE15" s="324">
        <v>1791</v>
      </c>
      <c r="AF15" s="604">
        <f t="shared" si="11"/>
        <v>15.525240206442351</v>
      </c>
      <c r="AG15" s="604">
        <f t="shared" si="12"/>
        <v>16.7691760097415</v>
      </c>
      <c r="AH15" s="316">
        <f t="shared" si="13"/>
        <v>4.3325905677442806</v>
      </c>
      <c r="AI15" s="316">
        <f t="shared" si="14"/>
        <v>14.426800614340543</v>
      </c>
      <c r="AJ15" s="316">
        <f t="shared" si="15"/>
        <v>13.959585835716988</v>
      </c>
      <c r="AK15" s="316">
        <f t="shared" si="16"/>
        <v>0.94181741411265329</v>
      </c>
      <c r="AL15" s="316">
        <f t="shared" si="17"/>
        <v>1.0331889873485716</v>
      </c>
      <c r="AM15" s="311">
        <f t="shared" si="18"/>
        <v>16.736881645417945</v>
      </c>
      <c r="AN15" s="311">
        <f t="shared" si="19"/>
        <v>18.077898340649266</v>
      </c>
      <c r="AO15" s="447">
        <v>3</v>
      </c>
      <c r="AP15" s="447">
        <v>3</v>
      </c>
      <c r="AQ15" s="591">
        <f t="shared" si="20"/>
        <v>0.1158</v>
      </c>
      <c r="AR15" s="264">
        <v>212530</v>
      </c>
      <c r="AS15">
        <f t="shared" si="21"/>
        <v>212530</v>
      </c>
      <c r="AT15" s="390">
        <f t="shared" si="22"/>
        <v>-18620</v>
      </c>
    </row>
    <row r="16" spans="1:46" x14ac:dyDescent="0.25">
      <c r="A16" s="305" t="s">
        <v>407</v>
      </c>
      <c r="B16" s="384" t="s">
        <v>64</v>
      </c>
      <c r="C16" s="385">
        <f t="shared" ca="1" si="4"/>
        <v>1.8928571428571428</v>
      </c>
      <c r="D16" s="658" t="s">
        <v>285</v>
      </c>
      <c r="E16" s="387">
        <v>32</v>
      </c>
      <c r="F16" s="395">
        <f ca="1">33-41471+$D$1-112+6-112-112-112-112-112-112-112-112-112-112-112-112-112-112</f>
        <v>12</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63900</v>
      </c>
      <c r="U16" s="627">
        <f t="shared" si="2"/>
        <v>-4970</v>
      </c>
      <c r="V16" s="324">
        <v>16210</v>
      </c>
      <c r="W16" s="316">
        <f t="shared" si="3"/>
        <v>3.9420111042566317</v>
      </c>
      <c r="X16" s="486">
        <v>0</v>
      </c>
      <c r="Y16" s="487">
        <f>5.25+0.25+0.25+0.25+0.24+0.24+0.24+0.24+0.23+0.22+0.17+(0.17*25/90)+0.16+0.16+0.03+0.15+0.14+0.14+0.13+0.02+0.11*33/90+0.01+0.01+0.01</f>
        <v>8.6275555555555581</v>
      </c>
      <c r="Z16" s="486">
        <f>11.65+0.13+0.13+0.13+0.11+0.11+0.11+0.1+0.1+0.1+0.1+0.1+0.1+0.1+0.1+0.1+0.1+0.091*83/90+0.091+0.091+0.091+0.091+0.091+0.091+1/21+1/21+1/21+1/21+1/21+1/21</f>
        <v>14.2856365079365</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1735</v>
      </c>
      <c r="AF16" s="604">
        <f t="shared" si="11"/>
        <v>13.031340663875554</v>
      </c>
      <c r="AG16" s="604">
        <f t="shared" si="12"/>
        <v>14.569481781191488</v>
      </c>
      <c r="AH16" s="316">
        <f t="shared" si="13"/>
        <v>3.5592135817705337</v>
      </c>
      <c r="AI16" s="316">
        <f t="shared" si="14"/>
        <v>11.588414558875584</v>
      </c>
      <c r="AJ16" s="316">
        <f t="shared" si="15"/>
        <v>11.984737839917553</v>
      </c>
      <c r="AK16" s="316">
        <f t="shared" si="16"/>
        <v>0.95258987855353572</v>
      </c>
      <c r="AL16" s="316">
        <f t="shared" si="17"/>
        <v>1.0481600326232328</v>
      </c>
      <c r="AM16" s="311">
        <f t="shared" si="18"/>
        <v>14.701721174187011</v>
      </c>
      <c r="AN16" s="311">
        <f t="shared" si="19"/>
        <v>16.437023965865091</v>
      </c>
      <c r="AO16" s="446">
        <v>2</v>
      </c>
      <c r="AP16" s="446">
        <v>2</v>
      </c>
      <c r="AQ16" s="591">
        <f t="shared" si="20"/>
        <v>6.1499999999999999E-2</v>
      </c>
      <c r="AR16">
        <v>68870</v>
      </c>
      <c r="AS16">
        <f t="shared" si="21"/>
        <v>68870</v>
      </c>
      <c r="AT16" s="390">
        <f t="shared" si="22"/>
        <v>4970</v>
      </c>
    </row>
    <row r="17" spans="1:46" s="4" customFormat="1" x14ac:dyDescent="0.25">
      <c r="A17" s="384" t="s">
        <v>404</v>
      </c>
      <c r="B17" s="384" t="s">
        <v>64</v>
      </c>
      <c r="C17" s="385">
        <f t="shared" ca="1" si="4"/>
        <v>2.9464285714285716</v>
      </c>
      <c r="D17" s="658" t="s">
        <v>272</v>
      </c>
      <c r="E17" s="387">
        <v>31</v>
      </c>
      <c r="F17" s="395">
        <f ca="1">33-41471+$D$1-112-112-112-112-112-112-112-112-112-112-112-112-112-112-112</f>
        <v>6</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71310</v>
      </c>
      <c r="U17" s="627">
        <f t="shared" si="2"/>
        <v>-18060</v>
      </c>
      <c r="V17" s="324">
        <v>11380</v>
      </c>
      <c r="W17" s="316">
        <f t="shared" si="3"/>
        <v>6.2662565905096663</v>
      </c>
      <c r="X17" s="486">
        <v>0</v>
      </c>
      <c r="Y17" s="487">
        <f>7.5+0.2+0.2+0.2+0.2+0.2+0.16+0.16+0.14+0.14+0.13+0.13+0.12+0.12+0.12+0.12+0.11+0.1+0.1+0.1+0.1+0.1+0.1</f>
        <v>10.549999999999995</v>
      </c>
      <c r="Z17" s="486">
        <f>10.8+0.08+(0.16*77/90)+0.08+0.07+((0.07*37/90)+0.14*53/90)+(0.07*23/90)+0.06+0.06+0.06+0.06+0.06+0.12+0.1+0.1+0.1*0.5*32/90+0.1*0.5+0.1+0.1+0.1+0.1*0.16+0.1*0.5+0.1+0.1+0.1+0.1+0.1+0.01+0.01+0.1</f>
        <v>12.969777777777777</v>
      </c>
      <c r="AA17" s="487">
        <f>4.85+0.05+0.05+0.05+0.03+0.03+0.02+0.02+0.02+0.01+0.01</f>
        <v>5.1399999999999979</v>
      </c>
      <c r="AB17" s="486">
        <f>8.95+0.08+0.07+0.07+0.07</f>
        <v>9.24</v>
      </c>
      <c r="AC17" s="487">
        <v>2.98</v>
      </c>
      <c r="AD17" s="486">
        <f>11+0.5+0.5+0.5+0.45+0.45+0.45+0.4+0.35+0.33+0.33+0.3+0.3+0.3+0.2+0.2+0.2+0.2</f>
        <v>16.959999999999997</v>
      </c>
      <c r="AE17" s="324">
        <v>1451</v>
      </c>
      <c r="AF17" s="604">
        <f t="shared" si="11"/>
        <v>15.820227410718006</v>
      </c>
      <c r="AG17" s="604">
        <f t="shared" si="12"/>
        <v>15.820227410718006</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89370</v>
      </c>
      <c r="AS17">
        <f t="shared" si="21"/>
        <v>89370</v>
      </c>
      <c r="AT17" s="390">
        <f t="shared" si="22"/>
        <v>18060</v>
      </c>
    </row>
    <row r="18" spans="1:46" s="263" customFormat="1" x14ac:dyDescent="0.25">
      <c r="A18" s="305" t="s">
        <v>411</v>
      </c>
      <c r="B18" s="260" t="s">
        <v>64</v>
      </c>
      <c r="C18" s="385">
        <f t="shared" ca="1" si="4"/>
        <v>3.1696428571428572</v>
      </c>
      <c r="D18" s="659" t="s">
        <v>400</v>
      </c>
      <c r="E18" s="210">
        <v>30</v>
      </c>
      <c r="F18" s="211">
        <f ca="1">7-41471+$D$1-112-111-112-112-112-112-112-112-112-112-112-112-112-112</f>
        <v>93</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80080</v>
      </c>
      <c r="U18" s="627">
        <f t="shared" si="2"/>
        <v>-1040</v>
      </c>
      <c r="V18" s="628">
        <v>20790</v>
      </c>
      <c r="W18" s="316">
        <f t="shared" si="3"/>
        <v>3.8518518518518516</v>
      </c>
      <c r="X18" s="486">
        <v>0</v>
      </c>
      <c r="Y18" s="487">
        <f>3.4+0.06+0.06+0.06+0.06+0.06+0.06+0.06+0.06+(0.06*40/90)+(0.25*35/90)+0.06+(0.25*35/90)+0.05+0.25+0.05+0.05+0.22+0.2+0.15+0.15+0.15+1/30</f>
        <v>5.4644444444444451</v>
      </c>
      <c r="Z18" s="486">
        <f>11.7+0.13+0.13+0.13+0.12+0.12+0.12+0.1+0.1+0.1+0.1+0.1+0.1+0.091+0.091*33/90+0.1+0.091+0.091+0.091+0.091+0.091+0.091+0.091+0.092+1/21+1/21+1/21+1/21+1/21*80/90+1/21+1/21+1/21</f>
        <v>14.379028042328033</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14.506293954842496</v>
      </c>
      <c r="AG18" s="604">
        <f t="shared" si="12"/>
        <v>15.890848849736125</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81120</v>
      </c>
      <c r="AS18">
        <f t="shared" si="21"/>
        <v>81120</v>
      </c>
      <c r="AT18" s="390">
        <f t="shared" si="22"/>
        <v>1040</v>
      </c>
    </row>
    <row r="19" spans="1:46" s="264" customFormat="1" ht="14.25" customHeight="1" x14ac:dyDescent="0.25">
      <c r="A19" s="305" t="s">
        <v>505</v>
      </c>
      <c r="B19" s="260" t="s">
        <v>64</v>
      </c>
      <c r="C19" s="385">
        <f t="shared" ca="1" si="4"/>
        <v>4.6160714285714288</v>
      </c>
      <c r="D19" s="659" t="s">
        <v>414</v>
      </c>
      <c r="E19" s="210">
        <v>29</v>
      </c>
      <c r="F19" s="211">
        <f ca="1">59-41471+$D$1-325-112-112-112-112-112-112-112-112-112-112-112-112</f>
        <v>43</v>
      </c>
      <c r="G19" s="262"/>
      <c r="H19" s="371">
        <v>2</v>
      </c>
      <c r="I19" s="214">
        <v>4</v>
      </c>
      <c r="J19" s="487">
        <f t="shared" si="5"/>
        <v>0.93196000578135851</v>
      </c>
      <c r="K19" s="303">
        <f t="shared" si="6"/>
        <v>16</v>
      </c>
      <c r="L19" s="303">
        <f t="shared" si="7"/>
        <v>36</v>
      </c>
      <c r="M19" s="296">
        <v>6.8</v>
      </c>
      <c r="N19" s="446">
        <f t="shared" si="8"/>
        <v>87</v>
      </c>
      <c r="O19" s="446" t="s">
        <v>557</v>
      </c>
      <c r="P19" s="679">
        <v>1.5</v>
      </c>
      <c r="Q19" s="447">
        <v>4</v>
      </c>
      <c r="R19" s="501">
        <f t="shared" si="9"/>
        <v>0.7559289460184544</v>
      </c>
      <c r="S19" s="501">
        <f t="shared" si="10"/>
        <v>0.84430867747355465</v>
      </c>
      <c r="T19" s="324">
        <v>24440</v>
      </c>
      <c r="U19" s="627">
        <f t="shared" si="2"/>
        <v>-3520</v>
      </c>
      <c r="V19" s="628">
        <v>3310</v>
      </c>
      <c r="W19" s="316">
        <f t="shared" si="3"/>
        <v>7.3836858006042299</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9.2936164054839274</v>
      </c>
      <c r="AG19" s="604">
        <f t="shared" si="12"/>
        <v>10.390579019734655</v>
      </c>
      <c r="AH19" s="316">
        <f t="shared" si="13"/>
        <v>2.974653057392401</v>
      </c>
      <c r="AI19" s="316">
        <f t="shared" si="14"/>
        <v>7.9383747670995977</v>
      </c>
      <c r="AJ19" s="316">
        <f t="shared" si="15"/>
        <v>9.2295094312563073</v>
      </c>
      <c r="AK19" s="316">
        <f t="shared" si="16"/>
        <v>0.74514568935139747</v>
      </c>
      <c r="AL19" s="316">
        <f t="shared" si="17"/>
        <v>0.76979942262691714</v>
      </c>
      <c r="AM19" s="311">
        <f t="shared" si="18"/>
        <v>11.152028229870009</v>
      </c>
      <c r="AN19" s="311">
        <f t="shared" si="19"/>
        <v>12.468346604492996</v>
      </c>
      <c r="AO19" s="447">
        <v>1</v>
      </c>
      <c r="AP19" s="447">
        <v>2</v>
      </c>
      <c r="AQ19" s="591">
        <f t="shared" si="20"/>
        <v>4.9399999999999999E-2</v>
      </c>
      <c r="AR19" s="264">
        <v>27960</v>
      </c>
      <c r="AS19">
        <f t="shared" si="21"/>
        <v>27960</v>
      </c>
      <c r="AT19" s="390">
        <f t="shared" si="22"/>
        <v>3520</v>
      </c>
    </row>
    <row r="20" spans="1:46" s="263" customFormat="1" x14ac:dyDescent="0.25">
      <c r="A20" s="304" t="s">
        <v>623</v>
      </c>
      <c r="B20" s="384" t="s">
        <v>66</v>
      </c>
      <c r="C20" s="385">
        <f t="shared" ca="1" si="4"/>
        <v>4.9285714285714288</v>
      </c>
      <c r="D20" s="659" t="s">
        <v>873</v>
      </c>
      <c r="E20" s="210">
        <v>29</v>
      </c>
      <c r="F20" s="211">
        <f ca="1">64-41471+$D$1-112-112-29-112-112-112-112-112-112-112-112-112-112-112-112-112</f>
        <v>8</v>
      </c>
      <c r="G20" s="262" t="s">
        <v>502</v>
      </c>
      <c r="H20" s="394">
        <v>1</v>
      </c>
      <c r="I20" s="214">
        <v>8.9</v>
      </c>
      <c r="J20" s="487">
        <f t="shared" si="5"/>
        <v>1.3275135927967332</v>
      </c>
      <c r="K20" s="303">
        <f t="shared" si="6"/>
        <v>8.9</v>
      </c>
      <c r="L20" s="303">
        <f t="shared" si="7"/>
        <v>35.6</v>
      </c>
      <c r="M20" s="296">
        <v>7.4</v>
      </c>
      <c r="N20" s="446">
        <f t="shared" si="8"/>
        <v>93</v>
      </c>
      <c r="O20" s="678">
        <v>43060</v>
      </c>
      <c r="P20" s="679">
        <f ca="1">IF((TODAY()-O20)&gt;335,1,((TODAY()-O20)^0.64)/(336^0.64))</f>
        <v>0.34601748551657119</v>
      </c>
      <c r="Q20" s="447">
        <v>4</v>
      </c>
      <c r="R20" s="501">
        <f t="shared" si="9"/>
        <v>0.7559289460184544</v>
      </c>
      <c r="S20" s="501">
        <f t="shared" si="10"/>
        <v>0.84430867747355465</v>
      </c>
      <c r="T20" s="628">
        <v>263760</v>
      </c>
      <c r="U20" s="627">
        <f t="shared" si="2"/>
        <v>-38230</v>
      </c>
      <c r="V20" s="628">
        <v>40752</v>
      </c>
      <c r="W20" s="316">
        <f t="shared" si="3"/>
        <v>6.4723203769140163</v>
      </c>
      <c r="X20" s="486">
        <v>0</v>
      </c>
      <c r="Y20" s="487">
        <v>3</v>
      </c>
      <c r="Z20" s="486">
        <f>15+0.01</f>
        <v>15.01</v>
      </c>
      <c r="AA20" s="487">
        <f>12+0.01+0.01</f>
        <v>12.02</v>
      </c>
      <c r="AB20" s="486">
        <v>12</v>
      </c>
      <c r="AC20" s="487">
        <v>8</v>
      </c>
      <c r="AD20" s="486">
        <v>2</v>
      </c>
      <c r="AE20" s="324">
        <v>1921</v>
      </c>
      <c r="AF20" s="604">
        <f t="shared" ca="1" si="11"/>
        <v>12.611564063895504</v>
      </c>
      <c r="AG20" s="604">
        <f t="shared" ca="1" si="12"/>
        <v>14.100157274731925</v>
      </c>
      <c r="AH20" s="316">
        <f t="shared" ca="1" si="13"/>
        <v>3.0256616618717223</v>
      </c>
      <c r="AI20" s="316">
        <f t="shared" ca="1" si="14"/>
        <v>7.9210042449954159</v>
      </c>
      <c r="AJ20" s="316">
        <f t="shared" ca="1" si="15"/>
        <v>4.1376005790286303</v>
      </c>
      <c r="AK20" s="316">
        <f t="shared" ca="1" si="16"/>
        <v>0.59388248626506424</v>
      </c>
      <c r="AL20" s="316">
        <f t="shared" ca="1" si="17"/>
        <v>0.29714717548193131</v>
      </c>
      <c r="AM20" s="311">
        <f t="shared" ca="1" si="18"/>
        <v>2.730317707945463</v>
      </c>
      <c r="AN20" s="311">
        <f t="shared" ca="1" si="19"/>
        <v>3.0525879975687364</v>
      </c>
      <c r="AO20" s="447">
        <v>3</v>
      </c>
      <c r="AP20" s="447">
        <v>3</v>
      </c>
      <c r="AQ20" s="591">
        <f t="shared" si="20"/>
        <v>0.1158</v>
      </c>
      <c r="AR20" s="263">
        <v>301990</v>
      </c>
      <c r="AS20">
        <f t="shared" si="21"/>
        <v>301990</v>
      </c>
      <c r="AT20" s="390">
        <f t="shared" si="22"/>
        <v>38230</v>
      </c>
    </row>
    <row r="21" spans="1:46" s="254" customFormat="1" x14ac:dyDescent="0.25">
      <c r="A21" s="384" t="s">
        <v>506</v>
      </c>
      <c r="B21" s="384" t="s">
        <v>66</v>
      </c>
      <c r="C21" s="385">
        <f t="shared" ca="1" si="4"/>
        <v>3.8392857142857144</v>
      </c>
      <c r="D21" s="658" t="s">
        <v>287</v>
      </c>
      <c r="E21" s="387">
        <v>30</v>
      </c>
      <c r="F21" s="395">
        <f ca="1">74-41471+$D$1-112-112-29-112-112-112-112-112-112-112-112-112-112-112-112-112</f>
        <v>18</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44880</v>
      </c>
      <c r="U21" s="627">
        <f t="shared" si="2"/>
        <v>-70</v>
      </c>
      <c r="V21" s="324">
        <v>2310</v>
      </c>
      <c r="W21" s="316">
        <f t="shared" si="3"/>
        <v>19.428571428571427</v>
      </c>
      <c r="X21" s="486">
        <v>0</v>
      </c>
      <c r="Y21" s="487">
        <f>5+(5/7)+0.07+0.21+0.07+0.07+0.07+0.07+0.07+0.07+0.06+0.03+0.03+0.03+0.03+0.03+0.2*33/90+0.03+0.03+0.02+0.02+0.01+0.01+0.01+0.01</f>
        <v>6.8376190476190493</v>
      </c>
      <c r="Z21" s="486">
        <f>8+1/8*0.5+1/8*0.5+1/8+1/8*0.5+1/8*0.5+1/8+1/8+0.01</f>
        <v>8.6349999999999998</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f>
        <v>18.639999999999993</v>
      </c>
      <c r="AE21" s="324">
        <v>1314</v>
      </c>
      <c r="AF21" s="604">
        <f t="shared" si="11"/>
        <v>11.539104591311226</v>
      </c>
      <c r="AG21" s="604">
        <f t="shared" si="12"/>
        <v>11.539104591311226</v>
      </c>
      <c r="AH21" s="316">
        <f t="shared" si="13"/>
        <v>4.3662416026940916</v>
      </c>
      <c r="AI21" s="316">
        <f t="shared" si="14"/>
        <v>23.283821146797813</v>
      </c>
      <c r="AJ21" s="316">
        <f t="shared" si="15"/>
        <v>18.520854591311224</v>
      </c>
      <c r="AK21" s="316">
        <f t="shared" si="16"/>
        <v>1.2196533673048979</v>
      </c>
      <c r="AL21" s="316">
        <f t="shared" si="17"/>
        <v>1.0359920832965477</v>
      </c>
      <c r="AM21" s="311">
        <f t="shared" si="18"/>
        <v>21.490449632940223</v>
      </c>
      <c r="AN21" s="311">
        <f t="shared" si="19"/>
        <v>21.490449632940223</v>
      </c>
      <c r="AO21" s="446">
        <v>4</v>
      </c>
      <c r="AP21" s="446">
        <v>2</v>
      </c>
      <c r="AQ21" s="591">
        <f t="shared" si="20"/>
        <v>0.157</v>
      </c>
      <c r="AR21" s="254">
        <v>44950</v>
      </c>
      <c r="AS21">
        <f t="shared" si="21"/>
        <v>44950</v>
      </c>
      <c r="AT21" s="390">
        <f t="shared" si="22"/>
        <v>70</v>
      </c>
    </row>
    <row r="22" spans="1:46" s="259" customFormat="1" x14ac:dyDescent="0.25">
      <c r="A22" s="384" t="s">
        <v>568</v>
      </c>
      <c r="B22" s="384" t="s">
        <v>66</v>
      </c>
      <c r="C22" s="385">
        <f t="shared" ca="1" si="4"/>
        <v>3.2232142857142856</v>
      </c>
      <c r="D22" s="658" t="s">
        <v>862</v>
      </c>
      <c r="E22" s="387">
        <v>30</v>
      </c>
      <c r="F22" s="211">
        <f ca="1">-41471+$D$1-748-112-112-12-112-112-112-22-112-112</f>
        <v>87</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0.83816317869628709</v>
      </c>
      <c r="Q22" s="446">
        <v>6</v>
      </c>
      <c r="R22" s="501">
        <f t="shared" si="9"/>
        <v>0.92582009977255142</v>
      </c>
      <c r="S22" s="501">
        <f t="shared" si="10"/>
        <v>0.99928545900129484</v>
      </c>
      <c r="T22" s="324">
        <v>281010</v>
      </c>
      <c r="U22" s="627">
        <f t="shared" si="2"/>
        <v>8210</v>
      </c>
      <c r="V22" s="324">
        <v>34128</v>
      </c>
      <c r="W22" s="316">
        <f t="shared" si="3"/>
        <v>8.2340014064697602</v>
      </c>
      <c r="X22" s="486">
        <v>0</v>
      </c>
      <c r="Y22" s="487">
        <f>2.98+0.02+0.02</f>
        <v>3.02</v>
      </c>
      <c r="Z22" s="486">
        <f>14+0.09*0.16+0.09*0.5+0.09*0.16+0.01+0.01+0.01+1/21*0.5+0.01+0.1</f>
        <v>14.237609523809523</v>
      </c>
      <c r="AA22" s="487">
        <f>3+0.02+0.02</f>
        <v>3.04</v>
      </c>
      <c r="AB22" s="486">
        <f>15+0.01+0.01</f>
        <v>15.02</v>
      </c>
      <c r="AC22" s="487">
        <v>10</v>
      </c>
      <c r="AD22" s="486">
        <f>9+0.3</f>
        <v>9.3000000000000007</v>
      </c>
      <c r="AE22" s="324">
        <v>1941</v>
      </c>
      <c r="AF22" s="604">
        <f t="shared" ca="1" si="11"/>
        <v>15.266807228095184</v>
      </c>
      <c r="AG22" s="604">
        <f t="shared" ca="1" si="12"/>
        <v>16.490036489643959</v>
      </c>
      <c r="AH22" s="316">
        <f t="shared" ca="1" si="13"/>
        <v>4.6079548716497776</v>
      </c>
      <c r="AI22" s="316">
        <f t="shared" ca="1" si="14"/>
        <v>17.676556877998248</v>
      </c>
      <c r="AJ22" s="316">
        <f t="shared" ca="1" si="15"/>
        <v>10.889891307076187</v>
      </c>
      <c r="AK22" s="316">
        <f t="shared" ca="1" si="16"/>
        <v>0.95919415726675494</v>
      </c>
      <c r="AL22" s="316">
        <f t="shared" ca="1" si="17"/>
        <v>0.55746988760841054</v>
      </c>
      <c r="AM22" s="311">
        <f t="shared" ca="1" si="18"/>
        <v>10.646698683946459</v>
      </c>
      <c r="AN22" s="311">
        <f t="shared" ca="1" si="19"/>
        <v>11.499748910789538</v>
      </c>
      <c r="AO22" s="446">
        <v>1</v>
      </c>
      <c r="AP22" s="446">
        <v>3</v>
      </c>
      <c r="AQ22" s="591">
        <f t="shared" si="20"/>
        <v>4.9399999999999999E-2</v>
      </c>
      <c r="AR22" s="259">
        <v>272800</v>
      </c>
      <c r="AS22">
        <f t="shared" si="21"/>
        <v>272800</v>
      </c>
      <c r="AT22" s="390">
        <f t="shared" si="22"/>
        <v>-8210</v>
      </c>
    </row>
    <row r="23" spans="1:46" s="264" customFormat="1" x14ac:dyDescent="0.25">
      <c r="A23" s="384" t="s">
        <v>540</v>
      </c>
      <c r="B23" s="384" t="s">
        <v>66</v>
      </c>
      <c r="C23" s="385">
        <f t="shared" ca="1" si="4"/>
        <v>6.5625</v>
      </c>
      <c r="D23" s="659" t="s">
        <v>541</v>
      </c>
      <c r="E23" s="210">
        <v>27</v>
      </c>
      <c r="F23" s="211">
        <f ca="1">7-41471+$D$1-112-111-43-112-112-1-112-112-112-112-112-112-112-112-112-112</f>
        <v>49</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38670</v>
      </c>
      <c r="U23" s="627">
        <f t="shared" si="2"/>
        <v>250</v>
      </c>
      <c r="V23" s="628">
        <v>3090</v>
      </c>
      <c r="W23" s="316">
        <f t="shared" si="3"/>
        <v>12.514563106796116</v>
      </c>
      <c r="X23" s="486">
        <v>0</v>
      </c>
      <c r="Y23" s="487">
        <f>4+0.01+0.01</f>
        <v>4.0199999999999996</v>
      </c>
      <c r="Z23" s="486">
        <f>4.6+0.05+0.05+0.05+0.04+0.04+0.16+(0.16*30/90)+(0.16*60/90*0.16)+0.04+0.04+0.04+0.25/8+0.04+0.04+0.04+0.04+0.04+0.04+0.02+0.02*10/90+0.02+0.02+0.02+0.01+0.01+0.01</f>
        <v>5.5638722222222201</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7.5433569188297014</v>
      </c>
      <c r="AG23" s="604">
        <f t="shared" si="12"/>
        <v>8.1477566977460274</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38420</v>
      </c>
      <c r="AS23">
        <f t="shared" si="21"/>
        <v>38420</v>
      </c>
      <c r="AT23" s="390">
        <f>AS23-T23</f>
        <v>-250</v>
      </c>
    </row>
    <row r="24" spans="1:46" x14ac:dyDescent="0.25">
      <c r="G24" s="4"/>
      <c r="H24"/>
      <c r="I24" s="284"/>
      <c r="J24" s="488"/>
      <c r="K24"/>
      <c r="T24" s="244">
        <f>SUM(T5:T23)+T3</f>
        <v>2205950</v>
      </c>
      <c r="U24" s="244">
        <f>SUM(U5:U23)</f>
        <v>9190</v>
      </c>
      <c r="V24" s="244">
        <f>SUM(V5:V23)+V3</f>
        <v>288860</v>
      </c>
      <c r="W24" s="315">
        <f t="shared" si="3"/>
        <v>7.6367444436751368</v>
      </c>
      <c r="X24"/>
      <c r="AD24" s="312"/>
      <c r="AE24" s="244">
        <f>AVERAGE(AE5:AE23)</f>
        <v>1527.421052631579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46</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2.0599999999999987</v>
      </c>
      <c r="N3" s="163">
        <f>PLANTILLA!AA5</f>
        <v>2.149999999999999</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1.1303958284798892</v>
      </c>
      <c r="AE3" s="159">
        <f>((L3+I3+(LOG(J3)*4/3))*0.378)</f>
        <v>5.5831060196465891</v>
      </c>
      <c r="AF3" s="159">
        <f>(L3+I3+(LOG(J3)*4/3))*0.723</f>
        <v>10.678798021704983</v>
      </c>
      <c r="AG3" s="159">
        <f>AE3/2</f>
        <v>2.7915530098232946</v>
      </c>
      <c r="AH3" s="159">
        <f>(M3+I3+(LOG(J3)*4/3))*0.385</f>
        <v>1.8285814872468797</v>
      </c>
      <c r="AI3" s="159">
        <f>((L3+I3+(LOG(J3)*4/3))*0.92)</f>
        <v>13.588512005489052</v>
      </c>
      <c r="AJ3" s="159">
        <f>(L3+I3+(LOG(J3)*4/3))*0.414</f>
        <v>6.1148304024700737</v>
      </c>
      <c r="AK3" s="159">
        <f>((M3+I3+(LOG(J3)*4/3))*0.167)</f>
        <v>0.79317690485773751</v>
      </c>
      <c r="AL3" s="159">
        <f>(N3+I3+(LOG(J3)*4/3))*0.588</f>
        <v>2.8456626350679621</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4.4835868154832585</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4.7495623045373501</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4.1843643902974055</v>
      </c>
      <c r="BH3" s="159">
        <f>((N3+I3+(LOG(J3)*4/3))*0.574)+((O3+I3+(LOG(J3)*4/3))*0.315)</f>
        <v>3.9527208887337046</v>
      </c>
      <c r="BI3" s="159">
        <f>((O3+I3+(LOG(J3)*4/3))*0.241)</f>
        <v>0.89882451539350161</v>
      </c>
      <c r="BJ3" s="159">
        <f>((L3+I3+(LOG(J3)*4/3))*0.485)</f>
        <v>7.1635090463719457</v>
      </c>
      <c r="BK3" s="159">
        <f>((L3+I3+(LOG(J3)*4/3))*0.264)</f>
        <v>3.8993121407055544</v>
      </c>
      <c r="BL3" s="159">
        <f>((M3+I3+(LOG(J3)*4/3))*0.381)</f>
        <v>1.8095832380287304</v>
      </c>
      <c r="BM3" s="159">
        <f>((N3+I3+(LOG(J3)*4/3))*0.673)+((O3+I3+(LOG(J3)*4/3))*0.201)</f>
        <v>4.0066674541656448</v>
      </c>
      <c r="BN3" s="159">
        <f>((O3+I3+(LOG(J3)*4/3))*0.052)</f>
        <v>0.19393723983594227</v>
      </c>
      <c r="BO3" s="159">
        <f>((L3+I3+(LOG(J3)*4/3))*0.18)</f>
        <v>2.6586219141174232</v>
      </c>
      <c r="BP3" s="159">
        <f>(L3+I3+(LOG(J3)*4/3))*0.068</f>
        <v>1.0043682786665822</v>
      </c>
      <c r="BQ3" s="159">
        <f>((M3+I3+(LOG(J3)*4/3))*0.305)</f>
        <v>1.4486165028838918</v>
      </c>
      <c r="BR3" s="159">
        <f>((N3+I3+(LOG(J3)*4/3))*1)+((O3+I3+(LOG(J3)*4/3))*0.286)</f>
        <v>5.9062171236350327</v>
      </c>
      <c r="BS3" s="159">
        <f>((O3+I3+(LOG(J3)*4/3))*0.135)</f>
        <v>0.50349091111254252</v>
      </c>
      <c r="BT3" s="159">
        <f>((L3+I3+(LOG(J3)*4/3))*0.284)</f>
        <v>4.1947145756074899</v>
      </c>
      <c r="BU3" s="159">
        <f>(L3+I3+(LOG(J3)*4/3))*0.244</f>
        <v>3.603909705803618</v>
      </c>
      <c r="BV3" s="159">
        <f>((M3+I3+(LOG(J3)*4/3))*0.455)</f>
        <v>2.1610508485644941</v>
      </c>
      <c r="BW3" s="159">
        <f>((N3+I3+(LOG(J3)*4/3))*0.864)+((O3+I3+(LOG(J3)*4/3))*0.244)</f>
        <v>5.0913950334273848</v>
      </c>
      <c r="BX3" s="159">
        <f>((O3+I3+(LOG(J3)*4/3))*0.121)</f>
        <v>0.45127703884901949</v>
      </c>
      <c r="BY3" s="159">
        <f>((L3+I3+(LOG(J3)*4/3))*0.284)</f>
        <v>4.1947145756074899</v>
      </c>
      <c r="BZ3" s="159">
        <f>((L3+I3+(LOG(J3)*4/3))*0.244)</f>
        <v>3.603909705803618</v>
      </c>
      <c r="CA3" s="159">
        <f>((M3+I3+(LOG(J3)*4/3))*0.631)</f>
        <v>2.9969738141630677</v>
      </c>
      <c r="CB3" s="159">
        <f>((N3+I3+(LOG(J3)*4/3))*0.702)+((O3+I3+(LOG(J3)*4/3))*0.193)</f>
        <v>4.1171782625609286</v>
      </c>
      <c r="CC3" s="159">
        <f>((O3+I3+(LOG(J3)*4/3))*0.148)</f>
        <v>0.55197522107152797</v>
      </c>
      <c r="CD3" s="159">
        <f>((M3+I3+(LOG(J3)*4/3))*0.406)</f>
        <v>1.9283222956421642</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1.1873905761343375</v>
      </c>
    </row>
    <row r="4" spans="1:89" x14ac:dyDescent="0.25">
      <c r="A4" t="str">
        <f>PLANTILLA!D6</f>
        <v>T. Hammond</v>
      </c>
      <c r="B4" s="488">
        <f>PLANTILLA!E6</f>
        <v>34</v>
      </c>
      <c r="C4" s="488">
        <f ca="1">PLANTILLA!F6</f>
        <v>55</v>
      </c>
      <c r="D4" s="488" t="str">
        <f>PLANTILLA!G6</f>
        <v>CAB</v>
      </c>
      <c r="E4" s="290">
        <v>41400</v>
      </c>
      <c r="F4" s="341">
        <f>PLANTILLA!Q6</f>
        <v>5</v>
      </c>
      <c r="G4" s="407">
        <f t="shared" ref="G4:G5" si="0">(F4/7)^0.5</f>
        <v>0.84515425472851657</v>
      </c>
      <c r="H4" s="407">
        <f t="shared" ref="H4:H5" si="1">IF(F4=7,1,((F4+0.99)/7)^0.5)</f>
        <v>0.92504826128926143</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15.192260474546408</v>
      </c>
      <c r="W4" s="163">
        <f t="shared" ref="W4:W21" ca="1" si="7">IF(F4=7,V4,IF(TODAY()-E4&gt;335,(Q4+1+(LOG(J4)*4/3))*((F4+0.99)/7)^0.5,(Q4+((TODAY()-E4)^0.5)/(336^0.5)+(LOG(J4)*4/3))*((F4+0.99)/7)^0.5))</f>
        <v>16.628413166478186</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103</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6.2094444444444408</v>
      </c>
      <c r="N5" s="163">
        <f>PLANTILLA!AA8</f>
        <v>6.1</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2.1143592910615481</v>
      </c>
      <c r="AE5" s="159">
        <f t="shared" si="15"/>
        <v>5.1981620505095192</v>
      </c>
      <c r="AF5" s="159">
        <f t="shared" si="16"/>
        <v>9.9425163029586834</v>
      </c>
      <c r="AG5" s="159">
        <f t="shared" si="17"/>
        <v>2.5990810252547596</v>
      </c>
      <c r="AH5" s="159">
        <f t="shared" si="18"/>
        <v>3.4202870884819161</v>
      </c>
      <c r="AI5" s="159">
        <f t="shared" si="19"/>
        <v>12.65161133986444</v>
      </c>
      <c r="AJ5" s="159">
        <f t="shared" si="20"/>
        <v>5.6932251029389969</v>
      </c>
      <c r="AK5" s="159">
        <f t="shared" si="21"/>
        <v>1.4836050487700778</v>
      </c>
      <c r="AL5" s="159">
        <f t="shared" si="22"/>
        <v>5.1593578563481399</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8.3863662637063072</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8.8838625674854956</v>
      </c>
      <c r="BB5" s="159">
        <f t="shared" si="38"/>
        <v>2.6304905629071653</v>
      </c>
      <c r="BC5" s="159">
        <f t="shared" si="39"/>
        <v>5.0275716080178441</v>
      </c>
      <c r="BD5" s="159">
        <f t="shared" si="40"/>
        <v>1.3152452814535827</v>
      </c>
      <c r="BE5" s="159">
        <f t="shared" si="41"/>
        <v>4.0017596738049468</v>
      </c>
      <c r="BF5" s="159">
        <f t="shared" si="42"/>
        <v>4.7856095068182869</v>
      </c>
      <c r="BG5" s="159">
        <f t="shared" si="43"/>
        <v>7.8266829219547214</v>
      </c>
      <c r="BH5" s="159">
        <f t="shared" si="44"/>
        <v>8.3116327113834991</v>
      </c>
      <c r="BI5" s="159">
        <f t="shared" si="45"/>
        <v>2.5057242120973391</v>
      </c>
      <c r="BJ5" s="159">
        <f t="shared" si="46"/>
        <v>6.6695994563415786</v>
      </c>
      <c r="BK5" s="159">
        <f t="shared" si="47"/>
        <v>3.630462384482839</v>
      </c>
      <c r="BL5" s="159">
        <f t="shared" si="48"/>
        <v>3.384751638211974</v>
      </c>
      <c r="BM5" s="159">
        <f t="shared" si="49"/>
        <v>7.995019772871216</v>
      </c>
      <c r="BN5" s="159">
        <f t="shared" si="50"/>
        <v>0.54065418684257938</v>
      </c>
      <c r="BO5" s="159">
        <f t="shared" si="51"/>
        <v>2.4753152621473902</v>
      </c>
      <c r="BP5" s="159">
        <f t="shared" si="52"/>
        <v>0.93511909903345858</v>
      </c>
      <c r="BQ5" s="159">
        <f t="shared" si="53"/>
        <v>2.709578083083076</v>
      </c>
      <c r="BR5" s="159">
        <f t="shared" si="54"/>
        <v>11.748016150675241</v>
      </c>
      <c r="BS5" s="159">
        <f t="shared" si="55"/>
        <v>1.4036214466105428</v>
      </c>
      <c r="BT5" s="159">
        <f t="shared" si="56"/>
        <v>3.9054974136103264</v>
      </c>
      <c r="BU5" s="159">
        <f t="shared" si="57"/>
        <v>3.3554273553553511</v>
      </c>
      <c r="BV5" s="159">
        <f t="shared" si="58"/>
        <v>4.0421574682059003</v>
      </c>
      <c r="BW5" s="159">
        <f t="shared" si="59"/>
        <v>10.118013058107268</v>
      </c>
      <c r="BX5" s="159">
        <f t="shared" si="60"/>
        <v>1.258060703999079</v>
      </c>
      <c r="BY5" s="159">
        <f t="shared" si="61"/>
        <v>3.9054974136103264</v>
      </c>
      <c r="BZ5" s="159">
        <f t="shared" si="62"/>
        <v>3.3554273553553511</v>
      </c>
      <c r="CA5" s="159">
        <f t="shared" si="63"/>
        <v>5.6057172800833479</v>
      </c>
      <c r="CB5" s="159">
        <f t="shared" si="64"/>
        <v>8.1663003312328559</v>
      </c>
      <c r="CC5" s="159">
        <f t="shared" si="65"/>
        <v>1.5387849933211875</v>
      </c>
      <c r="CD5" s="159">
        <f t="shared" si="66"/>
        <v>3.6068482023991115</v>
      </c>
      <c r="CE5" s="159">
        <f t="shared" si="67"/>
        <v>4.7591496198821677</v>
      </c>
      <c r="CF5" s="159">
        <f t="shared" si="68"/>
        <v>9.7603464732108947</v>
      </c>
      <c r="CG5" s="159">
        <f t="shared" si="69"/>
        <v>4.7591496198821677</v>
      </c>
      <c r="CH5" s="159">
        <f t="shared" si="70"/>
        <v>5.1205636017656886</v>
      </c>
      <c r="CI5" s="159">
        <f t="shared" si="71"/>
        <v>10.894316743776537</v>
      </c>
      <c r="CJ5" s="159">
        <f t="shared" si="72"/>
        <v>5.1205636017656886</v>
      </c>
      <c r="CK5" s="159">
        <f t="shared" si="73"/>
        <v>2.2209656418713739</v>
      </c>
    </row>
    <row r="6" spans="1:89" x14ac:dyDescent="0.25">
      <c r="A6" t="str">
        <f>PLANTILLA!D9</f>
        <v>E. Toney</v>
      </c>
      <c r="B6" s="488">
        <f>PLANTILLA!E9</f>
        <v>31</v>
      </c>
      <c r="C6" s="488">
        <f ca="1">PLANTILLA!F9</f>
        <v>57</v>
      </c>
      <c r="D6" s="488"/>
      <c r="E6" s="290">
        <v>41539</v>
      </c>
      <c r="F6" s="341">
        <f>PLANTILLA!Q9</f>
        <v>7</v>
      </c>
      <c r="G6" s="407">
        <f t="shared" ref="G6:G10" si="74">(F6/7)^0.5</f>
        <v>1</v>
      </c>
      <c r="H6" s="407">
        <f>IF(F6=7,1,((F6+0.99)/7)^0.5)</f>
        <v>1</v>
      </c>
      <c r="I6" s="497">
        <v>1.5</v>
      </c>
      <c r="J6" s="498">
        <f>PLANTILLA!I9</f>
        <v>12.4</v>
      </c>
      <c r="K6" s="163">
        <f>PLANTILLA!X9</f>
        <v>0</v>
      </c>
      <c r="L6" s="163">
        <f>PLANTILLA!Y9</f>
        <v>12.200000000000005</v>
      </c>
      <c r="M6" s="163">
        <f>PLANTILLA!Z9</f>
        <v>13.226555555555553</v>
      </c>
      <c r="N6" s="163">
        <f>PLANTILLA!AA9</f>
        <v>9.8750000000000053</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19.085673357994086</v>
      </c>
      <c r="W6" s="163">
        <f t="shared" ca="1" si="7"/>
        <v>19.085673357994086</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3.8518993703137041</v>
      </c>
      <c r="AE6" s="159">
        <f t="shared" si="15"/>
        <v>5.7296845293217684</v>
      </c>
      <c r="AF6" s="159">
        <f t="shared" si="16"/>
        <v>10.959158504496397</v>
      </c>
      <c r="AG6" s="159">
        <f t="shared" si="17"/>
        <v>2.8648422646608842</v>
      </c>
      <c r="AH6" s="159">
        <f t="shared" si="18"/>
        <v>6.2310136872721689</v>
      </c>
      <c r="AI6" s="159">
        <f t="shared" si="19"/>
        <v>13.945263933799012</v>
      </c>
      <c r="AJ6" s="159">
        <f t="shared" si="20"/>
        <v>6.2753687702095551</v>
      </c>
      <c r="AK6" s="159">
        <f t="shared" si="21"/>
        <v>2.7028033396739017</v>
      </c>
      <c r="AL6" s="159">
        <f t="shared" si="22"/>
        <v>7.5457426011671949</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15.27812187216864</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16.184451135771866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14.258501450615015</v>
      </c>
      <c r="BH6" s="159">
        <f t="shared" si="44"/>
        <v>11.321819170812304</v>
      </c>
      <c r="BI6" s="159">
        <f t="shared" si="45"/>
        <v>3.0264528348321313</v>
      </c>
      <c r="BJ6" s="159">
        <f t="shared" si="46"/>
        <v>7.3515793564049137</v>
      </c>
      <c r="BK6" s="159">
        <f t="shared" si="47"/>
        <v>4.0016844331771084</v>
      </c>
      <c r="BL6" s="159">
        <f t="shared" si="48"/>
        <v>6.1662758827290807</v>
      </c>
      <c r="BM6" s="159">
        <f t="shared" si="49"/>
        <v>11.160675737109061</v>
      </c>
      <c r="BN6" s="159">
        <f t="shared" si="50"/>
        <v>0.65301057017124819</v>
      </c>
      <c r="BO6" s="159">
        <f t="shared" si="51"/>
        <v>2.7284212044389369</v>
      </c>
      <c r="BP6" s="159">
        <f t="shared" si="52"/>
        <v>1.0307368994547097</v>
      </c>
      <c r="BQ6" s="159">
        <f t="shared" si="53"/>
        <v>4.9362575964104192</v>
      </c>
      <c r="BR6" s="159">
        <f t="shared" si="54"/>
        <v>16.424453716158183</v>
      </c>
      <c r="BS6" s="159">
        <f t="shared" si="55"/>
        <v>1.6953159033292022</v>
      </c>
      <c r="BT6" s="159">
        <f t="shared" si="56"/>
        <v>4.3048423447814335</v>
      </c>
      <c r="BU6" s="159">
        <f t="shared" si="57"/>
        <v>3.6985265215727816</v>
      </c>
      <c r="BV6" s="159">
        <f t="shared" si="58"/>
        <v>7.3639252667761994</v>
      </c>
      <c r="BW6" s="159">
        <f t="shared" si="59"/>
        <v>14.151748302879678</v>
      </c>
      <c r="BX6" s="159">
        <f t="shared" si="60"/>
        <v>1.5195053652061739</v>
      </c>
      <c r="BY6" s="159">
        <f t="shared" si="61"/>
        <v>4.3048423447814335</v>
      </c>
      <c r="BZ6" s="159">
        <f t="shared" si="62"/>
        <v>3.6985265215727816</v>
      </c>
      <c r="CA6" s="159">
        <f t="shared" si="63"/>
        <v>10.212388666672048</v>
      </c>
      <c r="CB6" s="159">
        <f t="shared" si="64"/>
        <v>11.432366544293602</v>
      </c>
      <c r="CC6" s="159">
        <f t="shared" si="65"/>
        <v>1.8585685458720143</v>
      </c>
      <c r="CD6" s="159">
        <f t="shared" si="66"/>
        <v>6.5708871611233777</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4.0461127839429665</v>
      </c>
    </row>
    <row r="7" spans="1:89" x14ac:dyDescent="0.25">
      <c r="A7" t="str">
        <f>PLANTILLA!D10</f>
        <v>B. Bartolache</v>
      </c>
      <c r="B7" s="488">
        <f>PLANTILLA!E10</f>
        <v>31</v>
      </c>
      <c r="C7" s="488">
        <f ca="1">PLANTILLA!F10</f>
        <v>42</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7.012500000000002</v>
      </c>
      <c r="N7" s="163">
        <f>PLANTILLA!AA10</f>
        <v>7.5000000000000018</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2.3362392907449947</v>
      </c>
      <c r="AE7" s="159">
        <f t="shared" si="15"/>
        <v>5.5957726970655779</v>
      </c>
      <c r="AF7" s="159">
        <f t="shared" si="16"/>
        <v>10.703025555498446</v>
      </c>
      <c r="AG7" s="159">
        <f t="shared" si="17"/>
        <v>2.7978863485327889</v>
      </c>
      <c r="AH7" s="159">
        <f t="shared" si="18"/>
        <v>3.7792106173816093</v>
      </c>
      <c r="AI7" s="159">
        <f t="shared" si="19"/>
        <v>13.619340955820983</v>
      </c>
      <c r="AJ7" s="159">
        <f t="shared" si="20"/>
        <v>6.1287034301194421</v>
      </c>
      <c r="AK7" s="159">
        <f t="shared" si="21"/>
        <v>1.6392939561109838</v>
      </c>
      <c r="AL7" s="159">
        <f t="shared" si="22"/>
        <v>6.0585353065464567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9.2664281111902316</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9.8161314737184657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8.6480118283459682</v>
      </c>
      <c r="BH7" s="159">
        <f t="shared" si="44"/>
        <v>9.6387283801357135</v>
      </c>
      <c r="BI7" s="159">
        <f t="shared" si="45"/>
        <v>2.8494951851661487</v>
      </c>
      <c r="BJ7" s="159">
        <f t="shared" si="46"/>
        <v>7.179761264753453</v>
      </c>
      <c r="BK7" s="159">
        <f t="shared" si="47"/>
        <v>3.9081587090616736</v>
      </c>
      <c r="BL7" s="159">
        <f t="shared" si="48"/>
        <v>3.7399460914867353</v>
      </c>
      <c r="BM7" s="159">
        <f t="shared" si="49"/>
        <v>9.3108939080299375</v>
      </c>
      <c r="BN7" s="159">
        <f t="shared" si="50"/>
        <v>0.61482883663335997</v>
      </c>
      <c r="BO7" s="159">
        <f t="shared" si="51"/>
        <v>2.6646536652693227</v>
      </c>
      <c r="BP7" s="159">
        <f t="shared" si="52"/>
        <v>1.0066469402128553</v>
      </c>
      <c r="BQ7" s="159">
        <f t="shared" si="53"/>
        <v>2.9939200994841322</v>
      </c>
      <c r="BR7" s="159">
        <f t="shared" si="54"/>
        <v>13.685190075201945</v>
      </c>
      <c r="BS7" s="159">
        <f t="shared" si="55"/>
        <v>1.5961902489519924</v>
      </c>
      <c r="BT7" s="159">
        <f t="shared" si="56"/>
        <v>4.2042313385360419</v>
      </c>
      <c r="BU7" s="159">
        <f t="shared" si="57"/>
        <v>3.612086079587304</v>
      </c>
      <c r="BV7" s="159">
        <f t="shared" si="58"/>
        <v>4.4663398205419025</v>
      </c>
      <c r="BW7" s="159">
        <f t="shared" si="59"/>
        <v>11.787303672880057</v>
      </c>
      <c r="BX7" s="159">
        <f t="shared" si="60"/>
        <v>1.4306594083199338</v>
      </c>
      <c r="BY7" s="159">
        <f t="shared" si="61"/>
        <v>4.2042313385360419</v>
      </c>
      <c r="BZ7" s="159">
        <f t="shared" si="62"/>
        <v>3.612086079587304</v>
      </c>
      <c r="CA7" s="159">
        <f t="shared" si="63"/>
        <v>6.1939789599163522</v>
      </c>
      <c r="CB7" s="159">
        <f t="shared" si="64"/>
        <v>9.5151101689780244</v>
      </c>
      <c r="CC7" s="159">
        <f t="shared" si="65"/>
        <v>1.7498974581103321</v>
      </c>
      <c r="CD7" s="159">
        <f t="shared" si="66"/>
        <v>3.9853493783296972</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2.4540328684296164</v>
      </c>
    </row>
    <row r="8" spans="1:89" x14ac:dyDescent="0.25">
      <c r="A8" t="str">
        <f>PLANTILLA!D11</f>
        <v>F. Lasprilla</v>
      </c>
      <c r="B8" s="488">
        <f>PLANTILLA!E11</f>
        <v>27</v>
      </c>
      <c r="C8" s="488">
        <f ca="1">PLANTILLA!F11</f>
        <v>65</v>
      </c>
      <c r="D8" s="488"/>
      <c r="E8" s="290">
        <v>42106</v>
      </c>
      <c r="F8" s="341">
        <f>PLANTILLA!Q11</f>
        <v>7</v>
      </c>
      <c r="G8" s="407">
        <f t="shared" si="74"/>
        <v>1</v>
      </c>
      <c r="H8" s="407">
        <f t="shared" si="75"/>
        <v>1</v>
      </c>
      <c r="I8" s="497">
        <v>1.5</v>
      </c>
      <c r="J8" s="498">
        <f>PLANTILLA!I11</f>
        <v>4.9000000000000004</v>
      </c>
      <c r="K8" s="163">
        <f>PLANTILLA!X11</f>
        <v>0</v>
      </c>
      <c r="L8" s="163">
        <f>PLANTILLA!Y11</f>
        <v>9.6046666666666667</v>
      </c>
      <c r="M8" s="163">
        <f>PLANTILLA!Z11</f>
        <v>7.7507222222222225</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15.159150328926907</v>
      </c>
      <c r="W8" s="163">
        <f t="shared" ca="1" si="7"/>
        <v>15.159150328926907</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8.4794024201937965</v>
      </c>
      <c r="BI8" s="159">
        <f t="shared" si="45"/>
        <v>2.7193463403824953</v>
      </c>
      <c r="BJ8" s="159">
        <f t="shared" si="46"/>
        <v>5.8320901317517722</v>
      </c>
      <c r="BK8" s="159">
        <f t="shared" si="47"/>
        <v>3.1745810201700371</v>
      </c>
      <c r="BL8" s="159">
        <f t="shared" si="48"/>
        <v>3.8751447753211519</v>
      </c>
      <c r="BM8" s="159">
        <f t="shared" si="49"/>
        <v>8.0425184985932265</v>
      </c>
      <c r="BN8" s="159">
        <f t="shared" si="50"/>
        <v>0.58674692821531016</v>
      </c>
      <c r="BO8" s="159">
        <f t="shared" si="51"/>
        <v>2.1644870592068433</v>
      </c>
      <c r="BP8" s="159">
        <f t="shared" si="52"/>
        <v>0.81769511125591865</v>
      </c>
      <c r="BQ8" s="159">
        <f t="shared" si="53"/>
        <v>3.1021500169893734</v>
      </c>
      <c r="BR8" s="159">
        <f t="shared" si="54"/>
        <v>11.807369545222222</v>
      </c>
      <c r="BS8" s="159">
        <f t="shared" si="55"/>
        <v>1.5232852944051323</v>
      </c>
      <c r="BT8" s="159">
        <f t="shared" si="56"/>
        <v>3.4150795823041302</v>
      </c>
      <c r="BU8" s="159">
        <f t="shared" si="57"/>
        <v>2.934082458035943</v>
      </c>
      <c r="BV8" s="159">
        <f t="shared" si="58"/>
        <v>4.6277975663284101</v>
      </c>
      <c r="BW8" s="159">
        <f t="shared" si="59"/>
        <v>10.166543008895456</v>
      </c>
      <c r="BX8" s="159">
        <f t="shared" si="60"/>
        <v>1.3653149675779332</v>
      </c>
      <c r="BY8" s="159">
        <f t="shared" si="61"/>
        <v>3.4150795823041302</v>
      </c>
      <c r="BZ8" s="159">
        <f t="shared" si="62"/>
        <v>2.934082458035943</v>
      </c>
      <c r="CA8" s="159">
        <f t="shared" si="63"/>
        <v>6.4178906908862121</v>
      </c>
      <c r="CB8" s="159">
        <f t="shared" si="64"/>
        <v>8.2010773221673574</v>
      </c>
      <c r="CC8" s="159">
        <f t="shared" si="65"/>
        <v>1.6699720264589597</v>
      </c>
      <c r="CD8" s="159">
        <f t="shared" si="66"/>
        <v>4.1294193668776584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2.5427459155650602</v>
      </c>
    </row>
    <row r="9" spans="1:89" x14ac:dyDescent="0.25">
      <c r="A9" t="str">
        <f>PLANTILLA!D7</f>
        <v>B. Pinczehelyi</v>
      </c>
      <c r="B9" s="488">
        <f>PLANTILLA!E7</f>
        <v>30</v>
      </c>
      <c r="C9" s="488">
        <f ca="1">PLANTILLA!F7</f>
        <v>58</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9.3693333333333353</v>
      </c>
      <c r="N9" s="163">
        <f>PLANTILLA!AA7</f>
        <v>14.333333333333329</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2.8354883641582265</v>
      </c>
      <c r="AE9" s="159">
        <f>((L9+I9+(LOG(J9)*4/3))*0.378)</f>
        <v>6.3672146960160081</v>
      </c>
      <c r="AF9" s="159">
        <f>(L9+I9+(LOG(J9)*4/3))*0.723</f>
        <v>12.178561442379824</v>
      </c>
      <c r="AG9" s="159">
        <f>AE9/2</f>
        <v>3.183607348008004</v>
      </c>
      <c r="AH9" s="159">
        <f>(M9+I9+(LOG(J9)*4/3))*0.385</f>
        <v>4.5868194126088957</v>
      </c>
      <c r="AI9" s="159">
        <f>((L9+I9+(LOG(J9)*4/3))*0.92)</f>
        <v>15.496924656970178</v>
      </c>
      <c r="AJ9" s="159">
        <f>(L9+I9+(LOG(J9)*4/3))*0.414</f>
        <v>6.9736160956365794</v>
      </c>
      <c r="AK9" s="159">
        <f>((M9+I9+(LOG(J9)*4/3))*0.167)</f>
        <v>1.9896073815732096</v>
      </c>
      <c r="AL9" s="159">
        <f>(N9+I9+(LOG(J9)*4/3))*0.588</f>
        <v>9.9241561938026734</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11.24664292338389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11.913816656127002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10.496072474047889</v>
      </c>
      <c r="BH9" s="159">
        <f>((N9+I9+(LOG(J9)*4/3))*0.574)+((O9+I9+(LOG(J9)*4/3))*0.315)</f>
        <v>13.4566790072969</v>
      </c>
      <c r="BI9" s="159">
        <f>((O9+I9+(LOG(J9)*4/3))*0.241)</f>
        <v>2.883440480793273</v>
      </c>
      <c r="BJ9" s="159">
        <f>((L9+I9+(LOG(J9)*4/3))*0.485)</f>
        <v>8.1695744115549296</v>
      </c>
      <c r="BK9" s="159">
        <f>((L9+I9+(LOG(J9)*4/3))*0.264)</f>
        <v>4.4469435972175297</v>
      </c>
      <c r="BL9" s="159">
        <f>((M9+I9+(LOG(J9)*4/3))*0.381)</f>
        <v>4.5391641459843877</v>
      </c>
      <c r="BM9" s="159">
        <f>((N9+I9+(LOG(J9)*4/3))*0.673)+((O9+I9+(LOG(J9)*4/3))*0.201)</f>
        <v>13.763631757454995</v>
      </c>
      <c r="BN9" s="159">
        <f>((O9+I9+(LOG(J9)*4/3))*0.052)</f>
        <v>0.62215313278527051</v>
      </c>
      <c r="BO9" s="159">
        <f>((L9+I9+(LOG(J9)*4/3))*0.18)</f>
        <v>3.0320069981028608</v>
      </c>
      <c r="BP9" s="159">
        <f>(L9+I9+(LOG(J9)*4/3))*0.068</f>
        <v>1.1454248659499697</v>
      </c>
      <c r="BQ9" s="159">
        <f>((M9+I9+(LOG(J9)*4/3))*0.305)</f>
        <v>3.6337140801187355</v>
      </c>
      <c r="BR9" s="159">
        <f>((N9+I9+(LOG(J9)*4/3))*1)+((O9+I9+(LOG(J9)*4/3))*0.286)</f>
        <v>20.299658886445982</v>
      </c>
      <c r="BS9" s="159">
        <f>((O9+I9+(LOG(J9)*4/3))*0.135)</f>
        <v>1.6152052485771449</v>
      </c>
      <c r="BT9" s="159">
        <f t="shared" si="56"/>
        <v>4.7838332636734018</v>
      </c>
      <c r="BU9" s="159">
        <f t="shared" si="57"/>
        <v>4.1100539307616559</v>
      </c>
      <c r="BV9" s="159">
        <f t="shared" si="58"/>
        <v>5.4207865785377862</v>
      </c>
      <c r="BW9" s="159">
        <f t="shared" si="59"/>
        <v>17.501767521655378</v>
      </c>
      <c r="BX9" s="159">
        <f t="shared" si="60"/>
        <v>1.4477024820580335</v>
      </c>
      <c r="BY9" s="159">
        <f>((L9+I9+(LOG(J9)*4/3))*0.284)</f>
        <v>4.7838332636734018</v>
      </c>
      <c r="BZ9" s="159">
        <f>((L9+I9+(LOG(J9)*4/3))*0.244)</f>
        <v>4.1100539307616559</v>
      </c>
      <c r="CA9" s="159">
        <f>((M9+I9+(LOG(J9)*4/3))*0.631)</f>
        <v>7.5176183100161387</v>
      </c>
      <c r="CB9" s="159">
        <f>((N9+I9+(LOG(J9)*4/3))*0.702)+((O9+I9+(LOG(J9)*4/3))*0.193)</f>
        <v>14.157372573900327</v>
      </c>
      <c r="CC9" s="159">
        <f>((O9+I9+(LOG(J9)*4/3))*0.148)</f>
        <v>1.7707435317734623</v>
      </c>
      <c r="CD9" s="159">
        <f>((M9+I9+(LOG(J9)*4/3))*0.406)</f>
        <v>4.8370095623875633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2.9784541640317506</v>
      </c>
    </row>
    <row r="10" spans="1:89" x14ac:dyDescent="0.25">
      <c r="A10" t="str">
        <f>PLANTILLA!D12</f>
        <v>E. Romweber</v>
      </c>
      <c r="B10" s="488">
        <f>PLANTILLA!E12</f>
        <v>31</v>
      </c>
      <c r="C10" s="488">
        <f ca="1">PLANTILLA!F12</f>
        <v>19</v>
      </c>
      <c r="D10" s="488" t="str">
        <f>PLANTILLA!G12</f>
        <v>IMP</v>
      </c>
      <c r="E10" s="290">
        <v>41583</v>
      </c>
      <c r="F10" s="341">
        <f>PLANTILLA!Q12</f>
        <v>6</v>
      </c>
      <c r="G10" s="407">
        <f t="shared" si="74"/>
        <v>0.92582009977255142</v>
      </c>
      <c r="H10" s="407">
        <f t="shared" si="75"/>
        <v>0.99928545900129484</v>
      </c>
      <c r="I10" s="497">
        <v>1.5</v>
      </c>
      <c r="J10" s="498">
        <f>PLANTILLA!I12</f>
        <v>12.6</v>
      </c>
      <c r="K10" s="163">
        <f>PLANTILLA!X12</f>
        <v>0</v>
      </c>
      <c r="L10" s="163">
        <f>PLANTILLA!Y12</f>
        <v>12.06111111111111</v>
      </c>
      <c r="M10" s="163">
        <f>PLANTILLA!Z12</f>
        <v>12.579111111111114</v>
      </c>
      <c r="N10" s="163">
        <f>PLANTILLA!AA12</f>
        <v>13.216666666666669</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18.143445299366384</v>
      </c>
      <c r="W10" s="163">
        <f t="shared" ca="1" si="7"/>
        <v>19.583157752025887</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3.7000126974284182</v>
      </c>
      <c r="AE10" s="159">
        <f t="shared" si="15"/>
        <v>5.6806867547392512</v>
      </c>
      <c r="AF10" s="159">
        <f t="shared" si="16"/>
        <v>10.865440538826663</v>
      </c>
      <c r="AG10" s="159">
        <f t="shared" si="17"/>
        <v>2.8403433773696256</v>
      </c>
      <c r="AH10" s="159">
        <f t="shared" si="18"/>
        <v>5.9853146576047944</v>
      </c>
      <c r="AI10" s="159">
        <f t="shared" si="19"/>
        <v>13.826010090899766</v>
      </c>
      <c r="AJ10" s="159">
        <f t="shared" si="20"/>
        <v>6.2217045409048941</v>
      </c>
      <c r="AK10" s="159">
        <f t="shared" si="21"/>
        <v>2.5962273969350669</v>
      </c>
      <c r="AL10" s="159">
        <f t="shared" si="22"/>
        <v>9.5160905073721693</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14.675680615010197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15.546271837934531</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13.696265489220321</v>
      </c>
      <c r="BH10" s="159">
        <f t="shared" si="44"/>
        <v>13.660822552812682</v>
      </c>
      <c r="BI10" s="159">
        <f t="shared" si="45"/>
        <v>3.3443957351644436</v>
      </c>
      <c r="BJ10" s="159">
        <f t="shared" si="46"/>
        <v>7.2887118413982455</v>
      </c>
      <c r="BK10" s="159">
        <f t="shared" si="47"/>
        <v>3.9674637652147156</v>
      </c>
      <c r="BL10" s="159">
        <f t="shared" si="48"/>
        <v>5.9231295702530566</v>
      </c>
      <c r="BM10" s="159">
        <f t="shared" si="49"/>
        <v>13.681025141910334</v>
      </c>
      <c r="BN10" s="159">
        <f t="shared" si="50"/>
        <v>0.72161235779481769</v>
      </c>
      <c r="BO10" s="159">
        <f t="shared" si="51"/>
        <v>2.7050889308282149</v>
      </c>
      <c r="BP10" s="159">
        <f t="shared" si="52"/>
        <v>1.0219224849795479</v>
      </c>
      <c r="BQ10" s="159">
        <f t="shared" si="53"/>
        <v>4.7416129105700318</v>
      </c>
      <c r="BR10" s="159">
        <f t="shared" si="54"/>
        <v>20.15269536136158</v>
      </c>
      <c r="BS10" s="159">
        <f t="shared" si="55"/>
        <v>1.8734166981211615</v>
      </c>
      <c r="BT10" s="159">
        <f t="shared" si="56"/>
        <v>4.2680292019734054</v>
      </c>
      <c r="BU10" s="159">
        <f t="shared" si="57"/>
        <v>3.6668983284560244</v>
      </c>
      <c r="BV10" s="159">
        <f t="shared" si="58"/>
        <v>7.0735536862602117</v>
      </c>
      <c r="BW10" s="159">
        <f t="shared" si="59"/>
        <v>17.368854085320347</v>
      </c>
      <c r="BX10" s="159">
        <f t="shared" si="60"/>
        <v>1.6791364479456334</v>
      </c>
      <c r="BY10" s="159">
        <f t="shared" si="61"/>
        <v>4.2680292019734054</v>
      </c>
      <c r="BZ10" s="159">
        <f t="shared" si="62"/>
        <v>3.6668983284560244</v>
      </c>
      <c r="CA10" s="159">
        <f t="shared" si="63"/>
        <v>9.80969752973669</v>
      </c>
      <c r="CB10" s="159">
        <f t="shared" si="64"/>
        <v>14.039338850506958</v>
      </c>
      <c r="CC10" s="159">
        <f t="shared" si="65"/>
        <v>2.0538197875698656</v>
      </c>
      <c r="CD10" s="159">
        <f t="shared" si="66"/>
        <v>6.31178636620142</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3.8865679594836329</v>
      </c>
    </row>
    <row r="11" spans="1:89" x14ac:dyDescent="0.25">
      <c r="A11" t="str">
        <f>PLANTILLA!D13</f>
        <v>K. Helms</v>
      </c>
      <c r="B11" s="488">
        <f>PLANTILLA!E13</f>
        <v>30</v>
      </c>
      <c r="C11" s="488">
        <f ca="1">PLANTILLA!F13</f>
        <v>78</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10.550000000000004</v>
      </c>
      <c r="N11" s="163">
        <f>PLANTILLA!AA13</f>
        <v>13.471666666666668</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16.612389600077343</v>
      </c>
      <c r="W11" s="163">
        <f t="shared" ca="1" si="7"/>
        <v>18.182789744515549</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3.1906385796708139</v>
      </c>
      <c r="AE11" s="159">
        <f t="shared" si="15"/>
        <v>3.8201993484611307</v>
      </c>
      <c r="AF11" s="159">
        <f t="shared" si="16"/>
        <v>7.3068892299931143</v>
      </c>
      <c r="AG11" s="159">
        <f t="shared" si="17"/>
        <v>1.9100996742305654</v>
      </c>
      <c r="AH11" s="159">
        <f t="shared" si="18"/>
        <v>5.1613271141733756</v>
      </c>
      <c r="AI11" s="159">
        <f t="shared" si="19"/>
        <v>9.2978396840852913</v>
      </c>
      <c r="AJ11" s="159">
        <f t="shared" si="20"/>
        <v>4.1840278578383812</v>
      </c>
      <c r="AK11" s="159">
        <f t="shared" si="21"/>
        <v>2.2388094235505291</v>
      </c>
      <c r="AL11" s="159">
        <f t="shared" si="22"/>
        <v>9.600694138010244</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12.655305963064068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13.406044452398378</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11.810725162562971</v>
      </c>
      <c r="BH11" s="159">
        <f t="shared" si="44"/>
        <v>13.53516018484882</v>
      </c>
      <c r="BI11" s="159">
        <f t="shared" si="45"/>
        <v>3.1850667130280073</v>
      </c>
      <c r="BJ11" s="159">
        <f t="shared" si="46"/>
        <v>4.9015785291101803</v>
      </c>
      <c r="BK11" s="159">
        <f t="shared" si="47"/>
        <v>2.6680757354331708</v>
      </c>
      <c r="BL11" s="159">
        <f t="shared" si="48"/>
        <v>5.1077029363637818</v>
      </c>
      <c r="BM11" s="159">
        <f t="shared" si="49"/>
        <v>13.644974518062847</v>
      </c>
      <c r="BN11" s="159">
        <f t="shared" si="50"/>
        <v>0.68723431152471526</v>
      </c>
      <c r="BO11" s="159">
        <f t="shared" si="51"/>
        <v>1.8191425468862525</v>
      </c>
      <c r="BP11" s="159">
        <f t="shared" si="52"/>
        <v>0.68723162882369548</v>
      </c>
      <c r="BQ11" s="159">
        <f t="shared" si="53"/>
        <v>4.0888435579815052</v>
      </c>
      <c r="BR11" s="159">
        <f t="shared" si="54"/>
        <v>20.107499832450976</v>
      </c>
      <c r="BS11" s="159">
        <f t="shared" si="55"/>
        <v>1.7841660010737803</v>
      </c>
      <c r="BT11" s="159">
        <f t="shared" si="56"/>
        <v>2.8702026850871984</v>
      </c>
      <c r="BU11" s="159">
        <f t="shared" si="57"/>
        <v>2.4659487857791427</v>
      </c>
      <c r="BV11" s="159">
        <f t="shared" si="58"/>
        <v>6.0997502258412624</v>
      </c>
      <c r="BW11" s="159">
        <f t="shared" si="59"/>
        <v>17.3318572532574</v>
      </c>
      <c r="BX11" s="159">
        <f t="shared" si="60"/>
        <v>1.5991413787402029</v>
      </c>
      <c r="BY11" s="159">
        <f t="shared" si="61"/>
        <v>2.8702026850871984</v>
      </c>
      <c r="BZ11" s="159">
        <f t="shared" si="62"/>
        <v>2.4659487857791427</v>
      </c>
      <c r="CA11" s="159">
        <f t="shared" si="63"/>
        <v>8.4592140494633767</v>
      </c>
      <c r="CB11" s="159">
        <f t="shared" si="64"/>
        <v>14.012749784896545</v>
      </c>
      <c r="CC11" s="159">
        <f t="shared" si="65"/>
        <v>1.955974578954959</v>
      </c>
      <c r="CD11" s="159">
        <f t="shared" si="66"/>
        <v>5.4428540476737419</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3.3515111130995945</v>
      </c>
    </row>
    <row r="12" spans="1:89" x14ac:dyDescent="0.25">
      <c r="A12" t="str">
        <f>PLANTILLA!D14</f>
        <v>S. Zobbe</v>
      </c>
      <c r="B12" s="488">
        <f>PLANTILLA!E14</f>
        <v>27</v>
      </c>
      <c r="C12" s="488">
        <f ca="1">PLANTILLA!F14</f>
        <v>93</v>
      </c>
      <c r="D12" s="488" t="str">
        <f>PLANTILLA!G14</f>
        <v>CAB</v>
      </c>
      <c r="E12" s="290">
        <v>41911</v>
      </c>
      <c r="F12" s="341">
        <f>PLANTILLA!Q14</f>
        <v>5</v>
      </c>
      <c r="G12" s="407">
        <f t="shared" si="78"/>
        <v>0.84515425472851657</v>
      </c>
      <c r="H12" s="407">
        <f t="shared" si="75"/>
        <v>0.92504826128926143</v>
      </c>
      <c r="I12" s="497">
        <v>1.5</v>
      </c>
      <c r="J12" s="498">
        <f>PLANTILLA!I14</f>
        <v>9</v>
      </c>
      <c r="K12" s="163">
        <f>PLANTILLA!X14</f>
        <v>0</v>
      </c>
      <c r="L12" s="163">
        <f>PLANTILLA!Y14</f>
        <v>8.3599999999999977</v>
      </c>
      <c r="M12" s="163">
        <f>PLANTILLA!Z14</f>
        <v>12.208412698412699</v>
      </c>
      <c r="N12" s="163">
        <f>PLANTILLA!AA14</f>
        <v>12.36</v>
      </c>
      <c r="O12" s="163">
        <f>PLANTILLA!AB14</f>
        <v>10.24</v>
      </c>
      <c r="P12" s="163">
        <f>PLANTILLA!AC14</f>
        <v>7.4766666666666666</v>
      </c>
      <c r="Q12" s="163">
        <f>PLANTILLA!AD14</f>
        <v>15.270000000000001</v>
      </c>
      <c r="R12" s="163">
        <f t="shared" si="2"/>
        <v>3.9799999999999995</v>
      </c>
      <c r="S12" s="163">
        <f t="shared" si="3"/>
        <v>19.336601261147877</v>
      </c>
      <c r="T12" s="163">
        <f t="shared" si="4"/>
        <v>0.8319333333333333</v>
      </c>
      <c r="U12" s="163">
        <f t="shared" si="5"/>
        <v>0.79249999999999998</v>
      </c>
      <c r="V12" s="163">
        <f t="shared" ca="1" si="6"/>
        <v>14.825969213626918</v>
      </c>
      <c r="W12" s="163">
        <f t="shared" ca="1" si="7"/>
        <v>16.227495710116486</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3.565415178550968</v>
      </c>
      <c r="AE12" s="159">
        <f t="shared" si="15"/>
        <v>4.2080182247574189</v>
      </c>
      <c r="AF12" s="159">
        <f t="shared" si="16"/>
        <v>8.048669779099507</v>
      </c>
      <c r="AG12" s="159">
        <f t="shared" si="17"/>
        <v>2.1040091123787095</v>
      </c>
      <c r="AH12" s="159">
        <f t="shared" si="18"/>
        <v>5.7675833770677425</v>
      </c>
      <c r="AI12" s="159">
        <f t="shared" si="19"/>
        <v>10.24173747824557</v>
      </c>
      <c r="AJ12" s="159">
        <f t="shared" si="20"/>
        <v>4.6087818652105064</v>
      </c>
      <c r="AK12" s="159">
        <f t="shared" si="21"/>
        <v>2.5017829194034107</v>
      </c>
      <c r="AL12" s="159">
        <f t="shared" si="22"/>
        <v>8.897806127400429</v>
      </c>
      <c r="AM12" s="159">
        <f t="shared" si="23"/>
        <v>8.3937718028230002</v>
      </c>
      <c r="AN12" s="159">
        <f t="shared" si="24"/>
        <v>7.8816849289107207</v>
      </c>
      <c r="AO12" s="159">
        <f t="shared" si="25"/>
        <v>3.0130679987684905</v>
      </c>
      <c r="AP12" s="159">
        <f t="shared" si="26"/>
        <v>1.9446691236247005</v>
      </c>
      <c r="AQ12" s="159">
        <f t="shared" si="27"/>
        <v>3.0057273033981566</v>
      </c>
      <c r="AR12" s="159">
        <f t="shared" si="28"/>
        <v>6.6126000674759435</v>
      </c>
      <c r="AS12" s="159">
        <f t="shared" si="29"/>
        <v>1.5028636516990783</v>
      </c>
      <c r="AT12" s="159">
        <f t="shared" si="30"/>
        <v>14.141814825849217</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14.980736044331799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13.198028455056315</v>
      </c>
      <c r="BH12" s="159">
        <f t="shared" si="44"/>
        <v>12.784835454522078</v>
      </c>
      <c r="BI12" s="159">
        <f t="shared" si="45"/>
        <v>3.1359699263665028</v>
      </c>
      <c r="BJ12" s="159">
        <f t="shared" si="46"/>
        <v>5.3991768227707624</v>
      </c>
      <c r="BK12" s="159">
        <f t="shared" si="47"/>
        <v>2.9389333633226418</v>
      </c>
      <c r="BL12" s="159">
        <f t="shared" si="48"/>
        <v>5.7076604328904157</v>
      </c>
      <c r="BM12" s="159">
        <f t="shared" si="49"/>
        <v>12.799530604333293</v>
      </c>
      <c r="BN12" s="159">
        <f t="shared" si="50"/>
        <v>0.67664081398779319</v>
      </c>
      <c r="BO12" s="159">
        <f t="shared" si="51"/>
        <v>2.0038182022654376</v>
      </c>
      <c r="BP12" s="159">
        <f t="shared" si="52"/>
        <v>0.75699798752249869</v>
      </c>
      <c r="BQ12" s="159">
        <f t="shared" si="53"/>
        <v>4.5691244935211985</v>
      </c>
      <c r="BR12" s="159">
        <f t="shared" si="54"/>
        <v>18.853847822851961</v>
      </c>
      <c r="BS12" s="159">
        <f t="shared" si="55"/>
        <v>1.7566636516990786</v>
      </c>
      <c r="BT12" s="159">
        <f t="shared" si="56"/>
        <v>3.1615798302410232</v>
      </c>
      <c r="BU12" s="159">
        <f t="shared" si="57"/>
        <v>2.7162868964042599</v>
      </c>
      <c r="BV12" s="159">
        <f t="shared" si="58"/>
        <v>6.8162349001709686</v>
      </c>
      <c r="BW12" s="159">
        <f t="shared" si="59"/>
        <v>16.24933426727836</v>
      </c>
      <c r="BX12" s="159">
        <f t="shared" si="60"/>
        <v>1.574491124856211</v>
      </c>
      <c r="BY12" s="159">
        <f t="shared" si="61"/>
        <v>3.1615798302410232</v>
      </c>
      <c r="BZ12" s="159">
        <f t="shared" si="62"/>
        <v>2.7162868964042599</v>
      </c>
      <c r="CA12" s="159">
        <f t="shared" si="63"/>
        <v>9.4528444439733654</v>
      </c>
      <c r="CB12" s="159">
        <f t="shared" si="64"/>
        <v>13.134269394597593</v>
      </c>
      <c r="CC12" s="159">
        <f t="shared" si="65"/>
        <v>1.9258238551960267</v>
      </c>
      <c r="CD12" s="159">
        <f t="shared" si="66"/>
        <v>6.0821788339987108</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3.7451840110829497</v>
      </c>
    </row>
    <row r="13" spans="1:89" x14ac:dyDescent="0.25">
      <c r="A13" t="str">
        <f>PLANTILLA!D15</f>
        <v>S. Buschelman</v>
      </c>
      <c r="B13" s="488">
        <f>PLANTILLA!E15</f>
        <v>29</v>
      </c>
      <c r="C13" s="488">
        <f ca="1">PLANTILLA!F15</f>
        <v>90</v>
      </c>
      <c r="D13" s="488" t="str">
        <f>PLANTILLA!G15</f>
        <v>TEC</v>
      </c>
      <c r="E13" s="290">
        <v>41747</v>
      </c>
      <c r="F13" s="341">
        <f>PLANTILLA!Q15</f>
        <v>6</v>
      </c>
      <c r="G13" s="407">
        <f t="shared" si="78"/>
        <v>0.92582009977255142</v>
      </c>
      <c r="H13" s="407">
        <f t="shared" si="75"/>
        <v>0.99928545900129484</v>
      </c>
      <c r="I13" s="497">
        <v>1.5</v>
      </c>
      <c r="J13" s="498">
        <f>PLANTILLA!I15</f>
        <v>10.8</v>
      </c>
      <c r="K13" s="163">
        <f>PLANTILLA!X15</f>
        <v>0</v>
      </c>
      <c r="L13" s="163">
        <f>PLANTILLA!Y15</f>
        <v>9.3036666666666648</v>
      </c>
      <c r="M13" s="163">
        <f>PLANTILLA!Z15</f>
        <v>13.839999999999998</v>
      </c>
      <c r="N13" s="163">
        <f>PLANTILLA!AA15</f>
        <v>12.945</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16.27397159553167</v>
      </c>
      <c r="W13" s="163">
        <f t="shared" ca="1" si="7"/>
        <v>17.565338211613803</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3.9788598050745243</v>
      </c>
      <c r="AE13" s="159">
        <f t="shared" si="15"/>
        <v>4.6046315727654221</v>
      </c>
      <c r="AF13" s="159">
        <f t="shared" si="16"/>
        <v>8.8072715002894189</v>
      </c>
      <c r="AG13" s="159">
        <f t="shared" si="17"/>
        <v>2.3023157863827111</v>
      </c>
      <c r="AH13" s="159">
        <f t="shared" si="18"/>
        <v>6.4363908611499667</v>
      </c>
      <c r="AI13" s="159">
        <f t="shared" si="19"/>
        <v>11.207039806730657</v>
      </c>
      <c r="AJ13" s="159">
        <f t="shared" si="20"/>
        <v>5.0431679130287952</v>
      </c>
      <c r="AK13" s="159">
        <f t="shared" si="21"/>
        <v>2.791889022888427</v>
      </c>
      <c r="AL13" s="159">
        <f t="shared" si="22"/>
        <v>9.3038642243017691</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15.781696033572905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16.717898340649263</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14.728468438112001</v>
      </c>
      <c r="BH13" s="159">
        <f t="shared" si="44"/>
        <v>13.035981624837198</v>
      </c>
      <c r="BI13" s="159">
        <f t="shared" si="45"/>
        <v>3.0248468334298071</v>
      </c>
      <c r="BJ13" s="159">
        <f t="shared" si="46"/>
        <v>5.9080590285482266</v>
      </c>
      <c r="BK13" s="159">
        <f t="shared" si="47"/>
        <v>3.2159331619314062</v>
      </c>
      <c r="BL13" s="159">
        <f t="shared" si="48"/>
        <v>6.3695192677873695</v>
      </c>
      <c r="BM13" s="159">
        <f t="shared" si="49"/>
        <v>13.171608149727462</v>
      </c>
      <c r="BN13" s="159">
        <f t="shared" si="50"/>
        <v>0.65266404704709535</v>
      </c>
      <c r="BO13" s="159">
        <f t="shared" si="51"/>
        <v>2.1926817013168676</v>
      </c>
      <c r="BP13" s="159">
        <f t="shared" si="52"/>
        <v>0.82834642049748342</v>
      </c>
      <c r="BQ13" s="159">
        <f t="shared" si="53"/>
        <v>5.0989589938980249</v>
      </c>
      <c r="BR13" s="159">
        <f t="shared" si="54"/>
        <v>19.412550599408291</v>
      </c>
      <c r="BS13" s="159">
        <f t="shared" si="55"/>
        <v>1.6944162759876515</v>
      </c>
      <c r="BT13" s="159">
        <f t="shared" si="56"/>
        <v>3.4595644620777244</v>
      </c>
      <c r="BU13" s="159">
        <f t="shared" si="57"/>
        <v>2.9723018617850872</v>
      </c>
      <c r="BV13" s="159">
        <f t="shared" si="58"/>
        <v>7.6066437449954147</v>
      </c>
      <c r="BW13" s="159">
        <f t="shared" si="59"/>
        <v>16.73348469477272</v>
      </c>
      <c r="BX13" s="159">
        <f t="shared" si="60"/>
        <v>1.518699032551895</v>
      </c>
      <c r="BY13" s="159">
        <f t="shared" si="61"/>
        <v>3.4595644620777244</v>
      </c>
      <c r="BZ13" s="159">
        <f t="shared" si="62"/>
        <v>2.9723018617850872</v>
      </c>
      <c r="CA13" s="159">
        <f t="shared" si="63"/>
        <v>10.548993852949685</v>
      </c>
      <c r="CB13" s="159">
        <f t="shared" si="64"/>
        <v>13.530062348214427</v>
      </c>
      <c r="CC13" s="159">
        <f t="shared" si="65"/>
        <v>1.857582287749425</v>
      </c>
      <c r="CD13" s="159">
        <f t="shared" si="66"/>
        <v>6.7874667263036015</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4.1794745851623158</v>
      </c>
    </row>
    <row r="14" spans="1:89" x14ac:dyDescent="0.25">
      <c r="A14" t="str">
        <f>PLANTILLA!D16</f>
        <v>C. Rojas</v>
      </c>
      <c r="B14" s="488">
        <f>PLANTILLA!E16</f>
        <v>32</v>
      </c>
      <c r="C14" s="488">
        <f ca="1">PLANTILLA!F16</f>
        <v>12</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14.2856365079365</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14.323756701177782</v>
      </c>
      <c r="W14" s="163">
        <f t="shared" ca="1" si="7"/>
        <v>15.998424376421667</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4.0911583816209589</v>
      </c>
      <c r="AE14" s="159">
        <f t="shared" si="15"/>
        <v>4.3589675355156441</v>
      </c>
      <c r="AF14" s="159">
        <f t="shared" si="16"/>
        <v>8.337390286184684</v>
      </c>
      <c r="AG14" s="159">
        <f t="shared" si="17"/>
        <v>2.179483767757822</v>
      </c>
      <c r="AH14" s="159">
        <f t="shared" si="18"/>
        <v>6.6180503232103751</v>
      </c>
      <c r="AI14" s="159">
        <f t="shared" si="19"/>
        <v>10.609127335117442</v>
      </c>
      <c r="AJ14" s="159">
        <f t="shared" si="20"/>
        <v>4.7741073008028483</v>
      </c>
      <c r="AK14" s="159">
        <f t="shared" si="21"/>
        <v>2.8706867635743705</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16.227115597689853</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17.189741099247726</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15.144161908437248</v>
      </c>
      <c r="BH14" s="159">
        <f t="shared" si="44"/>
        <v>11.494358981675679</v>
      </c>
      <c r="BI14" s="159">
        <f t="shared" si="45"/>
        <v>3.1315792065060055</v>
      </c>
      <c r="BJ14" s="159">
        <f t="shared" si="46"/>
        <v>5.59285517123039</v>
      </c>
      <c r="BK14" s="159">
        <f t="shared" si="47"/>
        <v>3.0443582787728309</v>
      </c>
      <c r="BL14" s="159">
        <f t="shared" si="48"/>
        <v>6.5492913588133836</v>
      </c>
      <c r="BM14" s="159">
        <f t="shared" si="49"/>
        <v>11.289547412806012</v>
      </c>
      <c r="BN14" s="159">
        <f t="shared" si="50"/>
        <v>0.67569343874818366</v>
      </c>
      <c r="BO14" s="159">
        <f t="shared" si="51"/>
        <v>2.075698826436021</v>
      </c>
      <c r="BP14" s="159">
        <f t="shared" si="52"/>
        <v>0.78415288998694133</v>
      </c>
      <c r="BQ14" s="159">
        <f t="shared" si="53"/>
        <v>5.2428710352705563</v>
      </c>
      <c r="BR14" s="159">
        <f t="shared" si="54"/>
        <v>16.610418504426235</v>
      </c>
      <c r="BS14" s="159">
        <f t="shared" si="55"/>
        <v>1.7542041198270155</v>
      </c>
      <c r="BT14" s="159">
        <f t="shared" si="56"/>
        <v>3.2749914817101664</v>
      </c>
      <c r="BU14" s="159">
        <f t="shared" si="57"/>
        <v>2.8137250758354955</v>
      </c>
      <c r="BV14" s="159">
        <f t="shared" si="58"/>
        <v>7.8213322001577161</v>
      </c>
      <c r="BW14" s="159">
        <f t="shared" si="59"/>
        <v>14.311067887172838</v>
      </c>
      <c r="BX14" s="159">
        <f t="shared" si="60"/>
        <v>1.5722866555486583</v>
      </c>
      <c r="BY14" s="159">
        <f t="shared" si="61"/>
        <v>3.2749914817101664</v>
      </c>
      <c r="BZ14" s="159">
        <f t="shared" si="62"/>
        <v>2.8137250758354955</v>
      </c>
      <c r="CA14" s="159">
        <f t="shared" si="63"/>
        <v>10.846726633625316</v>
      </c>
      <c r="CB14" s="159">
        <f t="shared" si="64"/>
        <v>11.559523609223547</v>
      </c>
      <c r="CC14" s="159">
        <f t="shared" si="65"/>
        <v>1.9231274795140614</v>
      </c>
      <c r="CD14" s="159">
        <f t="shared" si="66"/>
        <v>6.9790348862945777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4.2974352748119315</v>
      </c>
    </row>
    <row r="15" spans="1:89" x14ac:dyDescent="0.25">
      <c r="A15" t="str">
        <f>PLANTILLA!D17</f>
        <v>E. Gross</v>
      </c>
      <c r="B15" s="488">
        <f>PLANTILLA!E17</f>
        <v>31</v>
      </c>
      <c r="C15" s="488">
        <f ca="1">PLANTILLA!F17</f>
        <v>6</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12.969777777777777</v>
      </c>
      <c r="N15" s="163">
        <f>PLANTILLA!AA17</f>
        <v>5.1399999999999979</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3.7511390334522261</v>
      </c>
      <c r="AE15" s="159">
        <f t="shared" si="15"/>
        <v>5.0430154060711816</v>
      </c>
      <c r="AF15" s="159">
        <f t="shared" si="16"/>
        <v>9.6457675624059895</v>
      </c>
      <c r="AG15" s="159">
        <f t="shared" si="17"/>
        <v>2.5215077030355908</v>
      </c>
      <c r="AH15" s="159">
        <f t="shared" si="18"/>
        <v>6.0680190247021306</v>
      </c>
      <c r="AI15" s="159">
        <f t="shared" si="19"/>
        <v>12.274005750226156</v>
      </c>
      <c r="AJ15" s="159">
        <f t="shared" si="20"/>
        <v>5.5233025876017701</v>
      </c>
      <c r="AK15" s="159">
        <f t="shared" si="21"/>
        <v>2.6321017587668982</v>
      </c>
      <c r="AL15" s="159">
        <f t="shared" si="22"/>
        <v>4.663610631666284</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14.878467426802107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13.885518859123577</v>
      </c>
      <c r="BH15" s="159">
        <f t="shared" si="44"/>
        <v>8.3424351216859307</v>
      </c>
      <c r="BI15" s="159">
        <f t="shared" si="45"/>
        <v>2.8995458541353312</v>
      </c>
      <c r="BJ15" s="159">
        <f t="shared" si="46"/>
        <v>6.4705356400648757</v>
      </c>
      <c r="BK15" s="159">
        <f t="shared" si="47"/>
        <v>3.5221059978909839</v>
      </c>
      <c r="BL15" s="159">
        <f t="shared" si="48"/>
        <v>6.004974671198732</v>
      </c>
      <c r="BM15" s="159">
        <f t="shared" si="49"/>
        <v>7.7560654627148526</v>
      </c>
      <c r="BN15" s="159">
        <f t="shared" si="50"/>
        <v>0.62562815109973946</v>
      </c>
      <c r="BO15" s="159">
        <f t="shared" si="51"/>
        <v>2.4014359076529432</v>
      </c>
      <c r="BP15" s="159">
        <f t="shared" si="52"/>
        <v>0.90720912066888981</v>
      </c>
      <c r="BQ15" s="159">
        <f t="shared" si="53"/>
        <v>4.8071319546341558</v>
      </c>
      <c r="BR15" s="159">
        <f t="shared" si="54"/>
        <v>11.372265429120478</v>
      </c>
      <c r="BS15" s="159">
        <f t="shared" si="55"/>
        <v>1.6242269307397084</v>
      </c>
      <c r="BT15" s="159">
        <f t="shared" si="56"/>
        <v>3.7889322098524216</v>
      </c>
      <c r="BU15" s="159">
        <f t="shared" si="57"/>
        <v>3.2552797859295457</v>
      </c>
      <c r="BV15" s="159">
        <f t="shared" si="58"/>
        <v>7.1712952110116088</v>
      </c>
      <c r="BW15" s="159">
        <f t="shared" si="59"/>
        <v>9.7882921426636784</v>
      </c>
      <c r="BX15" s="159">
        <f t="shared" si="60"/>
        <v>1.4557885823667014</v>
      </c>
      <c r="BY15" s="159">
        <f t="shared" si="61"/>
        <v>3.7889322098524216</v>
      </c>
      <c r="BZ15" s="159">
        <f t="shared" si="62"/>
        <v>3.2552797859295457</v>
      </c>
      <c r="CA15" s="159">
        <f t="shared" si="63"/>
        <v>9.9452467651611549</v>
      </c>
      <c r="CB15" s="159">
        <f t="shared" si="64"/>
        <v>7.8898229852743604</v>
      </c>
      <c r="CC15" s="159">
        <f t="shared" si="65"/>
        <v>1.7806339685146431</v>
      </c>
      <c r="CD15" s="159">
        <f t="shared" si="66"/>
        <v>6.3990018805949749</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3.9402720939624225</v>
      </c>
    </row>
    <row r="16" spans="1:89" x14ac:dyDescent="0.25">
      <c r="A16" t="str">
        <f>PLANTILLA!D18</f>
        <v>L. Bauman</v>
      </c>
      <c r="B16" s="488">
        <f>PLANTILLA!E18</f>
        <v>30</v>
      </c>
      <c r="C16" s="488">
        <f ca="1">PLANTILLA!F18</f>
        <v>93</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14.379028042328033</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4.0691922698971705</v>
      </c>
      <c r="AE16" s="159">
        <f t="shared" si="15"/>
        <v>3.0931221816013936</v>
      </c>
      <c r="AF16" s="159">
        <f t="shared" si="16"/>
        <v>5.9162098870312372</v>
      </c>
      <c r="AG16" s="159">
        <f t="shared" si="17"/>
        <v>1.5465610908006968</v>
      </c>
      <c r="AH16" s="159">
        <f t="shared" si="18"/>
        <v>6.5825169071865997</v>
      </c>
      <c r="AI16" s="159">
        <f t="shared" si="19"/>
        <v>7.5282338811462495</v>
      </c>
      <c r="AJ16" s="159">
        <f t="shared" si="20"/>
        <v>3.3877052465158122</v>
      </c>
      <c r="AK16" s="159">
        <f t="shared" si="21"/>
        <v>2.8552735675328891</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16.139989507491297</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17.097446512172986</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15.0628503772244</v>
      </c>
      <c r="BH16" s="159">
        <f t="shared" si="44"/>
        <v>7.3119490196921664</v>
      </c>
      <c r="BI16" s="159">
        <f t="shared" si="45"/>
        <v>2.8578788512326354</v>
      </c>
      <c r="BJ16" s="159">
        <f t="shared" si="46"/>
        <v>3.9686885134303598</v>
      </c>
      <c r="BK16" s="159">
        <f t="shared" si="47"/>
        <v>2.1602758093724019</v>
      </c>
      <c r="BL16" s="159">
        <f t="shared" si="48"/>
        <v>6.5141271211379079</v>
      </c>
      <c r="BM16" s="159">
        <f t="shared" si="49"/>
        <v>6.5769502426444921</v>
      </c>
      <c r="BN16" s="159">
        <f t="shared" si="50"/>
        <v>0.61663776043193785</v>
      </c>
      <c r="BO16" s="159">
        <f t="shared" si="51"/>
        <v>1.4729153245720923</v>
      </c>
      <c r="BP16" s="159">
        <f t="shared" si="52"/>
        <v>0.55643467817167935</v>
      </c>
      <c r="BQ16" s="159">
        <f t="shared" si="53"/>
        <v>5.2147211862127607</v>
      </c>
      <c r="BR16" s="159">
        <f t="shared" si="54"/>
        <v>9.622426152220612</v>
      </c>
      <c r="BS16" s="159">
        <f t="shared" si="55"/>
        <v>1.6008864934290696</v>
      </c>
      <c r="BT16" s="159">
        <f t="shared" si="56"/>
        <v>2.32393306765819</v>
      </c>
      <c r="BU16" s="159">
        <f t="shared" si="57"/>
        <v>1.9966185510866139</v>
      </c>
      <c r="BV16" s="159">
        <f t="shared" si="58"/>
        <v>7.7793381630387088</v>
      </c>
      <c r="BW16" s="159">
        <f t="shared" si="59"/>
        <v>8.2769676645882111</v>
      </c>
      <c r="BX16" s="159">
        <f t="shared" si="60"/>
        <v>1.4348686348512401</v>
      </c>
      <c r="BY16" s="159">
        <f t="shared" si="61"/>
        <v>2.32393306765819</v>
      </c>
      <c r="BZ16" s="159">
        <f t="shared" si="62"/>
        <v>1.9966185510866139</v>
      </c>
      <c r="CA16" s="159">
        <f t="shared" si="63"/>
        <v>10.788488749181154</v>
      </c>
      <c r="CB16" s="159">
        <f t="shared" si="64"/>
        <v>6.6627795305112354</v>
      </c>
      <c r="CC16" s="159">
        <f t="shared" si="65"/>
        <v>1.7550459335370538</v>
      </c>
      <c r="CD16" s="159">
        <f t="shared" si="66"/>
        <v>6.9415632839422328</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4.2743616280432466</v>
      </c>
    </row>
    <row r="17" spans="1:89" x14ac:dyDescent="0.25">
      <c r="A17" t="str">
        <f>PLANTILLA!D19</f>
        <v>W. Gelifini</v>
      </c>
      <c r="B17" s="488">
        <f>PLANTILLA!E19</f>
        <v>29</v>
      </c>
      <c r="C17" s="488">
        <f ca="1">PLANTILLA!F19</f>
        <v>43</v>
      </c>
      <c r="D17" s="488"/>
      <c r="E17" s="290">
        <v>41737</v>
      </c>
      <c r="F17" s="341">
        <f>PLANTILLA!Q19</f>
        <v>4</v>
      </c>
      <c r="G17" s="407">
        <f t="shared" si="78"/>
        <v>0.7559289460184544</v>
      </c>
      <c r="H17" s="407">
        <f t="shared" si="75"/>
        <v>0.84430867747355465</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10.774063756860782</v>
      </c>
      <c r="W17" s="163">
        <f t="shared" ca="1" si="7"/>
        <v>12.033717678736448</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18</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8.6349999999999998</v>
      </c>
      <c r="N19" s="163">
        <f>PLANTILLA!AA21</f>
        <v>8.7399999999999967</v>
      </c>
      <c r="O19" s="163">
        <f>PLANTILLA!AB21</f>
        <v>9.6900000000000013</v>
      </c>
      <c r="P19" s="163">
        <f>PLANTILLA!AC21</f>
        <v>8.5625000000000018</v>
      </c>
      <c r="Q19" s="163">
        <f>PLANTILLA!AD21</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2.7335370126397742</v>
      </c>
      <c r="AE19" s="159">
        <f t="shared" si="15"/>
        <v>3.6620899612514077</v>
      </c>
      <c r="AF19" s="159">
        <f t="shared" si="16"/>
        <v>7.0044736560443592</v>
      </c>
      <c r="AG19" s="159">
        <f t="shared" si="17"/>
        <v>1.8310449806257039</v>
      </c>
      <c r="AH19" s="159">
        <f t="shared" si="18"/>
        <v>4.4218981086819884</v>
      </c>
      <c r="AI19" s="159">
        <f t="shared" si="19"/>
        <v>8.9130231861145379</v>
      </c>
      <c r="AJ19" s="159">
        <f t="shared" si="20"/>
        <v>4.0108604337515414</v>
      </c>
      <c r="AK19" s="159">
        <f t="shared" si="21"/>
        <v>1.9180700887010185</v>
      </c>
      <c r="AL19" s="159">
        <f t="shared" si="22"/>
        <v>6.8151843841688526</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10.842264453495575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11.485449632940229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10.118681126620341</v>
      </c>
      <c r="BH19" s="159">
        <f t="shared" si="44"/>
        <v>10.603159723683861</v>
      </c>
      <c r="BI19" s="159">
        <f t="shared" si="45"/>
        <v>3.0222483615385953</v>
      </c>
      <c r="BJ19" s="159">
        <f t="shared" si="46"/>
        <v>4.6987133100712501</v>
      </c>
      <c r="BK19" s="159">
        <f t="shared" si="47"/>
        <v>2.5576501316676499</v>
      </c>
      <c r="BL19" s="159">
        <f t="shared" si="48"/>
        <v>4.3759563101502277</v>
      </c>
      <c r="BM19" s="159">
        <f t="shared" si="49"/>
        <v>10.32100297918976</v>
      </c>
      <c r="BN19" s="159">
        <f t="shared" si="50"/>
        <v>0.65210338091289199</v>
      </c>
      <c r="BO19" s="159">
        <f t="shared" si="51"/>
        <v>1.7438523625006703</v>
      </c>
      <c r="BP19" s="159">
        <f t="shared" si="52"/>
        <v>0.65878867027803101</v>
      </c>
      <c r="BQ19" s="159">
        <f t="shared" si="53"/>
        <v>3.5030621380467699</v>
      </c>
      <c r="BR19" s="159">
        <f t="shared" si="54"/>
        <v>15.177018227961131</v>
      </c>
      <c r="BS19" s="159">
        <f t="shared" si="55"/>
        <v>1.6929607004469311</v>
      </c>
      <c r="BT19" s="159">
        <f t="shared" si="56"/>
        <v>2.7514115052788353</v>
      </c>
      <c r="BU19" s="159">
        <f t="shared" si="57"/>
        <v>2.363888758056464</v>
      </c>
      <c r="BV19" s="159">
        <f t="shared" si="58"/>
        <v>5.2258795829878046</v>
      </c>
      <c r="BW19" s="159">
        <f t="shared" si="59"/>
        <v>13.074018193297771</v>
      </c>
      <c r="BX19" s="159">
        <f t="shared" si="60"/>
        <v>1.5173944055857678</v>
      </c>
      <c r="BY19" s="159">
        <f t="shared" si="61"/>
        <v>2.7514115052788353</v>
      </c>
      <c r="BZ19" s="159">
        <f t="shared" si="62"/>
        <v>2.363888758056464</v>
      </c>
      <c r="CA19" s="159">
        <f t="shared" si="63"/>
        <v>7.2473187183852845</v>
      </c>
      <c r="CB19" s="159">
        <f t="shared" si="64"/>
        <v>10.556802421481501</v>
      </c>
      <c r="CC19" s="159">
        <f t="shared" si="65"/>
        <v>1.8559865456751541</v>
      </c>
      <c r="CD19" s="159">
        <f t="shared" si="66"/>
        <v>4.6630925509737331</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2.8713624082350573</v>
      </c>
    </row>
    <row r="20" spans="1:89" x14ac:dyDescent="0.25">
      <c r="A20" t="str">
        <f>PLANTILLA!D22</f>
        <v>L. Calosso</v>
      </c>
      <c r="B20" s="488">
        <f>PLANTILLA!E22</f>
        <v>30</v>
      </c>
      <c r="C20" s="488">
        <f ca="1">PLANTILLA!F22</f>
        <v>87</v>
      </c>
      <c r="D20" s="488" t="str">
        <f>PLANTILLA!G22</f>
        <v>TEC</v>
      </c>
      <c r="E20" s="290">
        <v>41890</v>
      </c>
      <c r="F20" s="341">
        <f>PLANTILLA!Q22</f>
        <v>6</v>
      </c>
      <c r="G20" s="407">
        <f t="shared" si="78"/>
        <v>0.92582009977255142</v>
      </c>
      <c r="H20" s="407">
        <f t="shared" si="75"/>
        <v>0.99928545900129484</v>
      </c>
      <c r="I20" s="497">
        <v>1.5</v>
      </c>
      <c r="J20" s="498">
        <f>PLANTILLA!I22</f>
        <v>10.5</v>
      </c>
      <c r="K20" s="163">
        <f>PLANTILLA!X22</f>
        <v>0</v>
      </c>
      <c r="L20" s="163">
        <f>PLANTILLA!Y22</f>
        <v>3.02</v>
      </c>
      <c r="M20" s="163">
        <f>PLANTILLA!Z22</f>
        <v>14.237609523809523</v>
      </c>
      <c r="N20" s="163">
        <f>PLANTILLA!AA22</f>
        <v>3.04</v>
      </c>
      <c r="O20" s="163">
        <f>PLANTILLA!AB22</f>
        <v>15.02</v>
      </c>
      <c r="P20" s="163">
        <f>PLANTILLA!AC22</f>
        <v>10</v>
      </c>
      <c r="Q20" s="163">
        <f>PLANTILLA!AD22</f>
        <v>9.3000000000000007</v>
      </c>
      <c r="R20" s="163">
        <f t="shared" si="2"/>
        <v>4.5075000000000003</v>
      </c>
      <c r="S20" s="163">
        <f t="shared" si="3"/>
        <v>20.439104467926086</v>
      </c>
      <c r="T20" s="163">
        <f t="shared" si="4"/>
        <v>0.77900000000000003</v>
      </c>
      <c r="U20" s="163">
        <f t="shared" si="5"/>
        <v>0.39980000000000004</v>
      </c>
      <c r="V20" s="163">
        <f t="shared" ca="1" si="6"/>
        <v>10.796530465992735</v>
      </c>
      <c r="W20" s="163">
        <f t="shared" ca="1" si="7"/>
        <v>11.653253050977755</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4.0696084709048606</v>
      </c>
      <c r="AE20" s="159">
        <f t="shared" si="15"/>
        <v>2.2232394067312486</v>
      </c>
      <c r="AF20" s="159">
        <f t="shared" si="16"/>
        <v>4.25238648430342</v>
      </c>
      <c r="AG20" s="159">
        <f t="shared" si="17"/>
        <v>1.1116197033656243</v>
      </c>
      <c r="AH20" s="159">
        <f t="shared" si="18"/>
        <v>6.583190173522568</v>
      </c>
      <c r="AI20" s="159">
        <f t="shared" si="19"/>
        <v>5.411058873525791</v>
      </c>
      <c r="AJ20" s="159">
        <f t="shared" si="20"/>
        <v>2.4349764930866056</v>
      </c>
      <c r="AK20" s="159">
        <f t="shared" si="21"/>
        <v>2.8555656077357634</v>
      </c>
      <c r="AL20" s="159">
        <f t="shared" si="22"/>
        <v>3.4701324104708311</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16.141640321572218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17.099195255902774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15.064391020450344</v>
      </c>
      <c r="BH20" s="159">
        <f t="shared" si="44"/>
        <v>9.0202097158308998</v>
      </c>
      <c r="BI20" s="159">
        <f t="shared" si="45"/>
        <v>4.3094621614344728</v>
      </c>
      <c r="BJ20" s="159">
        <f t="shared" si="46"/>
        <v>2.8525690800652264</v>
      </c>
      <c r="BK20" s="159">
        <f t="shared" si="47"/>
        <v>1.5527386332726181</v>
      </c>
      <c r="BL20" s="159">
        <f t="shared" si="48"/>
        <v>6.5147933924989569</v>
      </c>
      <c r="BM20" s="159">
        <f t="shared" si="49"/>
        <v>7.5659659298495008</v>
      </c>
      <c r="BN20" s="159">
        <f t="shared" si="50"/>
        <v>0.92984245806884891</v>
      </c>
      <c r="BO20" s="159">
        <f t="shared" si="51"/>
        <v>1.0586854317767851</v>
      </c>
      <c r="BP20" s="159">
        <f t="shared" si="52"/>
        <v>0.39994782978234106</v>
      </c>
      <c r="BQ20" s="159">
        <f t="shared" si="53"/>
        <v>5.2152545530503458</v>
      </c>
      <c r="BR20" s="159">
        <f t="shared" si="54"/>
        <v>11.01571925147192</v>
      </c>
      <c r="BS20" s="159">
        <f t="shared" si="55"/>
        <v>2.4140140738325888</v>
      </c>
      <c r="BT20" s="159">
        <f t="shared" si="56"/>
        <v>1.6703703479144829</v>
      </c>
      <c r="BU20" s="159">
        <f t="shared" si="57"/>
        <v>1.435106918630753</v>
      </c>
      <c r="BV20" s="159">
        <f t="shared" si="58"/>
        <v>7.780133841435763</v>
      </c>
      <c r="BW20" s="159">
        <f t="shared" si="59"/>
        <v>9.4620769911593214</v>
      </c>
      <c r="BX20" s="159">
        <f t="shared" si="60"/>
        <v>2.1636718735832829</v>
      </c>
      <c r="BY20" s="159">
        <f t="shared" si="61"/>
        <v>1.6703703479144829</v>
      </c>
      <c r="BZ20" s="159">
        <f t="shared" si="62"/>
        <v>1.435106918630753</v>
      </c>
      <c r="CA20" s="159">
        <f t="shared" si="63"/>
        <v>10.789592206474651</v>
      </c>
      <c r="CB20" s="159">
        <f t="shared" si="64"/>
        <v>7.5940592302234595</v>
      </c>
      <c r="CC20" s="159">
        <f t="shared" si="65"/>
        <v>2.6464746883498007</v>
      </c>
      <c r="CD20" s="159">
        <f t="shared" si="66"/>
        <v>6.9422732738965269</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4.2747988139756936</v>
      </c>
    </row>
    <row r="21" spans="1:89" x14ac:dyDescent="0.25">
      <c r="A21" t="str">
        <f>PLANTILLA!D23</f>
        <v>P .Trivadi</v>
      </c>
      <c r="B21" s="488">
        <f>PLANTILLA!E23</f>
        <v>27</v>
      </c>
      <c r="C21" s="488">
        <f ca="1">PLANTILLA!F23</f>
        <v>49</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5.5638722222222201</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1.9161433490217281</v>
      </c>
      <c r="AE21" s="159">
        <f t="shared" si="15"/>
        <v>2.4597027955050987</v>
      </c>
      <c r="AF21" s="159">
        <f t="shared" si="16"/>
        <v>4.7046696326724504</v>
      </c>
      <c r="AG21" s="159">
        <f t="shared" si="17"/>
        <v>1.2298513977525494</v>
      </c>
      <c r="AH21" s="159">
        <f t="shared" si="18"/>
        <v>3.0996436528292666</v>
      </c>
      <c r="AI21" s="159">
        <f t="shared" si="19"/>
        <v>5.9865782324462726</v>
      </c>
      <c r="AJ21" s="159">
        <f t="shared" si="20"/>
        <v>2.6939602046008226</v>
      </c>
      <c r="AK21" s="159">
        <f t="shared" si="21"/>
        <v>1.3445207533051624</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7.6001652162878628</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8.0510224748812114</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7.092950800370347</v>
      </c>
      <c r="BH21" s="159">
        <f t="shared" si="44"/>
        <v>8.7758165746138417</v>
      </c>
      <c r="BI21" s="159">
        <f t="shared" si="45"/>
        <v>3.2022032108908167</v>
      </c>
      <c r="BJ21" s="159">
        <f t="shared" si="46"/>
        <v>3.1559678725396108</v>
      </c>
      <c r="BK21" s="159">
        <f t="shared" si="47"/>
        <v>1.7178876667019738</v>
      </c>
      <c r="BL21" s="159">
        <f t="shared" si="48"/>
        <v>3.0674395629297417</v>
      </c>
      <c r="BM21" s="159">
        <f t="shared" si="49"/>
        <v>8.0527993208239579</v>
      </c>
      <c r="BN21" s="159">
        <f t="shared" si="50"/>
        <v>0.69093181313826746</v>
      </c>
      <c r="BO21" s="159">
        <f t="shared" si="51"/>
        <v>1.1712870454786184</v>
      </c>
      <c r="BP21" s="159">
        <f t="shared" si="52"/>
        <v>0.44248621718081149</v>
      </c>
      <c r="BQ21" s="159">
        <f t="shared" si="53"/>
        <v>2.4555618548387694</v>
      </c>
      <c r="BR21" s="159">
        <f t="shared" si="54"/>
        <v>11.797275224919462</v>
      </c>
      <c r="BS21" s="159">
        <f t="shared" si="55"/>
        <v>1.793765284108964</v>
      </c>
      <c r="BT21" s="159">
        <f t="shared" si="56"/>
        <v>1.8480306717551536</v>
      </c>
      <c r="BU21" s="159">
        <f t="shared" si="57"/>
        <v>1.587744661648794</v>
      </c>
      <c r="BV21" s="159">
        <f t="shared" si="58"/>
        <v>3.6632152260709514</v>
      </c>
      <c r="BW21" s="159">
        <f t="shared" si="59"/>
        <v>10.151602479946161</v>
      </c>
      <c r="BX21" s="159">
        <f t="shared" si="60"/>
        <v>1.6077451805717378</v>
      </c>
      <c r="BY21" s="159">
        <f t="shared" si="61"/>
        <v>1.8480306717551536</v>
      </c>
      <c r="BZ21" s="159">
        <f t="shared" si="62"/>
        <v>1.587744661648794</v>
      </c>
      <c r="CA21" s="159">
        <f t="shared" si="63"/>
        <v>5.0801951816500441</v>
      </c>
      <c r="CB21" s="159">
        <f t="shared" si="64"/>
        <v>8.1784194761297968</v>
      </c>
      <c r="CC21" s="159">
        <f t="shared" si="65"/>
        <v>1.9664982373935307</v>
      </c>
      <c r="CD21" s="159">
        <f t="shared" si="66"/>
        <v>3.2687151248017718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2.0127556187203028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46</v>
      </c>
      <c r="E3" s="633"/>
      <c r="F3" s="290">
        <v>42468</v>
      </c>
      <c r="G3" s="497">
        <v>1</v>
      </c>
      <c r="H3" s="498">
        <f>PLANTILLA!I5</f>
        <v>18.5</v>
      </c>
      <c r="I3" s="498"/>
      <c r="J3" s="163">
        <f>PLANTILLA!X5</f>
        <v>16.666666666666668</v>
      </c>
      <c r="K3" s="163">
        <f>PLANTILLA!Y5</f>
        <v>12.080559440559444</v>
      </c>
      <c r="L3" s="163">
        <f>PLANTILLA!Z5</f>
        <v>2.0599999999999987</v>
      </c>
      <c r="M3" s="163">
        <f>PLANTILLA!AA5</f>
        <v>2.149999999999999</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1.1303958284798892</v>
      </c>
      <c r="AC3" s="159">
        <f t="shared" ref="AC3:AC22" si="6">((K3+G3+(LOG(H3)*4/3))*0.378)</f>
        <v>5.5831060196465891</v>
      </c>
      <c r="AD3" s="159">
        <f t="shared" ref="AD3:AD22" si="7">(K3+G3+(LOG(H3)*4/3))*0.723</f>
        <v>10.678798021704983</v>
      </c>
      <c r="AE3" s="159">
        <f>AC3/2</f>
        <v>2.7915530098232946</v>
      </c>
      <c r="AF3" s="159">
        <f t="shared" ref="AF3:AF22" si="8">(L3+G3+(LOG(H3)*4/3))*0.385</f>
        <v>1.8285814872468797</v>
      </c>
      <c r="AG3" s="357">
        <f t="shared" ref="AG3:AG22" si="9">((K3+G3+(LOG(H3)*4/3))*0.92)</f>
        <v>13.588512005489052</v>
      </c>
      <c r="AH3" s="159">
        <f t="shared" ref="AH3:AH22" si="10">(K3+G3+(LOG(H3)*4/3))*0.414</f>
        <v>6.1148304024700737</v>
      </c>
      <c r="AI3" s="159">
        <f t="shared" ref="AI3:AI22" si="11">((L3+G3+(LOG(H3)*4/3))*0.167)</f>
        <v>0.79317690485773751</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4.4835868154832585</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4.7495623045373501</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4.1843643902974055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1.8095832380287304</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1.4486165028838918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2.1610508485644941</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2.9969738141630677</v>
      </c>
      <c r="BZ3" s="159">
        <f t="shared" ref="BZ3:BZ22" si="50">((M3+G3+(LOG(H3)*4/3))*0.702)+((N3+G3+(LOG(H3)*4/3))*0.193)</f>
        <v>4.1171782625609286</v>
      </c>
      <c r="CA3" s="159">
        <f t="shared" ref="CA3:CA22" si="51">((N3+G3+(LOG(H3)*4/3))*0.148)</f>
        <v>0.55197522107152797</v>
      </c>
      <c r="CB3" s="159">
        <f t="shared" ref="CB3:CB22" si="52">((L3+G3+(LOG(H3)*4/3))*0.406)</f>
        <v>1.9283222956421642</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1.1873905761343375</v>
      </c>
    </row>
    <row r="4" spans="1:87" x14ac:dyDescent="0.25">
      <c r="A4" t="str">
        <f>PLANTILLA!D6</f>
        <v>T. Hammond</v>
      </c>
      <c r="B4" t="s">
        <v>855</v>
      </c>
      <c r="C4" s="633">
        <f>PLANTILLA!E6</f>
        <v>34</v>
      </c>
      <c r="D4" s="633">
        <f ca="1">PLANTILLA!F6</f>
        <v>55</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103</v>
      </c>
      <c r="E5" s="633" t="str">
        <f>PLANTILLA!G8</f>
        <v>CAB</v>
      </c>
      <c r="F5" s="290">
        <v>41519</v>
      </c>
      <c r="G5" s="497">
        <v>1.5</v>
      </c>
      <c r="H5" s="498">
        <f>PLANTILLA!I8</f>
        <v>7.6</v>
      </c>
      <c r="I5" s="341"/>
      <c r="J5" s="163">
        <f>PLANTILLA!X8</f>
        <v>0</v>
      </c>
      <c r="K5" s="163">
        <f>PLANTILLA!Y8</f>
        <v>11.077333333333334</v>
      </c>
      <c r="L5" s="163">
        <f>PLANTILLA!Z8</f>
        <v>6.2094444444444408</v>
      </c>
      <c r="M5" s="163">
        <f>PLANTILLA!AA8</f>
        <v>6.1</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2.1143592910615481</v>
      </c>
      <c r="AC5" s="159">
        <f t="shared" si="6"/>
        <v>5.1981620505095192</v>
      </c>
      <c r="AD5" s="159">
        <f t="shared" si="7"/>
        <v>9.9425163029586834</v>
      </c>
      <c r="AE5" s="159">
        <f t="shared" si="63"/>
        <v>2.5990810252547596</v>
      </c>
      <c r="AF5" s="159">
        <f t="shared" si="8"/>
        <v>3.4202870884819161</v>
      </c>
      <c r="AG5" s="357">
        <f t="shared" si="9"/>
        <v>12.65161133986444</v>
      </c>
      <c r="AH5" s="159">
        <f t="shared" si="10"/>
        <v>5.6932251029389969</v>
      </c>
      <c r="AI5" s="159">
        <f t="shared" si="11"/>
        <v>1.4836050487700778</v>
      </c>
      <c r="AJ5" s="357">
        <f t="shared" si="12"/>
        <v>5.1593578563481399</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8.3863662637063072</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8.8838625674854956</v>
      </c>
      <c r="AZ5" s="159">
        <f t="shared" si="25"/>
        <v>2.6304905629071653</v>
      </c>
      <c r="BA5" s="159">
        <f t="shared" si="26"/>
        <v>5.0275716080178441</v>
      </c>
      <c r="BB5" s="159">
        <f t="shared" si="67"/>
        <v>1.3152452814535827</v>
      </c>
      <c r="BC5" s="159">
        <f t="shared" si="27"/>
        <v>4.0017596738049468</v>
      </c>
      <c r="BD5" s="159">
        <f t="shared" si="28"/>
        <v>4.7856095068182869</v>
      </c>
      <c r="BE5" s="159">
        <f t="shared" si="29"/>
        <v>7.8266829219547214</v>
      </c>
      <c r="BF5" s="159">
        <f t="shared" si="30"/>
        <v>8.3116327113834991</v>
      </c>
      <c r="BG5" s="159">
        <f t="shared" si="31"/>
        <v>2.5057242120973391</v>
      </c>
      <c r="BH5" s="159">
        <f t="shared" si="32"/>
        <v>6.6695994563415786</v>
      </c>
      <c r="BI5" s="159">
        <f t="shared" si="33"/>
        <v>3.630462384482839</v>
      </c>
      <c r="BJ5" s="159">
        <f t="shared" si="34"/>
        <v>3.384751638211974</v>
      </c>
      <c r="BK5" s="159">
        <f t="shared" si="35"/>
        <v>7.995019772871216</v>
      </c>
      <c r="BL5" s="159">
        <f t="shared" si="36"/>
        <v>0.54065418684257938</v>
      </c>
      <c r="BM5" s="159">
        <f t="shared" si="37"/>
        <v>2.4753152621473902</v>
      </c>
      <c r="BN5" s="159">
        <f t="shared" si="38"/>
        <v>0.93511909903345858</v>
      </c>
      <c r="BO5" s="159">
        <f t="shared" si="39"/>
        <v>2.709578083083076</v>
      </c>
      <c r="BP5" s="159">
        <f t="shared" si="40"/>
        <v>11.748016150675241</v>
      </c>
      <c r="BQ5" s="159">
        <f t="shared" si="41"/>
        <v>1.4036214466105428</v>
      </c>
      <c r="BR5" s="159">
        <f t="shared" si="42"/>
        <v>3.9054974136103264</v>
      </c>
      <c r="BS5" s="159">
        <f t="shared" si="43"/>
        <v>3.3554273553553511</v>
      </c>
      <c r="BT5" s="159">
        <f t="shared" si="44"/>
        <v>4.0421574682059003</v>
      </c>
      <c r="BU5" s="159">
        <f t="shared" si="45"/>
        <v>10.118013058107268</v>
      </c>
      <c r="BV5" s="159">
        <f t="shared" si="46"/>
        <v>1.258060703999079</v>
      </c>
      <c r="BW5" s="159">
        <f t="shared" si="47"/>
        <v>3.9054974136103264</v>
      </c>
      <c r="BX5" s="159">
        <f t="shared" si="48"/>
        <v>3.3554273553553511</v>
      </c>
      <c r="BY5" s="159">
        <f t="shared" si="49"/>
        <v>5.6057172800833479</v>
      </c>
      <c r="BZ5" s="159">
        <f t="shared" si="50"/>
        <v>8.1663003312328559</v>
      </c>
      <c r="CA5" s="159">
        <f t="shared" si="51"/>
        <v>1.5387849933211875</v>
      </c>
      <c r="CB5" s="159">
        <f t="shared" si="52"/>
        <v>3.6068482023991115</v>
      </c>
      <c r="CC5" s="159">
        <f t="shared" si="53"/>
        <v>4.7591496198821677</v>
      </c>
      <c r="CD5" s="159">
        <f t="shared" si="54"/>
        <v>9.7603464732108947</v>
      </c>
      <c r="CE5" s="159">
        <f t="shared" si="68"/>
        <v>4.7591496198821677</v>
      </c>
      <c r="CF5" s="159">
        <f t="shared" si="55"/>
        <v>5.1205636017656886</v>
      </c>
      <c r="CG5" s="159">
        <f t="shared" si="56"/>
        <v>10.894316743776537</v>
      </c>
      <c r="CH5" s="159">
        <f t="shared" si="69"/>
        <v>5.1205636017656886</v>
      </c>
      <c r="CI5" s="159">
        <f t="shared" si="70"/>
        <v>2.2209656418713739</v>
      </c>
    </row>
    <row r="6" spans="1:87" x14ac:dyDescent="0.25">
      <c r="A6" t="str">
        <f>PLANTILLA!D9</f>
        <v>E. Toney</v>
      </c>
      <c r="B6" t="s">
        <v>855</v>
      </c>
      <c r="C6" s="633">
        <f>PLANTILLA!E9</f>
        <v>31</v>
      </c>
      <c r="D6" s="633">
        <f ca="1">PLANTILLA!F9</f>
        <v>57</v>
      </c>
      <c r="E6" s="633"/>
      <c r="F6" s="290">
        <v>41539</v>
      </c>
      <c r="G6" s="497">
        <v>1.5</v>
      </c>
      <c r="H6" s="498">
        <f>PLANTILLA!I9</f>
        <v>12.4</v>
      </c>
      <c r="I6" s="341"/>
      <c r="J6" s="163">
        <f>PLANTILLA!X9</f>
        <v>0</v>
      </c>
      <c r="K6" s="163">
        <f>PLANTILLA!Y9</f>
        <v>12.200000000000005</v>
      </c>
      <c r="L6" s="163">
        <f>PLANTILLA!Z9</f>
        <v>13.226555555555553</v>
      </c>
      <c r="M6" s="163">
        <f>PLANTILLA!AA9</f>
        <v>9.8750000000000053</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3.8518993703137041</v>
      </c>
      <c r="AC6" s="159">
        <f t="shared" si="6"/>
        <v>5.7296845293217684</v>
      </c>
      <c r="AD6" s="159">
        <f t="shared" si="7"/>
        <v>10.959158504496397</v>
      </c>
      <c r="AE6" s="159">
        <f t="shared" si="63"/>
        <v>2.8648422646608842</v>
      </c>
      <c r="AF6" s="159">
        <f t="shared" si="8"/>
        <v>6.2310136872721689</v>
      </c>
      <c r="AG6" s="357">
        <f t="shared" si="9"/>
        <v>13.945263933799012</v>
      </c>
      <c r="AH6" s="159">
        <f t="shared" si="10"/>
        <v>6.2753687702095551</v>
      </c>
      <c r="AI6" s="159">
        <f t="shared" si="11"/>
        <v>2.7028033396739017</v>
      </c>
      <c r="AJ6" s="357">
        <f t="shared" si="12"/>
        <v>7.5457426011671949</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15.27812187216864</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16.184451135771866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14.258501450615015</v>
      </c>
      <c r="BF6" s="159">
        <f t="shared" si="30"/>
        <v>11.321819170812304</v>
      </c>
      <c r="BG6" s="159">
        <f t="shared" si="31"/>
        <v>3.0264528348321313</v>
      </c>
      <c r="BH6" s="159">
        <f t="shared" si="32"/>
        <v>7.3515793564049137</v>
      </c>
      <c r="BI6" s="159">
        <f t="shared" si="33"/>
        <v>4.0016844331771084</v>
      </c>
      <c r="BJ6" s="159">
        <f t="shared" si="34"/>
        <v>6.1662758827290807</v>
      </c>
      <c r="BK6" s="159">
        <f t="shared" si="35"/>
        <v>11.160675737109061</v>
      </c>
      <c r="BL6" s="159">
        <f t="shared" si="36"/>
        <v>0.65301057017124819</v>
      </c>
      <c r="BM6" s="159">
        <f t="shared" si="37"/>
        <v>2.7284212044389369</v>
      </c>
      <c r="BN6" s="159">
        <f t="shared" si="38"/>
        <v>1.0307368994547097</v>
      </c>
      <c r="BO6" s="159">
        <f t="shared" si="39"/>
        <v>4.9362575964104192</v>
      </c>
      <c r="BP6" s="159">
        <f t="shared" si="40"/>
        <v>16.424453716158183</v>
      </c>
      <c r="BQ6" s="159">
        <f t="shared" si="41"/>
        <v>1.6953159033292022</v>
      </c>
      <c r="BR6" s="159">
        <f t="shared" si="42"/>
        <v>4.3048423447814335</v>
      </c>
      <c r="BS6" s="159">
        <f t="shared" si="43"/>
        <v>3.6985265215727816</v>
      </c>
      <c r="BT6" s="159">
        <f t="shared" si="44"/>
        <v>7.3639252667761994</v>
      </c>
      <c r="BU6" s="159">
        <f t="shared" si="45"/>
        <v>14.151748302879678</v>
      </c>
      <c r="BV6" s="159">
        <f t="shared" si="46"/>
        <v>1.5195053652061739</v>
      </c>
      <c r="BW6" s="159">
        <f t="shared" si="47"/>
        <v>4.3048423447814335</v>
      </c>
      <c r="BX6" s="159">
        <f t="shared" si="48"/>
        <v>3.6985265215727816</v>
      </c>
      <c r="BY6" s="159">
        <f t="shared" si="49"/>
        <v>10.212388666672048</v>
      </c>
      <c r="BZ6" s="159">
        <f t="shared" si="50"/>
        <v>11.432366544293602</v>
      </c>
      <c r="CA6" s="159">
        <f t="shared" si="51"/>
        <v>1.8585685458720143</v>
      </c>
      <c r="CB6" s="159">
        <f t="shared" si="52"/>
        <v>6.5708871611233777</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4.0461127839429665</v>
      </c>
    </row>
    <row r="7" spans="1:87" x14ac:dyDescent="0.25">
      <c r="A7" t="str">
        <f>PLANTILLA!D10</f>
        <v>B. Bartolache</v>
      </c>
      <c r="B7" t="s">
        <v>855</v>
      </c>
      <c r="C7" s="633">
        <f>PLANTILLA!E10</f>
        <v>31</v>
      </c>
      <c r="D7" s="633">
        <f ca="1">PLANTILLA!F10</f>
        <v>42</v>
      </c>
      <c r="E7" s="633"/>
      <c r="F7" s="290">
        <v>41527</v>
      </c>
      <c r="G7" s="497">
        <v>1.5</v>
      </c>
      <c r="H7" s="498">
        <f>PLANTILLA!I10</f>
        <v>9.5</v>
      </c>
      <c r="I7" s="341"/>
      <c r="J7" s="163">
        <f>PLANTILLA!X10</f>
        <v>0</v>
      </c>
      <c r="K7" s="163">
        <f>PLANTILLA!Y10</f>
        <v>11.999999999999996</v>
      </c>
      <c r="L7" s="163">
        <f>PLANTILLA!Z10</f>
        <v>7.012500000000002</v>
      </c>
      <c r="M7" s="163">
        <f>PLANTILLA!AA10</f>
        <v>7.5000000000000018</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2.3362392907449947</v>
      </c>
      <c r="AC7" s="159">
        <f t="shared" si="6"/>
        <v>5.5957726970655779</v>
      </c>
      <c r="AD7" s="159">
        <f t="shared" si="7"/>
        <v>10.703025555498446</v>
      </c>
      <c r="AE7" s="159">
        <f t="shared" si="63"/>
        <v>2.7978863485327889</v>
      </c>
      <c r="AF7" s="159">
        <f t="shared" si="8"/>
        <v>3.7792106173816093</v>
      </c>
      <c r="AG7" s="357">
        <f t="shared" si="9"/>
        <v>13.619340955820983</v>
      </c>
      <c r="AH7" s="159">
        <f t="shared" si="10"/>
        <v>6.1287034301194421</v>
      </c>
      <c r="AI7" s="159">
        <f t="shared" si="11"/>
        <v>1.6392939561109838</v>
      </c>
      <c r="AJ7" s="357">
        <f t="shared" si="12"/>
        <v>6.0585353065464567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9.2664281111902316</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9.8161314737184657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8.6480118283459682</v>
      </c>
      <c r="BF7" s="159">
        <f t="shared" si="30"/>
        <v>9.6387283801357135</v>
      </c>
      <c r="BG7" s="159">
        <f t="shared" si="31"/>
        <v>2.8494951851661487</v>
      </c>
      <c r="BH7" s="159">
        <f t="shared" si="32"/>
        <v>7.179761264753453</v>
      </c>
      <c r="BI7" s="159">
        <f t="shared" si="33"/>
        <v>3.9081587090616736</v>
      </c>
      <c r="BJ7" s="159">
        <f t="shared" si="34"/>
        <v>3.7399460914867353</v>
      </c>
      <c r="BK7" s="159">
        <f t="shared" si="35"/>
        <v>9.3108939080299375</v>
      </c>
      <c r="BL7" s="159">
        <f t="shared" si="36"/>
        <v>0.61482883663335997</v>
      </c>
      <c r="BM7" s="159">
        <f t="shared" si="37"/>
        <v>2.6646536652693227</v>
      </c>
      <c r="BN7" s="159">
        <f t="shared" si="38"/>
        <v>1.0066469402128553</v>
      </c>
      <c r="BO7" s="159">
        <f t="shared" si="39"/>
        <v>2.9939200994841322</v>
      </c>
      <c r="BP7" s="159">
        <f t="shared" si="40"/>
        <v>13.685190075201945</v>
      </c>
      <c r="BQ7" s="159">
        <f t="shared" si="41"/>
        <v>1.5961902489519924</v>
      </c>
      <c r="BR7" s="159">
        <f t="shared" si="42"/>
        <v>4.2042313385360419</v>
      </c>
      <c r="BS7" s="159">
        <f t="shared" si="43"/>
        <v>3.612086079587304</v>
      </c>
      <c r="BT7" s="159">
        <f t="shared" si="44"/>
        <v>4.4663398205419025</v>
      </c>
      <c r="BU7" s="159">
        <f t="shared" si="45"/>
        <v>11.787303672880057</v>
      </c>
      <c r="BV7" s="159">
        <f t="shared" si="46"/>
        <v>1.4306594083199338</v>
      </c>
      <c r="BW7" s="159">
        <f t="shared" si="47"/>
        <v>4.2042313385360419</v>
      </c>
      <c r="BX7" s="159">
        <f t="shared" si="48"/>
        <v>3.612086079587304</v>
      </c>
      <c r="BY7" s="159">
        <f t="shared" si="49"/>
        <v>6.1939789599163522</v>
      </c>
      <c r="BZ7" s="159">
        <f t="shared" si="50"/>
        <v>9.5151101689780244</v>
      </c>
      <c r="CA7" s="159">
        <f t="shared" si="51"/>
        <v>1.7498974581103321</v>
      </c>
      <c r="CB7" s="159">
        <f t="shared" si="52"/>
        <v>3.9853493783296972</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2.4540328684296164</v>
      </c>
    </row>
    <row r="8" spans="1:87" x14ac:dyDescent="0.25">
      <c r="A8" t="str">
        <f>PLANTILLA!D11</f>
        <v>F. Lasprilla</v>
      </c>
      <c r="B8" t="s">
        <v>855</v>
      </c>
      <c r="C8" s="633">
        <f>PLANTILLA!E11</f>
        <v>27</v>
      </c>
      <c r="D8" s="633">
        <f ca="1">PLANTILLA!F11</f>
        <v>65</v>
      </c>
      <c r="E8" s="633"/>
      <c r="F8" s="290">
        <v>42106</v>
      </c>
      <c r="G8" s="497">
        <v>1.5</v>
      </c>
      <c r="H8" s="498">
        <f>PLANTILLA!I11</f>
        <v>4.9000000000000004</v>
      </c>
      <c r="I8" s="341"/>
      <c r="J8" s="163">
        <f>PLANTILLA!X11</f>
        <v>0</v>
      </c>
      <c r="K8" s="163">
        <f>PLANTILLA!Y11</f>
        <v>9.6046666666666667</v>
      </c>
      <c r="L8" s="163">
        <f>PLANTILLA!Z11</f>
        <v>7.7507222222222225</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8.4794024201937965</v>
      </c>
      <c r="BG8" s="159">
        <f t="shared" si="31"/>
        <v>2.7193463403824953</v>
      </c>
      <c r="BH8" s="159">
        <f t="shared" si="32"/>
        <v>5.8320901317517722</v>
      </c>
      <c r="BI8" s="159">
        <f t="shared" si="33"/>
        <v>3.1745810201700371</v>
      </c>
      <c r="BJ8" s="159">
        <f t="shared" si="34"/>
        <v>3.8751447753211519</v>
      </c>
      <c r="BK8" s="159">
        <f t="shared" si="35"/>
        <v>8.0425184985932265</v>
      </c>
      <c r="BL8" s="159">
        <f t="shared" si="36"/>
        <v>0.58674692821531016</v>
      </c>
      <c r="BM8" s="159">
        <f t="shared" si="37"/>
        <v>2.1644870592068433</v>
      </c>
      <c r="BN8" s="159">
        <f t="shared" si="38"/>
        <v>0.81769511125591865</v>
      </c>
      <c r="BO8" s="159">
        <f t="shared" si="39"/>
        <v>3.1021500169893734</v>
      </c>
      <c r="BP8" s="159">
        <f t="shared" si="40"/>
        <v>11.807369545222222</v>
      </c>
      <c r="BQ8" s="159">
        <f t="shared" si="41"/>
        <v>1.5232852944051323</v>
      </c>
      <c r="BR8" s="159">
        <f t="shared" si="42"/>
        <v>3.4150795823041302</v>
      </c>
      <c r="BS8" s="159">
        <f t="shared" si="43"/>
        <v>2.934082458035943</v>
      </c>
      <c r="BT8" s="159">
        <f t="shared" si="44"/>
        <v>4.6277975663284101</v>
      </c>
      <c r="BU8" s="159">
        <f t="shared" si="45"/>
        <v>10.166543008895456</v>
      </c>
      <c r="BV8" s="159">
        <f t="shared" si="46"/>
        <v>1.3653149675779332</v>
      </c>
      <c r="BW8" s="159">
        <f t="shared" si="47"/>
        <v>3.4150795823041302</v>
      </c>
      <c r="BX8" s="159">
        <f t="shared" si="48"/>
        <v>2.934082458035943</v>
      </c>
      <c r="BY8" s="159">
        <f t="shared" si="49"/>
        <v>6.4178906908862121</v>
      </c>
      <c r="BZ8" s="159">
        <f t="shared" si="50"/>
        <v>8.2010773221673574</v>
      </c>
      <c r="CA8" s="159">
        <f t="shared" si="51"/>
        <v>1.6699720264589597</v>
      </c>
      <c r="CB8" s="159">
        <f t="shared" si="52"/>
        <v>4.1294193668776584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2.5427459155650602</v>
      </c>
    </row>
    <row r="9" spans="1:87" x14ac:dyDescent="0.25">
      <c r="A9" t="str">
        <f>PLANTILLA!D7</f>
        <v>B. Pinczehelyi</v>
      </c>
      <c r="C9" s="633">
        <f>PLANTILLA!E7</f>
        <v>30</v>
      </c>
      <c r="D9" s="633">
        <f ca="1">PLANTILLA!F7</f>
        <v>58</v>
      </c>
      <c r="E9" s="633" t="str">
        <f>PLANTILLA!G7</f>
        <v>CAB</v>
      </c>
      <c r="F9" s="290">
        <v>41400</v>
      </c>
      <c r="G9" s="497">
        <v>1</v>
      </c>
      <c r="H9" s="498">
        <f>PLANTILLA!I7</f>
        <v>14.4</v>
      </c>
      <c r="I9" s="341"/>
      <c r="J9" s="163">
        <f>PLANTILLA!X7</f>
        <v>0</v>
      </c>
      <c r="K9" s="163">
        <f>PLANTILLA!Y7</f>
        <v>14.300000000000004</v>
      </c>
      <c r="L9" s="163">
        <f>PLANTILLA!Z7</f>
        <v>9.3693333333333353</v>
      </c>
      <c r="M9" s="163">
        <f>PLANTILLA!AA7</f>
        <v>14.333333333333329</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2.8354883641582265</v>
      </c>
      <c r="AC9" s="159">
        <f t="shared" si="6"/>
        <v>6.3672146960160081</v>
      </c>
      <c r="AD9" s="159">
        <f t="shared" si="7"/>
        <v>12.178561442379824</v>
      </c>
      <c r="AE9" s="159">
        <f>AC9/2</f>
        <v>3.183607348008004</v>
      </c>
      <c r="AF9" s="159">
        <f t="shared" si="8"/>
        <v>4.5868194126088957</v>
      </c>
      <c r="AG9" s="357">
        <f t="shared" si="9"/>
        <v>15.496924656970178</v>
      </c>
      <c r="AH9" s="159">
        <f t="shared" si="10"/>
        <v>6.9736160956365794</v>
      </c>
      <c r="AI9" s="159">
        <f t="shared" si="11"/>
        <v>1.9896073815732096</v>
      </c>
      <c r="AJ9" s="357">
        <f t="shared" si="12"/>
        <v>9.9241561938026734</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11.24664292338389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11.913816656127002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10.496072474047889</v>
      </c>
      <c r="BF9" s="159">
        <f t="shared" si="30"/>
        <v>13.4566790072969</v>
      </c>
      <c r="BG9" s="159">
        <f t="shared" si="31"/>
        <v>2.883440480793273</v>
      </c>
      <c r="BH9" s="159">
        <f t="shared" si="32"/>
        <v>8.1695744115549296</v>
      </c>
      <c r="BI9" s="159">
        <f t="shared" si="33"/>
        <v>4.4469435972175297</v>
      </c>
      <c r="BJ9" s="159">
        <f t="shared" si="34"/>
        <v>4.5391641459843877</v>
      </c>
      <c r="BK9" s="159">
        <f t="shared" si="35"/>
        <v>13.763631757454995</v>
      </c>
      <c r="BL9" s="159">
        <f t="shared" si="36"/>
        <v>0.62215313278527051</v>
      </c>
      <c r="BM9" s="159">
        <f t="shared" si="37"/>
        <v>3.0320069981028608</v>
      </c>
      <c r="BN9" s="159">
        <f t="shared" si="38"/>
        <v>1.1454248659499697</v>
      </c>
      <c r="BO9" s="159">
        <f t="shared" si="39"/>
        <v>3.6337140801187355</v>
      </c>
      <c r="BP9" s="159">
        <f t="shared" si="40"/>
        <v>20.299658886445982</v>
      </c>
      <c r="BQ9" s="159">
        <f t="shared" si="41"/>
        <v>1.6152052485771449</v>
      </c>
      <c r="BR9" s="159">
        <f t="shared" si="42"/>
        <v>4.7838332636734018</v>
      </c>
      <c r="BS9" s="159">
        <f t="shared" si="43"/>
        <v>4.1100539307616559</v>
      </c>
      <c r="BT9" s="159">
        <f t="shared" si="44"/>
        <v>5.4207865785377862</v>
      </c>
      <c r="BU9" s="159">
        <f t="shared" si="45"/>
        <v>17.501767521655378</v>
      </c>
      <c r="BV9" s="159">
        <f t="shared" si="46"/>
        <v>1.4477024820580335</v>
      </c>
      <c r="BW9" s="159">
        <f t="shared" si="47"/>
        <v>4.7838332636734018</v>
      </c>
      <c r="BX9" s="159">
        <f t="shared" si="48"/>
        <v>4.1100539307616559</v>
      </c>
      <c r="BY9" s="159">
        <f t="shared" si="49"/>
        <v>7.5176183100161387</v>
      </c>
      <c r="BZ9" s="159">
        <f t="shared" si="50"/>
        <v>14.157372573900327</v>
      </c>
      <c r="CA9" s="159">
        <f t="shared" si="51"/>
        <v>1.7707435317734623</v>
      </c>
      <c r="CB9" s="159">
        <f t="shared" si="52"/>
        <v>4.8370095623875633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2.9784541640317506</v>
      </c>
    </row>
    <row r="10" spans="1:87" x14ac:dyDescent="0.25">
      <c r="A10" t="str">
        <f>PLANTILLA!D12</f>
        <v>E. Romweber</v>
      </c>
      <c r="B10" t="s">
        <v>855</v>
      </c>
      <c r="C10" s="633">
        <f>PLANTILLA!E12</f>
        <v>31</v>
      </c>
      <c r="D10" s="633">
        <f ca="1">PLANTILLA!F12</f>
        <v>19</v>
      </c>
      <c r="E10" s="633" t="str">
        <f>PLANTILLA!G12</f>
        <v>IMP</v>
      </c>
      <c r="F10" s="290">
        <v>41583</v>
      </c>
      <c r="G10" s="497">
        <v>1.5</v>
      </c>
      <c r="H10" s="498">
        <f>PLANTILLA!I12</f>
        <v>12.6</v>
      </c>
      <c r="I10" s="341"/>
      <c r="J10" s="163">
        <f>PLANTILLA!X12</f>
        <v>0</v>
      </c>
      <c r="K10" s="163">
        <f>PLANTILLA!Y12</f>
        <v>12.06111111111111</v>
      </c>
      <c r="L10" s="163">
        <f>PLANTILLA!Z12</f>
        <v>12.579111111111114</v>
      </c>
      <c r="M10" s="163">
        <f>PLANTILLA!AA12</f>
        <v>13.216666666666669</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3.7000126974284182</v>
      </c>
      <c r="AC10" s="159">
        <f t="shared" si="6"/>
        <v>5.6806867547392512</v>
      </c>
      <c r="AD10" s="159">
        <f t="shared" si="7"/>
        <v>10.865440538826663</v>
      </c>
      <c r="AE10" s="159">
        <f t="shared" si="63"/>
        <v>2.8403433773696256</v>
      </c>
      <c r="AF10" s="159">
        <f t="shared" si="8"/>
        <v>5.9853146576047944</v>
      </c>
      <c r="AG10" s="357">
        <f t="shared" si="9"/>
        <v>13.826010090899766</v>
      </c>
      <c r="AH10" s="159">
        <f t="shared" si="10"/>
        <v>6.2217045409048941</v>
      </c>
      <c r="AI10" s="159">
        <f t="shared" si="11"/>
        <v>2.5962273969350669</v>
      </c>
      <c r="AJ10" s="357">
        <f t="shared" si="12"/>
        <v>9.5160905073721693</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14.675680615010197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15.546271837934531</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13.696265489220321</v>
      </c>
      <c r="BF10" s="159">
        <f t="shared" si="30"/>
        <v>13.660822552812682</v>
      </c>
      <c r="BG10" s="159">
        <f t="shared" si="31"/>
        <v>3.3443957351644436</v>
      </c>
      <c r="BH10" s="159">
        <f t="shared" si="32"/>
        <v>7.2887118413982455</v>
      </c>
      <c r="BI10" s="159">
        <f t="shared" si="33"/>
        <v>3.9674637652147156</v>
      </c>
      <c r="BJ10" s="159">
        <f t="shared" si="34"/>
        <v>5.9231295702530566</v>
      </c>
      <c r="BK10" s="159">
        <f t="shared" si="35"/>
        <v>13.681025141910334</v>
      </c>
      <c r="BL10" s="159">
        <f t="shared" si="36"/>
        <v>0.72161235779481769</v>
      </c>
      <c r="BM10" s="159">
        <f t="shared" si="37"/>
        <v>2.7050889308282149</v>
      </c>
      <c r="BN10" s="159">
        <f t="shared" si="38"/>
        <v>1.0219224849795479</v>
      </c>
      <c r="BO10" s="159">
        <f t="shared" si="39"/>
        <v>4.7416129105700318</v>
      </c>
      <c r="BP10" s="159">
        <f t="shared" si="40"/>
        <v>20.15269536136158</v>
      </c>
      <c r="BQ10" s="159">
        <f t="shared" si="41"/>
        <v>1.8734166981211615</v>
      </c>
      <c r="BR10" s="159">
        <f t="shared" si="42"/>
        <v>4.2680292019734054</v>
      </c>
      <c r="BS10" s="159">
        <f t="shared" si="43"/>
        <v>3.6668983284560244</v>
      </c>
      <c r="BT10" s="159">
        <f t="shared" si="44"/>
        <v>7.0735536862602117</v>
      </c>
      <c r="BU10" s="159">
        <f t="shared" si="45"/>
        <v>17.368854085320347</v>
      </c>
      <c r="BV10" s="159">
        <f t="shared" si="46"/>
        <v>1.6791364479456334</v>
      </c>
      <c r="BW10" s="159">
        <f t="shared" si="47"/>
        <v>4.2680292019734054</v>
      </c>
      <c r="BX10" s="159">
        <f t="shared" si="48"/>
        <v>3.6668983284560244</v>
      </c>
      <c r="BY10" s="159">
        <f t="shared" si="49"/>
        <v>9.80969752973669</v>
      </c>
      <c r="BZ10" s="159">
        <f t="shared" si="50"/>
        <v>14.039338850506958</v>
      </c>
      <c r="CA10" s="159">
        <f t="shared" si="51"/>
        <v>2.0538197875698656</v>
      </c>
      <c r="CB10" s="159">
        <f t="shared" si="52"/>
        <v>6.31178636620142</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3.8865679594836329</v>
      </c>
    </row>
    <row r="11" spans="1:87" x14ac:dyDescent="0.25">
      <c r="A11" t="str">
        <f>PLANTILLA!D13</f>
        <v>K. Helms</v>
      </c>
      <c r="B11" t="s">
        <v>855</v>
      </c>
      <c r="C11" s="633">
        <f>PLANTILLA!E13</f>
        <v>30</v>
      </c>
      <c r="D11" s="633">
        <f ca="1">PLANTILLA!F13</f>
        <v>78</v>
      </c>
      <c r="E11" s="633" t="str">
        <f>PLANTILLA!G13</f>
        <v>TEC</v>
      </c>
      <c r="F11" s="290">
        <v>41722</v>
      </c>
      <c r="G11" s="497">
        <v>1.5</v>
      </c>
      <c r="H11" s="498">
        <f>PLANTILLA!I13</f>
        <v>10.4</v>
      </c>
      <c r="I11" s="341"/>
      <c r="J11" s="163">
        <f>PLANTILLA!X13</f>
        <v>0</v>
      </c>
      <c r="K11" s="163">
        <f>PLANTILLA!Y13</f>
        <v>7.2503030303030309</v>
      </c>
      <c r="L11" s="163">
        <f>PLANTILLA!Z13</f>
        <v>10.550000000000004</v>
      </c>
      <c r="M11" s="163">
        <f>PLANTILLA!AA13</f>
        <v>13.471666666666668</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3.1906385796708139</v>
      </c>
      <c r="AC11" s="159">
        <f t="shared" si="6"/>
        <v>3.8201993484611307</v>
      </c>
      <c r="AD11" s="159">
        <f t="shared" si="7"/>
        <v>7.3068892299931143</v>
      </c>
      <c r="AE11" s="159">
        <f t="shared" si="63"/>
        <v>1.9100996742305654</v>
      </c>
      <c r="AF11" s="159">
        <f t="shared" si="8"/>
        <v>5.1613271141733756</v>
      </c>
      <c r="AG11" s="357">
        <f t="shared" si="9"/>
        <v>9.2978396840852913</v>
      </c>
      <c r="AH11" s="159">
        <f t="shared" si="10"/>
        <v>4.1840278578383812</v>
      </c>
      <c r="AI11" s="159">
        <f t="shared" si="11"/>
        <v>2.2388094235505291</v>
      </c>
      <c r="AJ11" s="357">
        <f t="shared" si="12"/>
        <v>9.600694138010244</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12.655305963064068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13.406044452398378</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11.810725162562971</v>
      </c>
      <c r="BF11" s="159">
        <f t="shared" si="30"/>
        <v>13.53516018484882</v>
      </c>
      <c r="BG11" s="159">
        <f t="shared" si="31"/>
        <v>3.1850667130280073</v>
      </c>
      <c r="BH11" s="159">
        <f t="shared" si="32"/>
        <v>4.9015785291101803</v>
      </c>
      <c r="BI11" s="159">
        <f t="shared" si="33"/>
        <v>2.6680757354331708</v>
      </c>
      <c r="BJ11" s="159">
        <f t="shared" si="34"/>
        <v>5.1077029363637818</v>
      </c>
      <c r="BK11" s="159">
        <f t="shared" si="35"/>
        <v>13.644974518062847</v>
      </c>
      <c r="BL11" s="159">
        <f t="shared" si="36"/>
        <v>0.68723431152471526</v>
      </c>
      <c r="BM11" s="159">
        <f t="shared" si="37"/>
        <v>1.8191425468862525</v>
      </c>
      <c r="BN11" s="159">
        <f t="shared" si="38"/>
        <v>0.68723162882369548</v>
      </c>
      <c r="BO11" s="159">
        <f t="shared" si="39"/>
        <v>4.0888435579815052</v>
      </c>
      <c r="BP11" s="159">
        <f t="shared" si="40"/>
        <v>20.107499832450976</v>
      </c>
      <c r="BQ11" s="159">
        <f t="shared" si="41"/>
        <v>1.7841660010737803</v>
      </c>
      <c r="BR11" s="159">
        <f t="shared" si="42"/>
        <v>2.8702026850871984</v>
      </c>
      <c r="BS11" s="159">
        <f t="shared" si="43"/>
        <v>2.4659487857791427</v>
      </c>
      <c r="BT11" s="159">
        <f t="shared" si="44"/>
        <v>6.0997502258412624</v>
      </c>
      <c r="BU11" s="159">
        <f t="shared" si="45"/>
        <v>17.3318572532574</v>
      </c>
      <c r="BV11" s="159">
        <f t="shared" si="46"/>
        <v>1.5991413787402029</v>
      </c>
      <c r="BW11" s="159">
        <f t="shared" si="47"/>
        <v>2.8702026850871984</v>
      </c>
      <c r="BX11" s="159">
        <f t="shared" si="48"/>
        <v>2.4659487857791427</v>
      </c>
      <c r="BY11" s="159">
        <f t="shared" si="49"/>
        <v>8.4592140494633767</v>
      </c>
      <c r="BZ11" s="159">
        <f t="shared" si="50"/>
        <v>14.012749784896545</v>
      </c>
      <c r="CA11" s="159">
        <f t="shared" si="51"/>
        <v>1.955974578954959</v>
      </c>
      <c r="CB11" s="159">
        <f t="shared" si="52"/>
        <v>5.4428540476737419</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3.3515111130995945</v>
      </c>
    </row>
    <row r="12" spans="1:87" x14ac:dyDescent="0.25">
      <c r="A12" t="str">
        <f>PLANTILLA!D14</f>
        <v>S. Zobbe</v>
      </c>
      <c r="B12" t="s">
        <v>855</v>
      </c>
      <c r="C12" s="633">
        <f>PLANTILLA!E14</f>
        <v>27</v>
      </c>
      <c r="D12" s="633">
        <f ca="1">PLANTILLA!F14</f>
        <v>93</v>
      </c>
      <c r="E12" s="633" t="str">
        <f>PLANTILLA!G14</f>
        <v>CAB</v>
      </c>
      <c r="F12" s="290">
        <v>41911</v>
      </c>
      <c r="G12" s="497">
        <v>1.5</v>
      </c>
      <c r="H12" s="498">
        <f>PLANTILLA!I14</f>
        <v>9</v>
      </c>
      <c r="I12" s="341"/>
      <c r="J12" s="163">
        <f>PLANTILLA!X14</f>
        <v>0</v>
      </c>
      <c r="K12" s="163">
        <f>PLANTILLA!Y14</f>
        <v>8.3599999999999977</v>
      </c>
      <c r="L12" s="163">
        <f>PLANTILLA!Z14</f>
        <v>12.208412698412699</v>
      </c>
      <c r="M12" s="163">
        <f>PLANTILLA!AA14</f>
        <v>12.36</v>
      </c>
      <c r="N12" s="163">
        <f>PLANTILLA!AB14</f>
        <v>10.24</v>
      </c>
      <c r="O12" s="163">
        <f>PLANTILLA!AC14</f>
        <v>7.4766666666666666</v>
      </c>
      <c r="P12" s="163">
        <f>PLANTILLA!AD14</f>
        <v>15.270000000000001</v>
      </c>
      <c r="Q12" s="163">
        <f t="shared" si="57"/>
        <v>3.9799999999999995</v>
      </c>
      <c r="R12" s="163">
        <f t="shared" si="58"/>
        <v>19.336601261147877</v>
      </c>
      <c r="S12" s="163">
        <f t="shared" si="59"/>
        <v>0.8319333333333333</v>
      </c>
      <c r="T12" s="163">
        <f t="shared" si="60"/>
        <v>0.79249999999999998</v>
      </c>
      <c r="U12" s="163">
        <f t="shared" ca="1" si="0"/>
        <v>17.542323345919105</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3.565415178550968</v>
      </c>
      <c r="AC12" s="159">
        <f t="shared" si="6"/>
        <v>4.2080182247574189</v>
      </c>
      <c r="AD12" s="159">
        <f t="shared" si="7"/>
        <v>8.048669779099507</v>
      </c>
      <c r="AE12" s="159">
        <f t="shared" si="63"/>
        <v>2.1040091123787095</v>
      </c>
      <c r="AF12" s="159">
        <f t="shared" si="8"/>
        <v>5.7675833770677425</v>
      </c>
      <c r="AG12" s="357">
        <f t="shared" si="9"/>
        <v>10.24173747824557</v>
      </c>
      <c r="AH12" s="159">
        <f t="shared" si="10"/>
        <v>4.6087818652105064</v>
      </c>
      <c r="AI12" s="159">
        <f t="shared" si="11"/>
        <v>2.5017829194034107</v>
      </c>
      <c r="AJ12" s="357">
        <f t="shared" si="12"/>
        <v>8.897806127400429</v>
      </c>
      <c r="AK12" s="159">
        <f t="shared" si="13"/>
        <v>8.3937718028230002</v>
      </c>
      <c r="AL12" s="159">
        <f t="shared" si="14"/>
        <v>7.8816849289107207</v>
      </c>
      <c r="AM12" s="159">
        <f t="shared" si="15"/>
        <v>3.0130679987684905</v>
      </c>
      <c r="AN12" s="159">
        <f t="shared" si="16"/>
        <v>1.9446691236247005</v>
      </c>
      <c r="AO12" s="159">
        <f t="shared" si="17"/>
        <v>3.0057273033981566</v>
      </c>
      <c r="AP12" s="159">
        <f t="shared" si="18"/>
        <v>6.6126000674759435</v>
      </c>
      <c r="AQ12" s="159">
        <f t="shared" si="64"/>
        <v>1.5028636516990783</v>
      </c>
      <c r="AR12" s="159">
        <f t="shared" si="19"/>
        <v>14.141814825849217</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14.980736044331799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13.198028455056315</v>
      </c>
      <c r="BF12" s="159">
        <f t="shared" si="30"/>
        <v>12.784835454522078</v>
      </c>
      <c r="BG12" s="159">
        <f t="shared" si="31"/>
        <v>3.1359699263665028</v>
      </c>
      <c r="BH12" s="159">
        <f t="shared" si="32"/>
        <v>5.3991768227707624</v>
      </c>
      <c r="BI12" s="159">
        <f t="shared" si="33"/>
        <v>2.9389333633226418</v>
      </c>
      <c r="BJ12" s="159">
        <f t="shared" si="34"/>
        <v>5.7076604328904157</v>
      </c>
      <c r="BK12" s="159">
        <f t="shared" si="35"/>
        <v>12.799530604333293</v>
      </c>
      <c r="BL12" s="159">
        <f t="shared" si="36"/>
        <v>0.67664081398779319</v>
      </c>
      <c r="BM12" s="159">
        <f t="shared" si="37"/>
        <v>2.0038182022654376</v>
      </c>
      <c r="BN12" s="159">
        <f t="shared" si="38"/>
        <v>0.75699798752249869</v>
      </c>
      <c r="BO12" s="159">
        <f t="shared" si="39"/>
        <v>4.5691244935211985</v>
      </c>
      <c r="BP12" s="159">
        <f t="shared" si="40"/>
        <v>18.853847822851961</v>
      </c>
      <c r="BQ12" s="159">
        <f t="shared" si="41"/>
        <v>1.7566636516990786</v>
      </c>
      <c r="BR12" s="159">
        <f t="shared" si="42"/>
        <v>3.1615798302410232</v>
      </c>
      <c r="BS12" s="159">
        <f t="shared" si="43"/>
        <v>2.7162868964042599</v>
      </c>
      <c r="BT12" s="159">
        <f t="shared" si="44"/>
        <v>6.8162349001709686</v>
      </c>
      <c r="BU12" s="159">
        <f t="shared" si="45"/>
        <v>16.24933426727836</v>
      </c>
      <c r="BV12" s="159">
        <f t="shared" si="46"/>
        <v>1.574491124856211</v>
      </c>
      <c r="BW12" s="159">
        <f t="shared" si="47"/>
        <v>3.1615798302410232</v>
      </c>
      <c r="BX12" s="159">
        <f t="shared" si="48"/>
        <v>2.7162868964042599</v>
      </c>
      <c r="BY12" s="159">
        <f t="shared" si="49"/>
        <v>9.4528444439733654</v>
      </c>
      <c r="BZ12" s="159">
        <f t="shared" si="50"/>
        <v>13.134269394597593</v>
      </c>
      <c r="CA12" s="159">
        <f t="shared" si="51"/>
        <v>1.9258238551960267</v>
      </c>
      <c r="CB12" s="159">
        <f t="shared" si="52"/>
        <v>6.0821788339987108</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3.7451840110829497</v>
      </c>
    </row>
    <row r="13" spans="1:87" x14ac:dyDescent="0.25">
      <c r="A13" t="str">
        <f>PLANTILLA!D15</f>
        <v>S. Buschelman</v>
      </c>
      <c r="B13" t="s">
        <v>855</v>
      </c>
      <c r="C13" s="633">
        <f>PLANTILLA!E15</f>
        <v>29</v>
      </c>
      <c r="D13" s="633">
        <f ca="1">PLANTILLA!F15</f>
        <v>90</v>
      </c>
      <c r="E13" s="633" t="str">
        <f>PLANTILLA!G15</f>
        <v>TEC</v>
      </c>
      <c r="F13" s="290">
        <v>41747</v>
      </c>
      <c r="G13" s="497">
        <v>1.5</v>
      </c>
      <c r="H13" s="498">
        <f>PLANTILLA!I15</f>
        <v>10.8</v>
      </c>
      <c r="I13" s="341"/>
      <c r="J13" s="163">
        <f>PLANTILLA!X15</f>
        <v>0</v>
      </c>
      <c r="K13" s="163">
        <f>PLANTILLA!Y15</f>
        <v>9.3036666666666648</v>
      </c>
      <c r="L13" s="163">
        <f>PLANTILLA!Z15</f>
        <v>13.839999999999998</v>
      </c>
      <c r="M13" s="163">
        <f>PLANTILLA!AA15</f>
        <v>12.945</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3.9788598050745243</v>
      </c>
      <c r="AC13" s="159">
        <f t="shared" si="6"/>
        <v>4.6046315727654221</v>
      </c>
      <c r="AD13" s="159">
        <f t="shared" si="7"/>
        <v>8.8072715002894189</v>
      </c>
      <c r="AE13" s="159">
        <f t="shared" si="63"/>
        <v>2.3023157863827111</v>
      </c>
      <c r="AF13" s="159">
        <f t="shared" si="8"/>
        <v>6.4363908611499667</v>
      </c>
      <c r="AG13" s="357">
        <f t="shared" si="9"/>
        <v>11.207039806730657</v>
      </c>
      <c r="AH13" s="159">
        <f t="shared" si="10"/>
        <v>5.0431679130287952</v>
      </c>
      <c r="AI13" s="159">
        <f t="shared" si="11"/>
        <v>2.791889022888427</v>
      </c>
      <c r="AJ13" s="357">
        <f t="shared" si="12"/>
        <v>9.3038642243017691</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15.781696033572905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16.717898340649263</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14.728468438112001</v>
      </c>
      <c r="BF13" s="159">
        <f t="shared" si="30"/>
        <v>13.035981624837198</v>
      </c>
      <c r="BG13" s="159">
        <f t="shared" si="31"/>
        <v>3.0248468334298071</v>
      </c>
      <c r="BH13" s="159">
        <f t="shared" si="32"/>
        <v>5.9080590285482266</v>
      </c>
      <c r="BI13" s="159">
        <f t="shared" si="33"/>
        <v>3.2159331619314062</v>
      </c>
      <c r="BJ13" s="159">
        <f t="shared" si="34"/>
        <v>6.3695192677873695</v>
      </c>
      <c r="BK13" s="159">
        <f t="shared" si="35"/>
        <v>13.171608149727462</v>
      </c>
      <c r="BL13" s="159">
        <f t="shared" si="36"/>
        <v>0.65266404704709535</v>
      </c>
      <c r="BM13" s="159">
        <f t="shared" si="37"/>
        <v>2.1926817013168676</v>
      </c>
      <c r="BN13" s="159">
        <f t="shared" si="38"/>
        <v>0.82834642049748342</v>
      </c>
      <c r="BO13" s="159">
        <f t="shared" si="39"/>
        <v>5.0989589938980249</v>
      </c>
      <c r="BP13" s="159">
        <f t="shared" si="40"/>
        <v>19.412550599408291</v>
      </c>
      <c r="BQ13" s="159">
        <f t="shared" si="41"/>
        <v>1.6944162759876515</v>
      </c>
      <c r="BR13" s="159">
        <f t="shared" si="42"/>
        <v>3.4595644620777244</v>
      </c>
      <c r="BS13" s="159">
        <f t="shared" si="43"/>
        <v>2.9723018617850872</v>
      </c>
      <c r="BT13" s="159">
        <f t="shared" si="44"/>
        <v>7.6066437449954147</v>
      </c>
      <c r="BU13" s="159">
        <f t="shared" si="45"/>
        <v>16.73348469477272</v>
      </c>
      <c r="BV13" s="159">
        <f t="shared" si="46"/>
        <v>1.518699032551895</v>
      </c>
      <c r="BW13" s="159">
        <f t="shared" si="47"/>
        <v>3.4595644620777244</v>
      </c>
      <c r="BX13" s="159">
        <f t="shared" si="48"/>
        <v>2.9723018617850872</v>
      </c>
      <c r="BY13" s="159">
        <f t="shared" si="49"/>
        <v>10.548993852949685</v>
      </c>
      <c r="BZ13" s="159">
        <f t="shared" si="50"/>
        <v>13.530062348214427</v>
      </c>
      <c r="CA13" s="159">
        <f t="shared" si="51"/>
        <v>1.857582287749425</v>
      </c>
      <c r="CB13" s="159">
        <f t="shared" si="52"/>
        <v>6.7874667263036015</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4.1794745851623158</v>
      </c>
    </row>
    <row r="14" spans="1:87" x14ac:dyDescent="0.25">
      <c r="A14" t="str">
        <f>PLANTILLA!D16</f>
        <v>C. Rojas</v>
      </c>
      <c r="B14" t="s">
        <v>855</v>
      </c>
      <c r="C14" s="633">
        <f>PLANTILLA!E16</f>
        <v>32</v>
      </c>
      <c r="D14" s="633">
        <f ca="1">PLANTILLA!F16</f>
        <v>12</v>
      </c>
      <c r="E14" s="633" t="str">
        <f>PLANTILLA!G16</f>
        <v>TEC</v>
      </c>
      <c r="F14" s="290">
        <v>41653</v>
      </c>
      <c r="G14" s="497">
        <v>1.5</v>
      </c>
      <c r="H14" s="498">
        <f>PLANTILLA!I16</f>
        <v>11.3</v>
      </c>
      <c r="I14" s="341"/>
      <c r="J14" s="163">
        <f>PLANTILLA!X16</f>
        <v>0</v>
      </c>
      <c r="K14" s="163">
        <f>PLANTILLA!Y16</f>
        <v>8.6275555555555581</v>
      </c>
      <c r="L14" s="163">
        <f>PLANTILLA!Z16</f>
        <v>14.2856365079365</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4.0911583816209589</v>
      </c>
      <c r="AC14" s="159">
        <f t="shared" si="6"/>
        <v>4.3589675355156441</v>
      </c>
      <c r="AD14" s="159">
        <f t="shared" si="7"/>
        <v>8.337390286184684</v>
      </c>
      <c r="AE14" s="159">
        <f t="shared" si="63"/>
        <v>2.179483767757822</v>
      </c>
      <c r="AF14" s="159">
        <f t="shared" si="8"/>
        <v>6.6180503232103751</v>
      </c>
      <c r="AG14" s="357">
        <f t="shared" si="9"/>
        <v>10.609127335117442</v>
      </c>
      <c r="AH14" s="159">
        <f t="shared" si="10"/>
        <v>4.7741073008028483</v>
      </c>
      <c r="AI14" s="159">
        <f t="shared" si="11"/>
        <v>2.8706867635743705</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16.227115597689853</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17.189741099247726</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15.144161908437248</v>
      </c>
      <c r="BF14" s="159">
        <f t="shared" si="30"/>
        <v>11.494358981675679</v>
      </c>
      <c r="BG14" s="159">
        <f t="shared" si="31"/>
        <v>3.1315792065060055</v>
      </c>
      <c r="BH14" s="159">
        <f t="shared" si="32"/>
        <v>5.59285517123039</v>
      </c>
      <c r="BI14" s="159">
        <f t="shared" si="33"/>
        <v>3.0443582787728309</v>
      </c>
      <c r="BJ14" s="159">
        <f t="shared" si="34"/>
        <v>6.5492913588133836</v>
      </c>
      <c r="BK14" s="159">
        <f t="shared" si="35"/>
        <v>11.289547412806012</v>
      </c>
      <c r="BL14" s="159">
        <f t="shared" si="36"/>
        <v>0.67569343874818366</v>
      </c>
      <c r="BM14" s="159">
        <f t="shared" si="37"/>
        <v>2.075698826436021</v>
      </c>
      <c r="BN14" s="159">
        <f t="shared" si="38"/>
        <v>0.78415288998694133</v>
      </c>
      <c r="BO14" s="159">
        <f t="shared" si="39"/>
        <v>5.2428710352705563</v>
      </c>
      <c r="BP14" s="159">
        <f t="shared" si="40"/>
        <v>16.610418504426235</v>
      </c>
      <c r="BQ14" s="159">
        <f t="shared" si="41"/>
        <v>1.7542041198270155</v>
      </c>
      <c r="BR14" s="159">
        <f t="shared" si="42"/>
        <v>3.2749914817101664</v>
      </c>
      <c r="BS14" s="159">
        <f t="shared" si="43"/>
        <v>2.8137250758354955</v>
      </c>
      <c r="BT14" s="159">
        <f t="shared" si="44"/>
        <v>7.8213322001577161</v>
      </c>
      <c r="BU14" s="159">
        <f t="shared" si="45"/>
        <v>14.311067887172838</v>
      </c>
      <c r="BV14" s="159">
        <f t="shared" si="46"/>
        <v>1.5722866555486583</v>
      </c>
      <c r="BW14" s="159">
        <f t="shared" si="47"/>
        <v>3.2749914817101664</v>
      </c>
      <c r="BX14" s="159">
        <f t="shared" si="48"/>
        <v>2.8137250758354955</v>
      </c>
      <c r="BY14" s="159">
        <f t="shared" si="49"/>
        <v>10.846726633625316</v>
      </c>
      <c r="BZ14" s="159">
        <f t="shared" si="50"/>
        <v>11.559523609223547</v>
      </c>
      <c r="CA14" s="159">
        <f t="shared" si="51"/>
        <v>1.9231274795140614</v>
      </c>
      <c r="CB14" s="159">
        <f t="shared" si="52"/>
        <v>6.9790348862945777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4.2974352748119315</v>
      </c>
    </row>
    <row r="15" spans="1:87" x14ac:dyDescent="0.25">
      <c r="A15" t="str">
        <f>PLANTILLA!D17</f>
        <v>E. Gross</v>
      </c>
      <c r="B15" t="s">
        <v>855</v>
      </c>
      <c r="C15" s="633">
        <f>PLANTILLA!E17</f>
        <v>31</v>
      </c>
      <c r="D15" s="633">
        <f ca="1">PLANTILLA!F17</f>
        <v>6</v>
      </c>
      <c r="E15" s="633"/>
      <c r="F15" s="290">
        <v>41552</v>
      </c>
      <c r="G15" s="497">
        <v>1.5</v>
      </c>
      <c r="H15" s="498">
        <f>PLANTILLA!I17</f>
        <v>9.3000000000000007</v>
      </c>
      <c r="I15" s="341"/>
      <c r="J15" s="163">
        <f>PLANTILLA!X17</f>
        <v>0</v>
      </c>
      <c r="K15" s="163">
        <f>PLANTILLA!Y17</f>
        <v>10.549999999999995</v>
      </c>
      <c r="L15" s="163">
        <f>PLANTILLA!Z17</f>
        <v>12.969777777777777</v>
      </c>
      <c r="M15" s="163">
        <f>PLANTILLA!AA17</f>
        <v>5.1399999999999979</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3.7511390334522261</v>
      </c>
      <c r="AC15" s="159">
        <f t="shared" si="6"/>
        <v>5.0430154060711816</v>
      </c>
      <c r="AD15" s="159">
        <f t="shared" si="7"/>
        <v>9.6457675624059895</v>
      </c>
      <c r="AE15" s="159">
        <f t="shared" si="63"/>
        <v>2.5215077030355908</v>
      </c>
      <c r="AF15" s="159">
        <f t="shared" si="8"/>
        <v>6.0680190247021306</v>
      </c>
      <c r="AG15" s="357">
        <f t="shared" si="9"/>
        <v>12.274005750226156</v>
      </c>
      <c r="AH15" s="159">
        <f t="shared" si="10"/>
        <v>5.5233025876017701</v>
      </c>
      <c r="AI15" s="159">
        <f t="shared" si="11"/>
        <v>2.6321017587668982</v>
      </c>
      <c r="AJ15" s="357">
        <f t="shared" si="12"/>
        <v>4.663610631666284</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14.878467426802107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13.885518859123577</v>
      </c>
      <c r="BF15" s="159">
        <f t="shared" si="30"/>
        <v>8.3424351216859307</v>
      </c>
      <c r="BG15" s="159">
        <f t="shared" si="31"/>
        <v>2.8995458541353312</v>
      </c>
      <c r="BH15" s="159">
        <f t="shared" si="32"/>
        <v>6.4705356400648757</v>
      </c>
      <c r="BI15" s="159">
        <f t="shared" si="33"/>
        <v>3.5221059978909839</v>
      </c>
      <c r="BJ15" s="159">
        <f t="shared" si="34"/>
        <v>6.004974671198732</v>
      </c>
      <c r="BK15" s="159">
        <f t="shared" si="35"/>
        <v>7.7560654627148526</v>
      </c>
      <c r="BL15" s="159">
        <f t="shared" si="36"/>
        <v>0.62562815109973946</v>
      </c>
      <c r="BM15" s="159">
        <f t="shared" si="37"/>
        <v>2.4014359076529432</v>
      </c>
      <c r="BN15" s="159">
        <f t="shared" si="38"/>
        <v>0.90720912066888981</v>
      </c>
      <c r="BO15" s="159">
        <f t="shared" si="39"/>
        <v>4.8071319546341558</v>
      </c>
      <c r="BP15" s="159">
        <f t="shared" si="40"/>
        <v>11.372265429120478</v>
      </c>
      <c r="BQ15" s="159">
        <f t="shared" si="41"/>
        <v>1.6242269307397084</v>
      </c>
      <c r="BR15" s="159">
        <f t="shared" si="42"/>
        <v>3.7889322098524216</v>
      </c>
      <c r="BS15" s="159">
        <f t="shared" si="43"/>
        <v>3.2552797859295457</v>
      </c>
      <c r="BT15" s="159">
        <f t="shared" si="44"/>
        <v>7.1712952110116088</v>
      </c>
      <c r="BU15" s="159">
        <f t="shared" si="45"/>
        <v>9.7882921426636784</v>
      </c>
      <c r="BV15" s="159">
        <f t="shared" si="46"/>
        <v>1.4557885823667014</v>
      </c>
      <c r="BW15" s="159">
        <f t="shared" si="47"/>
        <v>3.7889322098524216</v>
      </c>
      <c r="BX15" s="159">
        <f t="shared" si="48"/>
        <v>3.2552797859295457</v>
      </c>
      <c r="BY15" s="159">
        <f t="shared" si="49"/>
        <v>9.9452467651611549</v>
      </c>
      <c r="BZ15" s="159">
        <f t="shared" si="50"/>
        <v>7.8898229852743604</v>
      </c>
      <c r="CA15" s="159">
        <f t="shared" si="51"/>
        <v>1.7806339685146431</v>
      </c>
      <c r="CB15" s="159">
        <f t="shared" si="52"/>
        <v>6.3990018805949749</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3.9402720939624225</v>
      </c>
    </row>
    <row r="16" spans="1:87" x14ac:dyDescent="0.25">
      <c r="A16" t="str">
        <f>PLANTILLA!D18</f>
        <v>L. Bauman</v>
      </c>
      <c r="B16" t="s">
        <v>855</v>
      </c>
      <c r="C16" s="633">
        <f>PLANTILLA!E18</f>
        <v>30</v>
      </c>
      <c r="D16" s="633">
        <f ca="1">PLANTILLA!F18</f>
        <v>93</v>
      </c>
      <c r="E16" s="633"/>
      <c r="F16" s="290">
        <v>41686</v>
      </c>
      <c r="G16" s="497">
        <v>1.5</v>
      </c>
      <c r="H16" s="498">
        <f>PLANTILLA!I18</f>
        <v>8.1999999999999993</v>
      </c>
      <c r="I16" s="341"/>
      <c r="J16" s="163">
        <f>PLANTILLA!X18</f>
        <v>0</v>
      </c>
      <c r="K16" s="163">
        <f>PLANTILLA!Y18</f>
        <v>5.4644444444444451</v>
      </c>
      <c r="L16" s="163">
        <f>PLANTILLA!Z18</f>
        <v>14.379028042328033</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4.0691922698971705</v>
      </c>
      <c r="AC16" s="159">
        <f t="shared" si="6"/>
        <v>3.0931221816013936</v>
      </c>
      <c r="AD16" s="159">
        <f t="shared" si="7"/>
        <v>5.9162098870312372</v>
      </c>
      <c r="AE16" s="159">
        <f t="shared" si="63"/>
        <v>1.5465610908006968</v>
      </c>
      <c r="AF16" s="159">
        <f t="shared" si="8"/>
        <v>6.5825169071865997</v>
      </c>
      <c r="AG16" s="357">
        <f t="shared" si="9"/>
        <v>7.5282338811462495</v>
      </c>
      <c r="AH16" s="159">
        <f t="shared" si="10"/>
        <v>3.3877052465158122</v>
      </c>
      <c r="AI16" s="159">
        <f t="shared" si="11"/>
        <v>2.8552735675328891</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16.139989507491297</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17.097446512172986</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15.0628503772244</v>
      </c>
      <c r="BF16" s="159">
        <f t="shared" si="30"/>
        <v>7.3119490196921664</v>
      </c>
      <c r="BG16" s="159">
        <f t="shared" si="31"/>
        <v>2.8578788512326354</v>
      </c>
      <c r="BH16" s="159">
        <f t="shared" si="32"/>
        <v>3.9686885134303598</v>
      </c>
      <c r="BI16" s="159">
        <f t="shared" si="33"/>
        <v>2.1602758093724019</v>
      </c>
      <c r="BJ16" s="159">
        <f t="shared" si="34"/>
        <v>6.5141271211379079</v>
      </c>
      <c r="BK16" s="159">
        <f t="shared" si="35"/>
        <v>6.5769502426444921</v>
      </c>
      <c r="BL16" s="159">
        <f t="shared" si="36"/>
        <v>0.61663776043193785</v>
      </c>
      <c r="BM16" s="159">
        <f t="shared" si="37"/>
        <v>1.4729153245720923</v>
      </c>
      <c r="BN16" s="159">
        <f t="shared" si="38"/>
        <v>0.55643467817167935</v>
      </c>
      <c r="BO16" s="159">
        <f t="shared" si="39"/>
        <v>5.2147211862127607</v>
      </c>
      <c r="BP16" s="159">
        <f t="shared" si="40"/>
        <v>9.622426152220612</v>
      </c>
      <c r="BQ16" s="159">
        <f t="shared" si="41"/>
        <v>1.6008864934290696</v>
      </c>
      <c r="BR16" s="159">
        <f t="shared" si="42"/>
        <v>2.32393306765819</v>
      </c>
      <c r="BS16" s="159">
        <f t="shared" si="43"/>
        <v>1.9966185510866139</v>
      </c>
      <c r="BT16" s="159">
        <f t="shared" si="44"/>
        <v>7.7793381630387088</v>
      </c>
      <c r="BU16" s="159">
        <f t="shared" si="45"/>
        <v>8.2769676645882111</v>
      </c>
      <c r="BV16" s="159">
        <f t="shared" si="46"/>
        <v>1.4348686348512401</v>
      </c>
      <c r="BW16" s="159">
        <f t="shared" si="47"/>
        <v>2.32393306765819</v>
      </c>
      <c r="BX16" s="159">
        <f t="shared" si="48"/>
        <v>1.9966185510866139</v>
      </c>
      <c r="BY16" s="159">
        <f t="shared" si="49"/>
        <v>10.788488749181154</v>
      </c>
      <c r="BZ16" s="159">
        <f t="shared" si="50"/>
        <v>6.6627795305112354</v>
      </c>
      <c r="CA16" s="159">
        <f t="shared" si="51"/>
        <v>1.7550459335370538</v>
      </c>
      <c r="CB16" s="159">
        <f t="shared" si="52"/>
        <v>6.9415632839422328</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4.2743616280432466</v>
      </c>
    </row>
    <row r="17" spans="1:87" x14ac:dyDescent="0.25">
      <c r="A17" t="str">
        <f>PLANTILLA!D19</f>
        <v>W. Gelifini</v>
      </c>
      <c r="B17" t="s">
        <v>855</v>
      </c>
      <c r="C17" s="633">
        <f>PLANTILLA!E19</f>
        <v>29</v>
      </c>
      <c r="D17" s="633">
        <f ca="1">PLANTILLA!F19</f>
        <v>43</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e">
        <f>PLANTILLA!#REF!</f>
        <v>#REF!</v>
      </c>
      <c r="B18" t="s">
        <v>855</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855</v>
      </c>
      <c r="C19" s="669">
        <f>PLANTILLA!E20</f>
        <v>29</v>
      </c>
      <c r="D19" s="669">
        <f ca="1">PLANTILLA!F20</f>
        <v>8</v>
      </c>
      <c r="E19" s="669" t="str">
        <f>PLANTILLA!G20</f>
        <v>CAB</v>
      </c>
      <c r="F19" s="290">
        <v>43060</v>
      </c>
      <c r="G19" s="497">
        <v>2.5</v>
      </c>
      <c r="H19" s="498">
        <f>PLANTILLA!I20</f>
        <v>8.9</v>
      </c>
      <c r="I19" s="341"/>
      <c r="J19" s="163">
        <f>PLANTILLA!X20</f>
        <v>0</v>
      </c>
      <c r="K19" s="163">
        <f>PLANTILLA!Y20</f>
        <v>3</v>
      </c>
      <c r="L19" s="163">
        <f>PLANTILLA!Z20</f>
        <v>15.01</v>
      </c>
      <c r="M19" s="163">
        <f>PLANTILLA!AA20</f>
        <v>12.02</v>
      </c>
      <c r="N19" s="163">
        <f>PLANTILLA!AB20</f>
        <v>12</v>
      </c>
      <c r="O19" s="163">
        <f>PLANTILLA!AC20</f>
        <v>8</v>
      </c>
      <c r="P19" s="163">
        <f>PLANTILLA!AD20</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3.7022891226652019</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4.4686530954419847</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7.2287035367443879</v>
      </c>
      <c r="AG19" s="357">
        <f t="shared" ref="AG19" si="87">((K19+G19+(LOG(H19)*4/3))*0.92)</f>
        <v>6.2245850748177594</v>
      </c>
      <c r="AH19" s="159">
        <f t="shared" ref="AH19" si="88">(K19+G19+(LOG(H19)*4/3))*0.414</f>
        <v>2.8010632836679914</v>
      </c>
      <c r="AI19" s="159">
        <f t="shared" ref="AI19" si="89">((L19+G19+(LOG(H19)*4/3))*0.167)</f>
        <v>3.1355675081462673</v>
      </c>
      <c r="AJ19" s="357">
        <f t="shared" ref="AJ19" si="90">(M19+G19+(LOG(H19)*4/3))*0.588</f>
        <v>9.282081765209611</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17.724405555030394</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18.775853342193216</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16.541526794472222</v>
      </c>
      <c r="BF19" s="159">
        <f t="shared" ref="BF19" si="112">((M19+G19+(LOG(H19)*4/3))*0.574)+((N19+G19+(LOG(H19)*4/3))*0.315)</f>
        <v>14.027323621209769</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7.1536001233756155</v>
      </c>
      <c r="BK19" s="159">
        <f t="shared" ref="BK19" si="117">((M19+G19+(LOG(H19)*4/3))*0.673)+((N19+G19+(LOG(H19)*4/3))*0.201)</f>
        <v>13.792815821076871</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5.7266352693689306</v>
      </c>
      <c r="BP19" s="159">
        <f t="shared" ref="BP19" si="122">((M19+G19+(LOG(H19)*4/3))*1)+((N19+G19+(LOG(H19)*4/3))*0.286)</f>
        <v>20.294887398060478</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8.5430132706979141</v>
      </c>
      <c r="BU19" s="159">
        <f t="shared" ref="BU19" si="127">((M19+G19+(LOG(H19)*4/3))*0.864)+((N19+G19+(LOG(H19)*4/3))*0.244)</f>
        <v>17.485845503150085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11.847563458923918</v>
      </c>
      <c r="BZ19" s="159">
        <f t="shared" ref="BZ19" si="132">((M19+G19+(LOG(H19)*4/3))*0.702)+((N19+G19+(LOG(H19)*4/3))*0.193)</f>
        <v>14.124478741262928</v>
      </c>
      <c r="CA19" s="159">
        <f t="shared" ref="CA19" si="133">((N19+G19+(LOG(H19)*4/3))*0.148)</f>
        <v>2.333346294644596</v>
      </c>
      <c r="CB19" s="159">
        <f t="shared" ref="CB19" si="134">((L19+G19+(LOG(H19)*4/3))*0.406)</f>
        <v>7.622996456930446</v>
      </c>
      <c r="CC19" s="159">
        <f t="shared" ref="CC19" si="135">IF(E19="TEC",((M19+G19+(LOG(H19)*4/3))*0.15)+((N19+G19+(LOG(H19)*4/3))*0.324)+((O19+G19+(LOG(H19)*4/3))*0.127),(((M19+G19+(LOG(H19)*4/3))*0.144)+((N19+G19+(LOG(H19)*4/3))*0.25)+((O19+G19+(LOG(H19)*4/3))*0.127)))</f>
        <v>7.7088895912826665</v>
      </c>
      <c r="CD19" s="159">
        <f t="shared" ref="CD19" si="136">((N19+G19+(LOG(H19)*4/3))*0.543)+((O19+G19+(LOG(H19)*4/3))*0.583)</f>
        <v>15.420350863309562</v>
      </c>
      <c r="CE19" s="159">
        <f t="shared" ref="CE19" si="137">CC19</f>
        <v>7.7088895912826665</v>
      </c>
      <c r="CF19" s="159">
        <f t="shared" ref="CF19" si="138">((O19+1+(LOG(H19)*4/3))*0.26)+((M19+G19+(LOG(H19)*4/3))*0.221)+((N19+G19+(LOG(H19)*4/3))*0.142)</f>
        <v>8.3965466321863751</v>
      </c>
      <c r="CG19" s="159">
        <f t="shared" ref="CG19" si="139">((O19+G19+(LOG(H19)*4/3))*1)+((N19+G19+(LOG(H19)*4/3))*0.369)</f>
        <v>17.583453225462513</v>
      </c>
      <c r="CH19" s="159">
        <f t="shared" ref="CH19" si="140">CF19</f>
        <v>8.3965466321863751</v>
      </c>
      <c r="CI19" s="159">
        <f t="shared" ref="CI19" si="141">((L19+G19+(LOG(H19)*4/3))*0.25)</f>
        <v>4.6939633355483039</v>
      </c>
    </row>
    <row r="20" spans="1:87" x14ac:dyDescent="0.25">
      <c r="A20" t="str">
        <f>PLANTILLA!D21</f>
        <v>J. Limon</v>
      </c>
      <c r="B20" t="s">
        <v>855</v>
      </c>
      <c r="C20" s="633">
        <f>PLANTILLA!E21</f>
        <v>30</v>
      </c>
      <c r="D20" s="633">
        <f ca="1">PLANTILLA!F21</f>
        <v>18</v>
      </c>
      <c r="E20" s="633" t="str">
        <f>PLANTILLA!G21</f>
        <v>RAP</v>
      </c>
      <c r="F20" s="290">
        <v>41664</v>
      </c>
      <c r="G20" s="497">
        <v>1.5</v>
      </c>
      <c r="H20" s="498">
        <f>PLANTILLA!I21</f>
        <v>10.3</v>
      </c>
      <c r="I20" s="341"/>
      <c r="J20" s="163">
        <f>PLANTILLA!X21</f>
        <v>0</v>
      </c>
      <c r="K20" s="163">
        <f>PLANTILLA!Y21</f>
        <v>6.8376190476190493</v>
      </c>
      <c r="L20" s="163">
        <f>PLANTILLA!Z21</f>
        <v>8.6349999999999998</v>
      </c>
      <c r="M20" s="163">
        <f>PLANTILLA!AA21</f>
        <v>8.7399999999999967</v>
      </c>
      <c r="N20" s="163">
        <f>PLANTILLA!AB21</f>
        <v>9.6900000000000013</v>
      </c>
      <c r="O20" s="163">
        <f>PLANTILLA!AC21</f>
        <v>8.5625000000000018</v>
      </c>
      <c r="P20" s="163">
        <f>PLANTILLA!AD21</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2.7335370126397742</v>
      </c>
      <c r="AC20" s="159">
        <f t="shared" si="6"/>
        <v>3.6620899612514077</v>
      </c>
      <c r="AD20" s="159">
        <f t="shared" si="7"/>
        <v>7.0044736560443592</v>
      </c>
      <c r="AE20" s="159">
        <f t="shared" si="63"/>
        <v>1.8310449806257039</v>
      </c>
      <c r="AF20" s="159">
        <f t="shared" si="8"/>
        <v>4.4218981086819884</v>
      </c>
      <c r="AG20" s="357">
        <f t="shared" si="9"/>
        <v>8.9130231861145379</v>
      </c>
      <c r="AH20" s="159">
        <f t="shared" si="10"/>
        <v>4.0108604337515414</v>
      </c>
      <c r="AI20" s="159">
        <f t="shared" si="11"/>
        <v>1.9180700887010185</v>
      </c>
      <c r="AJ20" s="357">
        <f t="shared" si="12"/>
        <v>6.8151843841688526</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10.842264453495575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11.485449632940229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10.118681126620341</v>
      </c>
      <c r="BF20" s="357">
        <f t="shared" si="30"/>
        <v>10.603159723683861</v>
      </c>
      <c r="BG20" s="357">
        <f t="shared" si="31"/>
        <v>3.0222483615385953</v>
      </c>
      <c r="BH20" s="357">
        <f t="shared" si="32"/>
        <v>4.6987133100712501</v>
      </c>
      <c r="BI20" s="357">
        <f t="shared" si="33"/>
        <v>2.5576501316676499</v>
      </c>
      <c r="BJ20" s="357">
        <f t="shared" si="34"/>
        <v>4.3759563101502277</v>
      </c>
      <c r="BK20" s="357">
        <f t="shared" si="35"/>
        <v>10.32100297918976</v>
      </c>
      <c r="BL20" s="357">
        <f t="shared" si="36"/>
        <v>0.65210338091289199</v>
      </c>
      <c r="BM20" s="357">
        <f t="shared" si="37"/>
        <v>1.7438523625006703</v>
      </c>
      <c r="BN20" s="357">
        <f t="shared" si="38"/>
        <v>0.65878867027803101</v>
      </c>
      <c r="BO20" s="357">
        <f t="shared" si="39"/>
        <v>3.5030621380467699</v>
      </c>
      <c r="BP20" s="357">
        <f t="shared" si="40"/>
        <v>15.177018227961131</v>
      </c>
      <c r="BQ20" s="357">
        <f t="shared" si="41"/>
        <v>1.6929607004469311</v>
      </c>
      <c r="BR20" s="357">
        <f t="shared" si="42"/>
        <v>2.7514115052788353</v>
      </c>
      <c r="BS20" s="357">
        <f t="shared" si="43"/>
        <v>2.363888758056464</v>
      </c>
      <c r="BT20" s="357">
        <f t="shared" si="44"/>
        <v>5.2258795829878046</v>
      </c>
      <c r="BU20" s="357">
        <f t="shared" si="45"/>
        <v>13.074018193297771</v>
      </c>
      <c r="BV20" s="357">
        <f t="shared" si="46"/>
        <v>1.5173944055857678</v>
      </c>
      <c r="BW20" s="357">
        <f t="shared" si="47"/>
        <v>2.7514115052788353</v>
      </c>
      <c r="BX20" s="357">
        <f t="shared" si="48"/>
        <v>2.363888758056464</v>
      </c>
      <c r="BY20" s="357">
        <f t="shared" si="49"/>
        <v>7.2473187183852845</v>
      </c>
      <c r="BZ20" s="357">
        <f t="shared" si="50"/>
        <v>10.556802421481501</v>
      </c>
      <c r="CA20" s="357">
        <f t="shared" si="51"/>
        <v>1.8559865456751541</v>
      </c>
      <c r="CB20" s="357">
        <f t="shared" si="52"/>
        <v>4.6630925509737331</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2.8713624082350573</v>
      </c>
    </row>
    <row r="21" spans="1:87" x14ac:dyDescent="0.25">
      <c r="A21" t="str">
        <f>PLANTILLA!D22</f>
        <v>L. Calosso</v>
      </c>
      <c r="C21" s="633">
        <f>PLANTILLA!E22</f>
        <v>30</v>
      </c>
      <c r="D21" s="633">
        <f ca="1">PLANTILLA!F22</f>
        <v>87</v>
      </c>
      <c r="E21" s="633" t="str">
        <f>PLANTILLA!G22</f>
        <v>TEC</v>
      </c>
      <c r="F21" s="290">
        <v>41890</v>
      </c>
      <c r="G21" s="497">
        <v>1</v>
      </c>
      <c r="H21" s="498">
        <f>PLANTILLA!I22</f>
        <v>10.5</v>
      </c>
      <c r="I21" s="341"/>
      <c r="J21" s="163">
        <f>PLANTILLA!X22</f>
        <v>0</v>
      </c>
      <c r="K21" s="163">
        <f>PLANTILLA!Y22</f>
        <v>3.02</v>
      </c>
      <c r="L21" s="163">
        <f>PLANTILLA!Z22</f>
        <v>14.237609523809523</v>
      </c>
      <c r="M21" s="163">
        <f>PLANTILLA!AA22</f>
        <v>3.04</v>
      </c>
      <c r="N21" s="163">
        <f>PLANTILLA!AB22</f>
        <v>15.02</v>
      </c>
      <c r="O21" s="163">
        <f>PLANTILLA!AC22</f>
        <v>10</v>
      </c>
      <c r="P21" s="163">
        <f>PLANTILLA!AD22</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3.9506084709048603</v>
      </c>
      <c r="AC21" s="159">
        <f t="shared" si="6"/>
        <v>2.0342394067312486</v>
      </c>
      <c r="AD21" s="159">
        <f t="shared" si="7"/>
        <v>3.8908864843034197</v>
      </c>
      <c r="AE21" s="159">
        <f t="shared" si="63"/>
        <v>1.0171197033656243</v>
      </c>
      <c r="AF21" s="159">
        <f t="shared" si="8"/>
        <v>6.3906901735225681</v>
      </c>
      <c r="AG21" s="357">
        <f t="shared" si="9"/>
        <v>4.9510588735257901</v>
      </c>
      <c r="AH21" s="159">
        <f t="shared" si="10"/>
        <v>2.2279764930866057</v>
      </c>
      <c r="AI21" s="159">
        <f t="shared" si="11"/>
        <v>2.7720656077357635</v>
      </c>
      <c r="AJ21" s="357">
        <f t="shared" si="12"/>
        <v>3.1761324104708311</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15.669640321572219</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16.599195255902774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14.623891020450344</v>
      </c>
      <c r="BF21" s="357">
        <f t="shared" si="30"/>
        <v>8.5757097158309001</v>
      </c>
      <c r="BG21" s="357">
        <f t="shared" si="31"/>
        <v>4.188962161434473</v>
      </c>
      <c r="BH21" s="357">
        <f t="shared" si="32"/>
        <v>2.6100690800652262</v>
      </c>
      <c r="BI21" s="357">
        <f t="shared" si="33"/>
        <v>1.4207386332726182</v>
      </c>
      <c r="BJ21" s="357">
        <f t="shared" si="34"/>
        <v>6.3242933924989568</v>
      </c>
      <c r="BK21" s="357">
        <f t="shared" si="35"/>
        <v>7.1289659298495014</v>
      </c>
      <c r="BL21" s="357">
        <f t="shared" si="36"/>
        <v>0.90384245806884889</v>
      </c>
      <c r="BM21" s="357">
        <f t="shared" si="37"/>
        <v>0.96868543177678501</v>
      </c>
      <c r="BN21" s="357">
        <f t="shared" si="38"/>
        <v>0.36594782978234103</v>
      </c>
      <c r="BO21" s="357">
        <f t="shared" si="39"/>
        <v>5.0627545530503459</v>
      </c>
      <c r="BP21" s="357">
        <f t="shared" si="40"/>
        <v>10.372719251471921</v>
      </c>
      <c r="BQ21" s="357">
        <f t="shared" si="41"/>
        <v>2.3465140738325889</v>
      </c>
      <c r="BR21" s="357">
        <f t="shared" si="42"/>
        <v>1.528370347914483</v>
      </c>
      <c r="BS21" s="357">
        <f t="shared" si="43"/>
        <v>1.3131069186307531</v>
      </c>
      <c r="BT21" s="357">
        <f t="shared" si="44"/>
        <v>7.552633841435763</v>
      </c>
      <c r="BU21" s="357">
        <f t="shared" si="45"/>
        <v>8.9080769911593229</v>
      </c>
      <c r="BV21" s="357">
        <f t="shared" si="46"/>
        <v>2.1031718735832832</v>
      </c>
      <c r="BW21" s="357">
        <f t="shared" si="47"/>
        <v>1.528370347914483</v>
      </c>
      <c r="BX21" s="357">
        <f t="shared" si="48"/>
        <v>1.3131069186307531</v>
      </c>
      <c r="BY21" s="357">
        <f t="shared" si="49"/>
        <v>10.474092206474651</v>
      </c>
      <c r="BZ21" s="357">
        <f t="shared" si="50"/>
        <v>7.1465592302234597</v>
      </c>
      <c r="CA21" s="357">
        <f t="shared" si="51"/>
        <v>2.5724746883498009</v>
      </c>
      <c r="CB21" s="357">
        <f t="shared" si="52"/>
        <v>6.7392732738965266</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4.1497988139756936</v>
      </c>
    </row>
    <row r="22" spans="1:87" x14ac:dyDescent="0.25">
      <c r="A22" t="str">
        <f>PLANTILLA!D23</f>
        <v>P .Trivadi</v>
      </c>
      <c r="B22" t="s">
        <v>855</v>
      </c>
      <c r="C22" s="633">
        <f>PLANTILLA!E23</f>
        <v>27</v>
      </c>
      <c r="D22" s="633">
        <f ca="1">PLANTILLA!F23</f>
        <v>49</v>
      </c>
      <c r="E22" s="633"/>
      <c r="F22" s="290">
        <v>41973</v>
      </c>
      <c r="G22" s="497">
        <v>1.5</v>
      </c>
      <c r="H22" s="498">
        <f>PLANTILLA!I23</f>
        <v>5.5</v>
      </c>
      <c r="I22" s="341"/>
      <c r="J22" s="163">
        <f>PLANTILLA!X23</f>
        <v>0</v>
      </c>
      <c r="K22" s="163">
        <f>PLANTILLA!Y23</f>
        <v>4.0199999999999996</v>
      </c>
      <c r="L22" s="163">
        <f>PLANTILLA!Z23</f>
        <v>5.5638722222222201</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1.9161433490217281</v>
      </c>
      <c r="AC22" s="159">
        <f t="shared" si="6"/>
        <v>2.4597027955050987</v>
      </c>
      <c r="AD22" s="159">
        <f t="shared" si="7"/>
        <v>4.7046696326724504</v>
      </c>
      <c r="AE22" s="159">
        <f t="shared" si="63"/>
        <v>1.2298513977525494</v>
      </c>
      <c r="AF22" s="159">
        <f t="shared" si="8"/>
        <v>3.0996436528292666</v>
      </c>
      <c r="AG22" s="357">
        <f t="shared" si="9"/>
        <v>5.9865782324462726</v>
      </c>
      <c r="AH22" s="159">
        <f t="shared" si="10"/>
        <v>2.6939602046008226</v>
      </c>
      <c r="AI22" s="159">
        <f t="shared" si="11"/>
        <v>1.3445207533051624</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7.6001652162878628</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8.0510224748812114</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7.092950800370347</v>
      </c>
      <c r="BF22" s="357">
        <f t="shared" si="30"/>
        <v>8.7758165746138417</v>
      </c>
      <c r="BG22" s="357">
        <f t="shared" si="31"/>
        <v>3.2022032108908167</v>
      </c>
      <c r="BH22" s="357">
        <f t="shared" si="32"/>
        <v>3.1559678725396108</v>
      </c>
      <c r="BI22" s="357">
        <f t="shared" si="33"/>
        <v>1.7178876667019738</v>
      </c>
      <c r="BJ22" s="357">
        <f t="shared" si="34"/>
        <v>3.0674395629297417</v>
      </c>
      <c r="BK22" s="357">
        <f t="shared" si="35"/>
        <v>8.0527993208239579</v>
      </c>
      <c r="BL22" s="357">
        <f t="shared" si="36"/>
        <v>0.69093181313826746</v>
      </c>
      <c r="BM22" s="357">
        <f t="shared" si="37"/>
        <v>1.1712870454786184</v>
      </c>
      <c r="BN22" s="357">
        <f t="shared" si="38"/>
        <v>0.44248621718081149</v>
      </c>
      <c r="BO22" s="357">
        <f t="shared" si="39"/>
        <v>2.4555618548387694</v>
      </c>
      <c r="BP22" s="357">
        <f t="shared" si="40"/>
        <v>11.797275224919462</v>
      </c>
      <c r="BQ22" s="357">
        <f t="shared" si="41"/>
        <v>1.793765284108964</v>
      </c>
      <c r="BR22" s="357">
        <f t="shared" si="42"/>
        <v>1.8480306717551536</v>
      </c>
      <c r="BS22" s="357">
        <f t="shared" si="43"/>
        <v>1.587744661648794</v>
      </c>
      <c r="BT22" s="357">
        <f t="shared" si="44"/>
        <v>3.6632152260709514</v>
      </c>
      <c r="BU22" s="357">
        <f t="shared" si="45"/>
        <v>10.151602479946161</v>
      </c>
      <c r="BV22" s="357">
        <f t="shared" si="46"/>
        <v>1.6077451805717378</v>
      </c>
      <c r="BW22" s="357">
        <f t="shared" si="47"/>
        <v>1.8480306717551536</v>
      </c>
      <c r="BX22" s="357">
        <f t="shared" si="48"/>
        <v>1.587744661648794</v>
      </c>
      <c r="BY22" s="357">
        <f t="shared" si="49"/>
        <v>5.0801951816500441</v>
      </c>
      <c r="BZ22" s="357">
        <f t="shared" si="50"/>
        <v>8.1784194761297968</v>
      </c>
      <c r="CA22" s="357">
        <f t="shared" si="51"/>
        <v>1.9664982373935307</v>
      </c>
      <c r="CB22" s="357">
        <f t="shared" si="52"/>
        <v>3.2687151248017718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2.0127556187203028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2018-01-24T17:10:04Z</dcterms:modified>
</cp:coreProperties>
</file>