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 activeTab="2"/>
  </bookViews>
  <sheets>
    <sheet name="Columbus-OBIWAN" sheetId="444" r:id="rId1"/>
    <sheet name="Columbus-OBIWAN_v3" sheetId="447" r:id="rId2"/>
    <sheet name="SIMULADOR_v3" sheetId="446" r:id="rId3"/>
    <sheet name="SIMULADOR&gt;22-12-17_v2" sheetId="436" r:id="rId4"/>
    <sheet name="SIMULADOR&gt;22-12-17" sheetId="435" r:id="rId5"/>
    <sheet name="SIMULADOR" sheetId="285" r:id="rId6"/>
    <sheet name="SIMULADOR_sinJC" sheetId="273" r:id="rId7"/>
  </sheets>
  <calcPr calcId="152511"/>
  <fileRecoveryPr autoRecover="0"/>
</workbook>
</file>

<file path=xl/calcChain.xml><?xml version="1.0" encoding="utf-8"?>
<calcChain xmlns="http://schemas.openxmlformats.org/spreadsheetml/2006/main">
  <c r="AK15" i="446" l="1"/>
  <c r="AG15" i="446"/>
  <c r="AG14" i="447"/>
  <c r="AK14" i="447"/>
  <c r="AK14" i="446"/>
  <c r="AG14" i="446"/>
  <c r="AL14" i="447" l="1"/>
  <c r="AH14" i="447"/>
  <c r="AL14" i="446"/>
  <c r="AH14" i="446"/>
  <c r="BF48" i="447"/>
  <c r="BF47" i="447"/>
  <c r="BF46" i="447"/>
  <c r="BE45" i="447"/>
  <c r="BE44" i="447"/>
  <c r="BF45" i="447" s="1"/>
  <c r="BD44" i="447"/>
  <c r="BE43" i="447"/>
  <c r="BF44" i="447" s="1"/>
  <c r="BD43" i="447"/>
  <c r="BC43" i="447"/>
  <c r="BH42" i="447"/>
  <c r="BH47" i="447" s="1"/>
  <c r="BH52" i="447" s="1"/>
  <c r="BH55" i="447" s="1"/>
  <c r="BH57" i="447" s="1"/>
  <c r="BL13" i="447" s="1"/>
  <c r="BF42" i="447"/>
  <c r="BE42" i="447"/>
  <c r="BD42" i="447"/>
  <c r="BC42" i="447"/>
  <c r="BF41" i="447"/>
  <c r="BE41" i="447"/>
  <c r="BD41" i="447"/>
  <c r="BC41" i="447"/>
  <c r="BF40" i="447"/>
  <c r="BE40" i="447"/>
  <c r="BD40" i="447"/>
  <c r="BC40" i="447"/>
  <c r="BC39" i="447"/>
  <c r="AS38" i="447"/>
  <c r="AR38" i="447"/>
  <c r="AQ38" i="447"/>
  <c r="AP38" i="447"/>
  <c r="AO38" i="447"/>
  <c r="AN38" i="447"/>
  <c r="AM38" i="447"/>
  <c r="AL38" i="447"/>
  <c r="AK38" i="447"/>
  <c r="AJ38" i="447"/>
  <c r="AI38" i="447"/>
  <c r="AH38" i="447"/>
  <c r="AG38" i="447"/>
  <c r="AF38" i="447"/>
  <c r="AE38" i="447"/>
  <c r="AD38" i="447"/>
  <c r="AC38" i="447"/>
  <c r="AB38" i="447"/>
  <c r="AA38" i="447"/>
  <c r="Z38" i="447"/>
  <c r="Y38" i="447"/>
  <c r="X38" i="447"/>
  <c r="W38" i="447"/>
  <c r="V38" i="447"/>
  <c r="U38" i="447"/>
  <c r="T38" i="447"/>
  <c r="S38" i="447"/>
  <c r="R38" i="447"/>
  <c r="Q38" i="447"/>
  <c r="P38" i="447"/>
  <c r="O38" i="447"/>
  <c r="N38" i="447"/>
  <c r="M38" i="447"/>
  <c r="L38" i="447"/>
  <c r="K38" i="447"/>
  <c r="J38" i="447"/>
  <c r="I38" i="447"/>
  <c r="H38" i="447"/>
  <c r="G38" i="447"/>
  <c r="BH36" i="447"/>
  <c r="BF34" i="447"/>
  <c r="BF33" i="447"/>
  <c r="C33" i="447"/>
  <c r="B33" i="447"/>
  <c r="C32" i="447"/>
  <c r="B32" i="447"/>
  <c r="BE31" i="447"/>
  <c r="BH30" i="447"/>
  <c r="BH37" i="447" s="1"/>
  <c r="BH43" i="447" s="1"/>
  <c r="BH48" i="447" s="1"/>
  <c r="BH53" i="447" s="1"/>
  <c r="BH56" i="447" s="1"/>
  <c r="BH58" i="447" s="1"/>
  <c r="BH59" i="447" s="1"/>
  <c r="BE30" i="447"/>
  <c r="BD30" i="447"/>
  <c r="E30" i="447"/>
  <c r="D30" i="447"/>
  <c r="BH29" i="447"/>
  <c r="BE29" i="447"/>
  <c r="BF30" i="447" s="1"/>
  <c r="BD29" i="447"/>
  <c r="BC29" i="447"/>
  <c r="C29" i="447"/>
  <c r="B29" i="447"/>
  <c r="BH28" i="447"/>
  <c r="BH35" i="447" s="1"/>
  <c r="BH41" i="447" s="1"/>
  <c r="BH46" i="447" s="1"/>
  <c r="BH51" i="447" s="1"/>
  <c r="BH54" i="447" s="1"/>
  <c r="BE28" i="447"/>
  <c r="BF29" i="447" s="1"/>
  <c r="BD28" i="447"/>
  <c r="BC28" i="447"/>
  <c r="BH27" i="447"/>
  <c r="BH34" i="447" s="1"/>
  <c r="BH40" i="447" s="1"/>
  <c r="BH45" i="447" s="1"/>
  <c r="BH50" i="447" s="1"/>
  <c r="BL11" i="447" s="1"/>
  <c r="BP38" i="447" s="1"/>
  <c r="BP46" i="447" s="1"/>
  <c r="BF27" i="447"/>
  <c r="BE27" i="447"/>
  <c r="BD27" i="447"/>
  <c r="BC27" i="447"/>
  <c r="E27" i="447"/>
  <c r="D27" i="447"/>
  <c r="C27" i="447"/>
  <c r="B27" i="447"/>
  <c r="BH26" i="447"/>
  <c r="BH33" i="447" s="1"/>
  <c r="BH39" i="447" s="1"/>
  <c r="BH44" i="447" s="1"/>
  <c r="BF26" i="447"/>
  <c r="BE26" i="447"/>
  <c r="BD26" i="447"/>
  <c r="BC26" i="447"/>
  <c r="E26" i="447"/>
  <c r="D26" i="447"/>
  <c r="C26" i="447"/>
  <c r="B26" i="447"/>
  <c r="BH25" i="447"/>
  <c r="BH32" i="447" s="1"/>
  <c r="BH38" i="447" s="1"/>
  <c r="BL9" i="447" s="1"/>
  <c r="BP23" i="447" s="1"/>
  <c r="BP29" i="447" s="1"/>
  <c r="BP36" i="447" s="1"/>
  <c r="BP44" i="447" s="1"/>
  <c r="BC25" i="447"/>
  <c r="E25" i="447"/>
  <c r="D25" i="447"/>
  <c r="D23" i="447" s="1"/>
  <c r="C25" i="447"/>
  <c r="B25" i="447"/>
  <c r="BH24" i="447"/>
  <c r="BH31" i="447" s="1"/>
  <c r="BH23" i="447"/>
  <c r="E23" i="447"/>
  <c r="B22" i="447"/>
  <c r="B20" i="447"/>
  <c r="B21" i="447" s="1"/>
  <c r="AO19" i="447"/>
  <c r="AL19" i="447"/>
  <c r="AK19" i="447"/>
  <c r="AH19" i="447"/>
  <c r="AG19" i="447"/>
  <c r="Z19" i="447"/>
  <c r="P19" i="447"/>
  <c r="AO18" i="447"/>
  <c r="AL18" i="447"/>
  <c r="AK18" i="447"/>
  <c r="AH18" i="447"/>
  <c r="AG18" i="447"/>
  <c r="AO17" i="447"/>
  <c r="AL17" i="447"/>
  <c r="AK17" i="447"/>
  <c r="AH17" i="447"/>
  <c r="AG17" i="447"/>
  <c r="AN17" i="447" s="1"/>
  <c r="Z17" i="447"/>
  <c r="Z18" i="447" s="1"/>
  <c r="P17" i="447"/>
  <c r="C16" i="447"/>
  <c r="B16" i="447"/>
  <c r="Z15" i="447"/>
  <c r="P15" i="447"/>
  <c r="Z14" i="447"/>
  <c r="P14" i="447"/>
  <c r="Z13" i="447"/>
  <c r="P13" i="447"/>
  <c r="BL12" i="447"/>
  <c r="BP47" i="447" s="1"/>
  <c r="AO12" i="447"/>
  <c r="AL12" i="447"/>
  <c r="AK12" i="447"/>
  <c r="AH12" i="447"/>
  <c r="AG12" i="447"/>
  <c r="Z12" i="447"/>
  <c r="P12" i="447"/>
  <c r="AO11" i="447"/>
  <c r="AL11" i="447"/>
  <c r="AK11" i="447"/>
  <c r="AH11" i="447"/>
  <c r="AG11" i="447"/>
  <c r="Z11" i="447"/>
  <c r="P11" i="447"/>
  <c r="BL10" i="447"/>
  <c r="BP30" i="447" s="1"/>
  <c r="BP37" i="447" s="1"/>
  <c r="BP45" i="447" s="1"/>
  <c r="AO10" i="447"/>
  <c r="AL10" i="447"/>
  <c r="AK10" i="447"/>
  <c r="AH10" i="447"/>
  <c r="AG10" i="447"/>
  <c r="Z10" i="447"/>
  <c r="P10" i="447"/>
  <c r="BP9" i="447"/>
  <c r="BP12" i="447" s="1"/>
  <c r="BP16" i="447" s="1"/>
  <c r="BP20" i="447" s="1"/>
  <c r="BP26" i="447" s="1"/>
  <c r="BP33" i="447" s="1"/>
  <c r="BP41" i="447" s="1"/>
  <c r="AL9" i="447"/>
  <c r="AK9" i="447"/>
  <c r="AH9" i="447"/>
  <c r="AG9" i="447"/>
  <c r="Z9" i="447"/>
  <c r="P9" i="447"/>
  <c r="BL8" i="447"/>
  <c r="BP18" i="447" s="1"/>
  <c r="BP22" i="447" s="1"/>
  <c r="BP28" i="447" s="1"/>
  <c r="BP35" i="447" s="1"/>
  <c r="BP43" i="447" s="1"/>
  <c r="AO8" i="447"/>
  <c r="AL8" i="447"/>
  <c r="AK8" i="447"/>
  <c r="AH8" i="447"/>
  <c r="AG8" i="447"/>
  <c r="AN8" i="447" s="1"/>
  <c r="Z8" i="447"/>
  <c r="P8" i="447"/>
  <c r="BP7" i="447"/>
  <c r="BP10" i="447" s="1"/>
  <c r="BP14" i="447" s="1"/>
  <c r="BH49" i="447" s="1"/>
  <c r="BP24" i="447" s="1"/>
  <c r="BP31" i="447" s="1"/>
  <c r="BP39" i="447" s="1"/>
  <c r="BL14" i="447" s="1"/>
  <c r="BL7" i="447"/>
  <c r="BP13" i="447" s="1"/>
  <c r="BP17" i="447" s="1"/>
  <c r="BP21" i="447" s="1"/>
  <c r="BP27" i="447" s="1"/>
  <c r="BP34" i="447" s="1"/>
  <c r="BP42" i="447" s="1"/>
  <c r="AL7" i="447"/>
  <c r="AK7" i="447"/>
  <c r="AH7" i="447"/>
  <c r="AG7" i="447"/>
  <c r="Z7" i="447"/>
  <c r="P7" i="447"/>
  <c r="BP6" i="447"/>
  <c r="BP8" i="447" s="1"/>
  <c r="BP11" i="447" s="1"/>
  <c r="BP15" i="447" s="1"/>
  <c r="BP19" i="447" s="1"/>
  <c r="BP25" i="447" s="1"/>
  <c r="BP32" i="447" s="1"/>
  <c r="BP40" i="447" s="1"/>
  <c r="BL6" i="447"/>
  <c r="AO6" i="447"/>
  <c r="AL6" i="447"/>
  <c r="AK6" i="447"/>
  <c r="AN6" i="447" s="1"/>
  <c r="AH6" i="447"/>
  <c r="AG6" i="447"/>
  <c r="Z6" i="447"/>
  <c r="P6" i="447"/>
  <c r="BP5" i="447"/>
  <c r="AO5" i="447"/>
  <c r="AL5" i="447"/>
  <c r="AK5" i="447"/>
  <c r="AH5" i="447"/>
  <c r="AG5" i="447"/>
  <c r="Z5" i="447"/>
  <c r="P5" i="447"/>
  <c r="AM3" i="447"/>
  <c r="K3" i="447"/>
  <c r="G3" i="447"/>
  <c r="D3" i="447"/>
  <c r="K2" i="447" s="1"/>
  <c r="G2" i="447"/>
  <c r="K1" i="447"/>
  <c r="G1" i="447"/>
  <c r="AN19" i="447" l="1"/>
  <c r="AG13" i="447"/>
  <c r="AN13" i="447" s="1"/>
  <c r="AG15" i="447"/>
  <c r="C22" i="447"/>
  <c r="AN14" i="447"/>
  <c r="AK16" i="447"/>
  <c r="AN9" i="447"/>
  <c r="AN18" i="447"/>
  <c r="AN10" i="447"/>
  <c r="AN15" i="447"/>
  <c r="P18" i="447"/>
  <c r="AN5" i="447"/>
  <c r="AN7" i="447"/>
  <c r="AN11" i="447"/>
  <c r="AN12" i="447"/>
  <c r="B31" i="447"/>
  <c r="BF32" i="447"/>
  <c r="BF31" i="447"/>
  <c r="C31" i="447"/>
  <c r="W39" i="447" s="1"/>
  <c r="BF28" i="447"/>
  <c r="BF43" i="447"/>
  <c r="Z19" i="446"/>
  <c r="P19" i="446"/>
  <c r="Z18" i="446"/>
  <c r="P18" i="446"/>
  <c r="Z17" i="446"/>
  <c r="P17" i="446"/>
  <c r="Z15" i="446"/>
  <c r="P15" i="446"/>
  <c r="Z14" i="446"/>
  <c r="Z13" i="446"/>
  <c r="Z12" i="446"/>
  <c r="Z11" i="446"/>
  <c r="Z10" i="446"/>
  <c r="Z9" i="446"/>
  <c r="Z8" i="446"/>
  <c r="Z7" i="446"/>
  <c r="Z6" i="446"/>
  <c r="Z5" i="446"/>
  <c r="P14" i="446"/>
  <c r="P13" i="446"/>
  <c r="P12" i="446"/>
  <c r="P11" i="446"/>
  <c r="P10" i="446"/>
  <c r="P9" i="446"/>
  <c r="P8" i="446"/>
  <c r="P7" i="446"/>
  <c r="P6" i="446"/>
  <c r="P5" i="446"/>
  <c r="AL19" i="446"/>
  <c r="AH19" i="446"/>
  <c r="AL18" i="446"/>
  <c r="AH18" i="446"/>
  <c r="AL17" i="446"/>
  <c r="AH17" i="446"/>
  <c r="AL12" i="446"/>
  <c r="AH12" i="446"/>
  <c r="AL11" i="446"/>
  <c r="AL10" i="446"/>
  <c r="AH11" i="446"/>
  <c r="AH10" i="446"/>
  <c r="AL9" i="446"/>
  <c r="AK9" i="446"/>
  <c r="AL7" i="446"/>
  <c r="AK7" i="446"/>
  <c r="AH7" i="446"/>
  <c r="AG7" i="446"/>
  <c r="AH9" i="446"/>
  <c r="AL8" i="446"/>
  <c r="AH8" i="446"/>
  <c r="AL6" i="446"/>
  <c r="AH6" i="446"/>
  <c r="AL5" i="446"/>
  <c r="AH5" i="446"/>
  <c r="AK18" i="446"/>
  <c r="AG18" i="446"/>
  <c r="AK17" i="446"/>
  <c r="AG17" i="446"/>
  <c r="AO19" i="446"/>
  <c r="AO18" i="446"/>
  <c r="AO17" i="446"/>
  <c r="AO12" i="446"/>
  <c r="AO11" i="446"/>
  <c r="AO10" i="446"/>
  <c r="AO8" i="446"/>
  <c r="AO6" i="446"/>
  <c r="AO5" i="446"/>
  <c r="AK15" i="447" l="1"/>
  <c r="AK13" i="447"/>
  <c r="AG16" i="447"/>
  <c r="AN16" i="447" s="1"/>
  <c r="AN3" i="447" s="1"/>
  <c r="B23" i="447"/>
  <c r="T45" i="447"/>
  <c r="T39" i="447"/>
  <c r="T41" i="447"/>
  <c r="W25" i="447"/>
  <c r="T44" i="447"/>
  <c r="T42" i="447"/>
  <c r="T49" i="447"/>
  <c r="T46" i="447"/>
  <c r="AK12" i="446"/>
  <c r="AG12" i="446"/>
  <c r="AN17" i="446"/>
  <c r="AN18" i="446"/>
  <c r="AM3" i="446"/>
  <c r="BF48" i="446"/>
  <c r="BF47" i="446"/>
  <c r="BF46" i="446"/>
  <c r="BE45" i="446"/>
  <c r="BE44" i="446"/>
  <c r="BF45" i="446" s="1"/>
  <c r="BD44" i="446"/>
  <c r="BE43" i="446"/>
  <c r="BD43" i="446"/>
  <c r="BC43" i="446"/>
  <c r="BF42" i="446"/>
  <c r="BE42" i="446"/>
  <c r="BF43" i="446" s="1"/>
  <c r="BD42" i="446"/>
  <c r="BC42" i="446"/>
  <c r="BF41" i="446"/>
  <c r="BE41" i="446"/>
  <c r="BD41" i="446"/>
  <c r="BC41" i="446"/>
  <c r="BF40" i="446"/>
  <c r="BE40" i="446"/>
  <c r="BD40" i="446"/>
  <c r="BC40" i="446"/>
  <c r="BC39" i="446"/>
  <c r="AS38" i="446"/>
  <c r="AR38" i="446"/>
  <c r="AQ38" i="446"/>
  <c r="AP38" i="446"/>
  <c r="AO38" i="446"/>
  <c r="AN38" i="446"/>
  <c r="AM38" i="446"/>
  <c r="AL38" i="446"/>
  <c r="AK38" i="446"/>
  <c r="AJ38" i="446"/>
  <c r="AI38" i="446"/>
  <c r="AH38" i="446"/>
  <c r="AG38" i="446"/>
  <c r="AF38" i="446"/>
  <c r="AE38" i="446"/>
  <c r="AD38" i="446"/>
  <c r="AC38" i="446"/>
  <c r="AB38" i="446"/>
  <c r="AA38" i="446"/>
  <c r="Z38" i="446"/>
  <c r="Y38" i="446"/>
  <c r="X38" i="446"/>
  <c r="W38" i="446"/>
  <c r="V38" i="446"/>
  <c r="U38" i="446"/>
  <c r="T38" i="446"/>
  <c r="S38" i="446"/>
  <c r="R38" i="446"/>
  <c r="Q38" i="446"/>
  <c r="P38" i="446"/>
  <c r="O38" i="446"/>
  <c r="N38" i="446"/>
  <c r="M38" i="446"/>
  <c r="L38" i="446"/>
  <c r="K38" i="446"/>
  <c r="J38" i="446"/>
  <c r="I38" i="446"/>
  <c r="H38" i="446"/>
  <c r="G38" i="446"/>
  <c r="BH36" i="446"/>
  <c r="BH42" i="446" s="1"/>
  <c r="BH47" i="446" s="1"/>
  <c r="BH52" i="446" s="1"/>
  <c r="BH55" i="446" s="1"/>
  <c r="BH57" i="446" s="1"/>
  <c r="BL13" i="446" s="1"/>
  <c r="BF34" i="446"/>
  <c r="BH33" i="446"/>
  <c r="BH39" i="446" s="1"/>
  <c r="BH44" i="446" s="1"/>
  <c r="BL10" i="446" s="1"/>
  <c r="BP30" i="446" s="1"/>
  <c r="BP37" i="446" s="1"/>
  <c r="BP45" i="446" s="1"/>
  <c r="BF33" i="446"/>
  <c r="C33" i="446"/>
  <c r="B33" i="446"/>
  <c r="C32" i="446"/>
  <c r="B32" i="446"/>
  <c r="BE31" i="446"/>
  <c r="BF32" i="446" s="1"/>
  <c r="BH30" i="446"/>
  <c r="BH37" i="446" s="1"/>
  <c r="BH43" i="446" s="1"/>
  <c r="BH48" i="446" s="1"/>
  <c r="BH53" i="446" s="1"/>
  <c r="BH56" i="446" s="1"/>
  <c r="BH58" i="446" s="1"/>
  <c r="BH59" i="446" s="1"/>
  <c r="BE30" i="446"/>
  <c r="BD30" i="446"/>
  <c r="E30" i="446"/>
  <c r="D30" i="446"/>
  <c r="BH29" i="446"/>
  <c r="BE29" i="446"/>
  <c r="BF30" i="446" s="1"/>
  <c r="BD29" i="446"/>
  <c r="BC29" i="446"/>
  <c r="C29" i="446"/>
  <c r="B29" i="446"/>
  <c r="BH28" i="446"/>
  <c r="BH35" i="446" s="1"/>
  <c r="BH41" i="446" s="1"/>
  <c r="BH46" i="446" s="1"/>
  <c r="BH51" i="446" s="1"/>
  <c r="BH54" i="446" s="1"/>
  <c r="BL12" i="446" s="1"/>
  <c r="BP47" i="446" s="1"/>
  <c r="BE28" i="446"/>
  <c r="BF29" i="446" s="1"/>
  <c r="BD28" i="446"/>
  <c r="BC28" i="446"/>
  <c r="BH27" i="446"/>
  <c r="BH34" i="446" s="1"/>
  <c r="BH40" i="446" s="1"/>
  <c r="BH45" i="446" s="1"/>
  <c r="BH50" i="446" s="1"/>
  <c r="BL11" i="446" s="1"/>
  <c r="BP38" i="446" s="1"/>
  <c r="BP46" i="446" s="1"/>
  <c r="BF27" i="446"/>
  <c r="BE27" i="446"/>
  <c r="BF28" i="446" s="1"/>
  <c r="BD27" i="446"/>
  <c r="BC27" i="446"/>
  <c r="C27" i="446"/>
  <c r="B27" i="446"/>
  <c r="BH26" i="446"/>
  <c r="BF26" i="446"/>
  <c r="BE26" i="446"/>
  <c r="BD26" i="446"/>
  <c r="BC26" i="446"/>
  <c r="E26" i="446"/>
  <c r="E27" i="446" s="1"/>
  <c r="D26" i="446"/>
  <c r="D27" i="446" s="1"/>
  <c r="C26" i="446"/>
  <c r="B26" i="446"/>
  <c r="BH25" i="446"/>
  <c r="BH32" i="446" s="1"/>
  <c r="BH38" i="446" s="1"/>
  <c r="BC25" i="446"/>
  <c r="E25" i="446"/>
  <c r="D25" i="446"/>
  <c r="C25" i="446"/>
  <c r="B25" i="446"/>
  <c r="BH24" i="446"/>
  <c r="BH31" i="446" s="1"/>
  <c r="BH23" i="446"/>
  <c r="BL7" i="446" s="1"/>
  <c r="BP13" i="446" s="1"/>
  <c r="BP17" i="446" s="1"/>
  <c r="BP21" i="446" s="1"/>
  <c r="BP27" i="446" s="1"/>
  <c r="BP34" i="446" s="1"/>
  <c r="BP42" i="446" s="1"/>
  <c r="B22" i="446"/>
  <c r="B20" i="446"/>
  <c r="B21" i="446" s="1"/>
  <c r="AK19" i="446"/>
  <c r="AG19" i="446"/>
  <c r="C16" i="446"/>
  <c r="B16" i="446"/>
  <c r="AK11" i="446"/>
  <c r="AG11" i="446"/>
  <c r="AK10" i="446"/>
  <c r="AG10" i="446"/>
  <c r="BL9" i="446"/>
  <c r="BP23" i="446" s="1"/>
  <c r="BP29" i="446" s="1"/>
  <c r="BP36" i="446" s="1"/>
  <c r="BP44" i="446" s="1"/>
  <c r="AG9" i="446"/>
  <c r="BL8" i="446"/>
  <c r="BP18" i="446" s="1"/>
  <c r="BP22" i="446" s="1"/>
  <c r="BP28" i="446" s="1"/>
  <c r="BP35" i="446" s="1"/>
  <c r="BP43" i="446" s="1"/>
  <c r="AK8" i="446"/>
  <c r="AG8" i="446"/>
  <c r="BP6" i="446"/>
  <c r="BP8" i="446" s="1"/>
  <c r="BP11" i="446" s="1"/>
  <c r="BP15" i="446" s="1"/>
  <c r="BP19" i="446" s="1"/>
  <c r="BP25" i="446" s="1"/>
  <c r="BP32" i="446" s="1"/>
  <c r="BP40" i="446" s="1"/>
  <c r="BL6" i="446"/>
  <c r="BP9" i="446" s="1"/>
  <c r="BP12" i="446" s="1"/>
  <c r="BP16" i="446" s="1"/>
  <c r="BP20" i="446" s="1"/>
  <c r="BP26" i="446" s="1"/>
  <c r="BP33" i="446" s="1"/>
  <c r="BP41" i="446" s="1"/>
  <c r="AK6" i="446"/>
  <c r="AG6" i="446"/>
  <c r="AN6" i="446" s="1"/>
  <c r="BP5" i="446"/>
  <c r="BP7" i="446" s="1"/>
  <c r="BP10" i="446" s="1"/>
  <c r="BP14" i="446" s="1"/>
  <c r="BH49" i="446" s="1"/>
  <c r="BP24" i="446" s="1"/>
  <c r="BP31" i="446" s="1"/>
  <c r="BP39" i="446" s="1"/>
  <c r="BL14" i="446" s="1"/>
  <c r="AK5" i="446"/>
  <c r="AG5" i="446"/>
  <c r="K3" i="446"/>
  <c r="G3" i="446"/>
  <c r="D3" i="446"/>
  <c r="K2" i="446"/>
  <c r="G2" i="446"/>
  <c r="K1" i="446"/>
  <c r="G1" i="446"/>
  <c r="C23" i="447" l="1"/>
  <c r="B34" i="447"/>
  <c r="B24" i="447"/>
  <c r="T43" i="447"/>
  <c r="T47" i="447"/>
  <c r="T48" i="447"/>
  <c r="T40" i="447"/>
  <c r="D23" i="446"/>
  <c r="AI7" i="447"/>
  <c r="AI14" i="447"/>
  <c r="AI11" i="447"/>
  <c r="Y11" i="447" s="1"/>
  <c r="AA11" i="447" s="1"/>
  <c r="AB11" i="447" s="1"/>
  <c r="AI18" i="447"/>
  <c r="Y18" i="447" s="1"/>
  <c r="AA18" i="447" s="1"/>
  <c r="AB18" i="447" s="1"/>
  <c r="AI15" i="447"/>
  <c r="O15" i="447" s="1"/>
  <c r="Q15" i="447" s="1"/>
  <c r="R15" i="447" s="1"/>
  <c r="AI10" i="447"/>
  <c r="Y10" i="447" s="1"/>
  <c r="AA10" i="447" s="1"/>
  <c r="AB10" i="447" s="1"/>
  <c r="AI12" i="447"/>
  <c r="Y12" i="447" s="1"/>
  <c r="AA12" i="447" s="1"/>
  <c r="AB12" i="447" s="1"/>
  <c r="Y7" i="447"/>
  <c r="AA7" i="447" s="1"/>
  <c r="AB7" i="447" s="1"/>
  <c r="O7" i="447"/>
  <c r="Q7" i="447" s="1"/>
  <c r="R7" i="447" s="1"/>
  <c r="Y15" i="447"/>
  <c r="AA15" i="447" s="1"/>
  <c r="AB15" i="447" s="1"/>
  <c r="AI5" i="447"/>
  <c r="O11" i="447"/>
  <c r="Q11" i="447" s="1"/>
  <c r="R11" i="447" s="1"/>
  <c r="AI19" i="447"/>
  <c r="AI17" i="447"/>
  <c r="AI8" i="447"/>
  <c r="AI6" i="447"/>
  <c r="AI16" i="447"/>
  <c r="AI9" i="447"/>
  <c r="AI13" i="447"/>
  <c r="C22" i="446"/>
  <c r="AN15" i="446"/>
  <c r="AG13" i="446"/>
  <c r="AN13" i="446" s="1"/>
  <c r="AK16" i="446"/>
  <c r="AN14" i="446"/>
  <c r="AN8" i="446"/>
  <c r="AN19" i="446"/>
  <c r="AN12" i="446"/>
  <c r="AN5" i="446"/>
  <c r="AN11" i="446"/>
  <c r="AN10" i="446"/>
  <c r="AN9" i="446"/>
  <c r="AN7" i="446"/>
  <c r="E23" i="446"/>
  <c r="B23" i="446"/>
  <c r="B34" i="446" s="1"/>
  <c r="C31" i="446"/>
  <c r="W39" i="446" s="1"/>
  <c r="BF31" i="446"/>
  <c r="B31" i="446"/>
  <c r="BF44" i="446"/>
  <c r="T37" i="447" l="1"/>
  <c r="N30" i="447"/>
  <c r="P30" i="447" s="1"/>
  <c r="R35" i="447" s="1"/>
  <c r="N25" i="447"/>
  <c r="N27" i="447"/>
  <c r="P27" i="447" s="1"/>
  <c r="N29" i="447"/>
  <c r="P29" i="447" s="1"/>
  <c r="R34" i="447" s="1"/>
  <c r="N28" i="447"/>
  <c r="P28" i="447" s="1"/>
  <c r="N26" i="447"/>
  <c r="T27" i="447"/>
  <c r="T26" i="447"/>
  <c r="T33" i="447"/>
  <c r="T30" i="447"/>
  <c r="T31" i="447"/>
  <c r="C24" i="447"/>
  <c r="T25" i="447"/>
  <c r="C34" i="447"/>
  <c r="T29" i="447"/>
  <c r="T28" i="447"/>
  <c r="T35" i="447"/>
  <c r="T34" i="447"/>
  <c r="T32" i="447"/>
  <c r="O10" i="447"/>
  <c r="Q10" i="447" s="1"/>
  <c r="R10" i="447" s="1"/>
  <c r="S10" i="447" s="1"/>
  <c r="O18" i="447"/>
  <c r="Q18" i="447" s="1"/>
  <c r="R18" i="447" s="1"/>
  <c r="O12" i="447"/>
  <c r="Q12" i="447" s="1"/>
  <c r="R12" i="447" s="1"/>
  <c r="S12" i="447" s="1"/>
  <c r="Y16" i="447"/>
  <c r="AA16" i="447" s="1"/>
  <c r="AB16" i="447" s="1"/>
  <c r="O16" i="447"/>
  <c r="Q16" i="447" s="1"/>
  <c r="R16" i="447" s="1"/>
  <c r="Y19" i="447"/>
  <c r="AA19" i="447" s="1"/>
  <c r="AB19" i="447" s="1"/>
  <c r="O19" i="447"/>
  <c r="Q19" i="447" s="1"/>
  <c r="R19" i="447" s="1"/>
  <c r="Y9" i="447"/>
  <c r="AA9" i="447" s="1"/>
  <c r="AB9" i="447" s="1"/>
  <c r="O9" i="447"/>
  <c r="Q9" i="447" s="1"/>
  <c r="R9" i="447" s="1"/>
  <c r="O8" i="447"/>
  <c r="Q8" i="447" s="1"/>
  <c r="R8" i="447" s="1"/>
  <c r="Y8" i="447"/>
  <c r="AA8" i="447" s="1"/>
  <c r="AB8" i="447" s="1"/>
  <c r="AC12" i="447"/>
  <c r="AC11" i="447"/>
  <c r="S15" i="447"/>
  <c r="O14" i="447"/>
  <c r="Q14" i="447" s="1"/>
  <c r="R14" i="447" s="1"/>
  <c r="Y14" i="447"/>
  <c r="AA14" i="447" s="1"/>
  <c r="AB14" i="447" s="1"/>
  <c r="O17" i="447"/>
  <c r="Q17" i="447" s="1"/>
  <c r="R17" i="447" s="1"/>
  <c r="Y17" i="447"/>
  <c r="AA17" i="447" s="1"/>
  <c r="AB17" i="447" s="1"/>
  <c r="S11" i="447"/>
  <c r="AC15" i="447"/>
  <c r="O5" i="447"/>
  <c r="Q5" i="447" s="1"/>
  <c r="R5" i="447" s="1"/>
  <c r="AI3" i="447"/>
  <c r="Y5" i="447"/>
  <c r="AA5" i="447" s="1"/>
  <c r="AB5" i="447" s="1"/>
  <c r="S18" i="447"/>
  <c r="S7" i="447"/>
  <c r="O13" i="447"/>
  <c r="Q13" i="447" s="1"/>
  <c r="R13" i="447" s="1"/>
  <c r="Y13" i="447"/>
  <c r="AA13" i="447" s="1"/>
  <c r="AB13" i="447" s="1"/>
  <c r="O6" i="447"/>
  <c r="Q6" i="447" s="1"/>
  <c r="R6" i="447" s="1"/>
  <c r="Y6" i="447"/>
  <c r="AA6" i="447" s="1"/>
  <c r="AB6" i="447" s="1"/>
  <c r="AC10" i="447"/>
  <c r="AC18" i="447"/>
  <c r="AC7" i="447"/>
  <c r="C23" i="446"/>
  <c r="T27" i="446" s="1"/>
  <c r="AK13" i="446"/>
  <c r="AG16" i="446"/>
  <c r="AN16" i="446" s="1"/>
  <c r="AN3" i="446" s="1"/>
  <c r="B24" i="446"/>
  <c r="N30" i="446" s="1"/>
  <c r="P30" i="446" s="1"/>
  <c r="R35" i="446" s="1"/>
  <c r="T44" i="446"/>
  <c r="T49" i="446"/>
  <c r="T39" i="446"/>
  <c r="T41" i="446"/>
  <c r="T48" i="446"/>
  <c r="T42" i="446"/>
  <c r="T43" i="446"/>
  <c r="T46" i="446"/>
  <c r="T47" i="446"/>
  <c r="T45" i="446"/>
  <c r="W25" i="446"/>
  <c r="T40" i="446"/>
  <c r="N29" i="446"/>
  <c r="P29" i="446" s="1"/>
  <c r="N26" i="446"/>
  <c r="N25" i="446"/>
  <c r="N27" i="446"/>
  <c r="P27" i="446" s="1"/>
  <c r="BF48" i="444"/>
  <c r="BF47" i="444"/>
  <c r="BF46" i="444"/>
  <c r="BF45" i="444"/>
  <c r="BE45" i="444"/>
  <c r="BE44" i="444"/>
  <c r="BD44" i="444"/>
  <c r="BE43" i="444"/>
  <c r="BF43" i="444" s="1"/>
  <c r="BD43" i="444"/>
  <c r="BC43" i="444"/>
  <c r="BF42" i="444"/>
  <c r="BE42" i="444"/>
  <c r="BD42" i="444"/>
  <c r="BC42" i="444"/>
  <c r="BF41" i="444"/>
  <c r="BE41" i="444"/>
  <c r="BD41" i="444"/>
  <c r="BC41" i="444"/>
  <c r="BF40" i="444"/>
  <c r="BE40" i="444"/>
  <c r="BD40" i="444"/>
  <c r="BC40" i="444"/>
  <c r="BC39" i="444"/>
  <c r="AS38" i="444"/>
  <c r="AR38" i="444"/>
  <c r="AQ38" i="444"/>
  <c r="AP38" i="444"/>
  <c r="AO38" i="444"/>
  <c r="AN38" i="444"/>
  <c r="AM38" i="444"/>
  <c r="AL38" i="444"/>
  <c r="AK38" i="444"/>
  <c r="AJ38" i="444"/>
  <c r="AI38" i="444"/>
  <c r="AH38" i="444"/>
  <c r="AG38" i="444"/>
  <c r="AF38" i="444"/>
  <c r="AE38" i="444"/>
  <c r="AD38" i="444"/>
  <c r="AC38" i="444"/>
  <c r="AB38" i="444"/>
  <c r="AA38" i="444"/>
  <c r="Z38" i="444"/>
  <c r="Y38" i="444"/>
  <c r="X38" i="444"/>
  <c r="W38" i="444"/>
  <c r="V38" i="444"/>
  <c r="U38" i="444"/>
  <c r="T38" i="444"/>
  <c r="S38" i="444"/>
  <c r="R38" i="444"/>
  <c r="Q38" i="444"/>
  <c r="P38" i="444"/>
  <c r="O38" i="444"/>
  <c r="N38" i="444"/>
  <c r="M38" i="444"/>
  <c r="L38" i="444"/>
  <c r="K38" i="444"/>
  <c r="J38" i="444"/>
  <c r="I38" i="444"/>
  <c r="H38" i="444"/>
  <c r="G38" i="444"/>
  <c r="BH36" i="444"/>
  <c r="BH42" i="444" s="1"/>
  <c r="BH47" i="444" s="1"/>
  <c r="BH52" i="444" s="1"/>
  <c r="BH55" i="444" s="1"/>
  <c r="BH57" i="444" s="1"/>
  <c r="BL13" i="444" s="1"/>
  <c r="BF34" i="444"/>
  <c r="BF33" i="444"/>
  <c r="C33" i="444"/>
  <c r="B33" i="444"/>
  <c r="BF32" i="444"/>
  <c r="C32" i="444"/>
  <c r="B32" i="444"/>
  <c r="BF31" i="444"/>
  <c r="BE31" i="444"/>
  <c r="BP30" i="444"/>
  <c r="BP37" i="444" s="1"/>
  <c r="BP45" i="444" s="1"/>
  <c r="BH30" i="444"/>
  <c r="BH37" i="444" s="1"/>
  <c r="BH43" i="444" s="1"/>
  <c r="BH48" i="444" s="1"/>
  <c r="BH53" i="444" s="1"/>
  <c r="BH56" i="444" s="1"/>
  <c r="BH58" i="444" s="1"/>
  <c r="BH59" i="444" s="1"/>
  <c r="BE30" i="444"/>
  <c r="BD30" i="444"/>
  <c r="E30" i="444"/>
  <c r="D30" i="444"/>
  <c r="BH29" i="444"/>
  <c r="BF29" i="444"/>
  <c r="BE29" i="444"/>
  <c r="BF30" i="444" s="1"/>
  <c r="BD29" i="444"/>
  <c r="BC29" i="444"/>
  <c r="C29" i="444"/>
  <c r="B29" i="444"/>
  <c r="BH28" i="444"/>
  <c r="BH35" i="444" s="1"/>
  <c r="BH41" i="444" s="1"/>
  <c r="BH46" i="444" s="1"/>
  <c r="BH51" i="444" s="1"/>
  <c r="BH54" i="444" s="1"/>
  <c r="BF28" i="444"/>
  <c r="BE28" i="444"/>
  <c r="BD28" i="444"/>
  <c r="BC28" i="444"/>
  <c r="BH27" i="444"/>
  <c r="BH34" i="444" s="1"/>
  <c r="BH40" i="444" s="1"/>
  <c r="BH45" i="444" s="1"/>
  <c r="BH50" i="444" s="1"/>
  <c r="BF27" i="444"/>
  <c r="BE27" i="444"/>
  <c r="BD27" i="444"/>
  <c r="BC27" i="444"/>
  <c r="C27" i="444"/>
  <c r="B27" i="444"/>
  <c r="BH26" i="444"/>
  <c r="BH33" i="444" s="1"/>
  <c r="BH39" i="444" s="1"/>
  <c r="BH44" i="444" s="1"/>
  <c r="BF26" i="444"/>
  <c r="BE26" i="444"/>
  <c r="BD26" i="444"/>
  <c r="BC26" i="444"/>
  <c r="E26" i="444"/>
  <c r="E27" i="444" s="1"/>
  <c r="D26" i="444"/>
  <c r="D27" i="444" s="1"/>
  <c r="D23" i="444" s="1"/>
  <c r="C26" i="444"/>
  <c r="B26" i="444"/>
  <c r="BH25" i="444"/>
  <c r="BH32" i="444" s="1"/>
  <c r="BH38" i="444" s="1"/>
  <c r="BC25" i="444"/>
  <c r="E25" i="444"/>
  <c r="E23" i="444" s="1"/>
  <c r="D25" i="444"/>
  <c r="C25" i="444"/>
  <c r="B25" i="444"/>
  <c r="BH24" i="444"/>
  <c r="BH31" i="444" s="1"/>
  <c r="BL8" i="444" s="1"/>
  <c r="BP18" i="444" s="1"/>
  <c r="BP22" i="444" s="1"/>
  <c r="BP28" i="444" s="1"/>
  <c r="BP35" i="444" s="1"/>
  <c r="BP43" i="444" s="1"/>
  <c r="BH23" i="444"/>
  <c r="B22" i="444"/>
  <c r="C22" i="444" s="1"/>
  <c r="B20" i="444"/>
  <c r="B21" i="444" s="1"/>
  <c r="AK19" i="444"/>
  <c r="AG19" i="444"/>
  <c r="Z19" i="444"/>
  <c r="P19" i="444"/>
  <c r="AA18" i="444"/>
  <c r="Q18" i="444"/>
  <c r="AK17" i="444"/>
  <c r="AG17" i="444"/>
  <c r="Z17" i="444"/>
  <c r="P17" i="444"/>
  <c r="AA16" i="444"/>
  <c r="Q16" i="444"/>
  <c r="C16" i="444"/>
  <c r="B16" i="444"/>
  <c r="AA15" i="444"/>
  <c r="Q15" i="444"/>
  <c r="AN14" i="444"/>
  <c r="Z14" i="444"/>
  <c r="P14" i="444"/>
  <c r="O14" i="444"/>
  <c r="BP13" i="444"/>
  <c r="BP17" i="444" s="1"/>
  <c r="BP21" i="444" s="1"/>
  <c r="BP27" i="444" s="1"/>
  <c r="BP34" i="444" s="1"/>
  <c r="BP42" i="444" s="1"/>
  <c r="Z13" i="444"/>
  <c r="P13" i="444"/>
  <c r="BL12" i="444"/>
  <c r="BP47" i="444" s="1"/>
  <c r="AA12" i="444"/>
  <c r="Q12" i="444"/>
  <c r="BL11" i="444"/>
  <c r="BP38" i="444" s="1"/>
  <c r="BP46" i="444" s="1"/>
  <c r="AK11" i="444"/>
  <c r="AG11" i="444"/>
  <c r="Z11" i="444"/>
  <c r="P11" i="444"/>
  <c r="BL10" i="444"/>
  <c r="AK10" i="444"/>
  <c r="AG10" i="444"/>
  <c r="Z10" i="444"/>
  <c r="P10" i="444"/>
  <c r="BP9" i="444"/>
  <c r="BP12" i="444" s="1"/>
  <c r="BP16" i="444" s="1"/>
  <c r="BP20" i="444" s="1"/>
  <c r="BP26" i="444" s="1"/>
  <c r="BP33" i="444" s="1"/>
  <c r="BP41" i="444" s="1"/>
  <c r="BL9" i="444"/>
  <c r="BP23" i="444" s="1"/>
  <c r="BP29" i="444" s="1"/>
  <c r="BP36" i="444" s="1"/>
  <c r="BP44" i="444" s="1"/>
  <c r="AK9" i="444"/>
  <c r="AG9" i="444"/>
  <c r="Z9" i="444"/>
  <c r="P9" i="444"/>
  <c r="BP8" i="444"/>
  <c r="BP11" i="444" s="1"/>
  <c r="BP15" i="444" s="1"/>
  <c r="BP19" i="444" s="1"/>
  <c r="BP25" i="444" s="1"/>
  <c r="BP32" i="444" s="1"/>
  <c r="BP40" i="444" s="1"/>
  <c r="AK8" i="444"/>
  <c r="AG8" i="444"/>
  <c r="Z8" i="444"/>
  <c r="P8" i="444"/>
  <c r="BL7" i="444"/>
  <c r="Z7" i="444"/>
  <c r="AA7" i="444" s="1"/>
  <c r="Q7" i="444"/>
  <c r="P7" i="444"/>
  <c r="BP6" i="444"/>
  <c r="BL6" i="444"/>
  <c r="AK6" i="444"/>
  <c r="AG6" i="444"/>
  <c r="Z6" i="444"/>
  <c r="P6" i="444"/>
  <c r="BP5" i="444"/>
  <c r="BP7" i="444" s="1"/>
  <c r="BP10" i="444" s="1"/>
  <c r="BP14" i="444" s="1"/>
  <c r="BH49" i="444" s="1"/>
  <c r="BP24" i="444" s="1"/>
  <c r="BP31" i="444" s="1"/>
  <c r="BP39" i="444" s="1"/>
  <c r="BL14" i="444" s="1"/>
  <c r="AK5" i="444"/>
  <c r="AG5" i="444"/>
  <c r="Z5" i="444"/>
  <c r="P5" i="444"/>
  <c r="K3" i="444"/>
  <c r="D3" i="444"/>
  <c r="G3" i="444" s="1"/>
  <c r="AI2" i="444"/>
  <c r="S2" i="444"/>
  <c r="G2" i="444"/>
  <c r="S1" i="444"/>
  <c r="K1" i="444"/>
  <c r="N44" i="447" l="1"/>
  <c r="P44" i="447" s="1"/>
  <c r="N42" i="447"/>
  <c r="P42" i="447" s="1"/>
  <c r="N41" i="447"/>
  <c r="P41" i="447" s="1"/>
  <c r="N39" i="447"/>
  <c r="N43" i="447"/>
  <c r="P43" i="447" s="1"/>
  <c r="N40" i="447"/>
  <c r="P40" i="447" s="1"/>
  <c r="R32" i="447"/>
  <c r="P26" i="447"/>
  <c r="R31" i="447" s="1"/>
  <c r="P25" i="447"/>
  <c r="N23" i="447"/>
  <c r="T23" i="447"/>
  <c r="R33" i="447"/>
  <c r="N28" i="446"/>
  <c r="P28" i="446" s="1"/>
  <c r="T25" i="446"/>
  <c r="T29" i="446"/>
  <c r="T35" i="446"/>
  <c r="C34" i="446"/>
  <c r="T28" i="446"/>
  <c r="T31" i="446"/>
  <c r="T32" i="446"/>
  <c r="T33" i="446"/>
  <c r="T26" i="446"/>
  <c r="T30" i="446"/>
  <c r="T34" i="446"/>
  <c r="C24" i="446"/>
  <c r="N44" i="446" s="1"/>
  <c r="P44" i="446" s="1"/>
  <c r="AC6" i="447"/>
  <c r="S5" i="447"/>
  <c r="S19" i="447"/>
  <c r="S6" i="447"/>
  <c r="AC17" i="447"/>
  <c r="AC19" i="447"/>
  <c r="AC13" i="447"/>
  <c r="AC5" i="447"/>
  <c r="S17" i="447"/>
  <c r="S9" i="447"/>
  <c r="S16" i="447"/>
  <c r="S14" i="447"/>
  <c r="AC8" i="447"/>
  <c r="S8" i="447"/>
  <c r="S13" i="447"/>
  <c r="AC14" i="447"/>
  <c r="AC9" i="447"/>
  <c r="AC16" i="447"/>
  <c r="AD9" i="447" s="1"/>
  <c r="AI7" i="446"/>
  <c r="AI11" i="446"/>
  <c r="AI15" i="446"/>
  <c r="AI19" i="446"/>
  <c r="AI6" i="446"/>
  <c r="AI18" i="446"/>
  <c r="AI8" i="446"/>
  <c r="AI12" i="446"/>
  <c r="AI16" i="446"/>
  <c r="AI5" i="446"/>
  <c r="AI14" i="446"/>
  <c r="AI9" i="446"/>
  <c r="AI17" i="446"/>
  <c r="AI10" i="446"/>
  <c r="AI13" i="446"/>
  <c r="R32" i="446"/>
  <c r="R34" i="446"/>
  <c r="T37" i="446"/>
  <c r="P26" i="446"/>
  <c r="R31" i="446" s="1"/>
  <c r="R33" i="446"/>
  <c r="P25" i="446"/>
  <c r="N23" i="446"/>
  <c r="R18" i="444"/>
  <c r="R12" i="444"/>
  <c r="R7" i="444"/>
  <c r="AN6" i="444"/>
  <c r="AN17" i="444"/>
  <c r="AN11" i="444"/>
  <c r="AN9" i="444"/>
  <c r="AN10" i="444"/>
  <c r="AN19" i="444"/>
  <c r="AI19" i="444" s="1"/>
  <c r="AN8" i="444"/>
  <c r="AN5" i="444"/>
  <c r="AB7" i="444"/>
  <c r="AC7" i="444" s="1"/>
  <c r="Q14" i="444"/>
  <c r="R14" i="444" s="1"/>
  <c r="S14" i="444" s="1"/>
  <c r="S12" i="444"/>
  <c r="S7" i="444"/>
  <c r="AB12" i="444"/>
  <c r="AB16" i="444"/>
  <c r="AB18" i="444"/>
  <c r="S18" i="444"/>
  <c r="R15" i="444"/>
  <c r="B23" i="444"/>
  <c r="R16" i="444"/>
  <c r="AB15" i="444"/>
  <c r="G1" i="444"/>
  <c r="K2" i="444"/>
  <c r="B31" i="444"/>
  <c r="W25" i="444" s="1"/>
  <c r="BF44" i="444"/>
  <c r="C31" i="444"/>
  <c r="W39" i="444" s="1"/>
  <c r="O5" i="436"/>
  <c r="O6" i="436"/>
  <c r="O8" i="436"/>
  <c r="O9" i="436"/>
  <c r="O10" i="436"/>
  <c r="O11" i="436"/>
  <c r="O19" i="436"/>
  <c r="Y5" i="436"/>
  <c r="Y6" i="436"/>
  <c r="Y8" i="436"/>
  <c r="Y9" i="436"/>
  <c r="Y10" i="436"/>
  <c r="Y11" i="436"/>
  <c r="Y19" i="436"/>
  <c r="N37" i="447" l="1"/>
  <c r="P39" i="447"/>
  <c r="R44" i="447"/>
  <c r="R43" i="447"/>
  <c r="R25" i="447"/>
  <c r="R29" i="447"/>
  <c r="P23" i="447"/>
  <c r="R27" i="447"/>
  <c r="V27" i="447" s="1"/>
  <c r="R30" i="447"/>
  <c r="R28" i="447"/>
  <c r="R41" i="447"/>
  <c r="R42" i="447"/>
  <c r="R26" i="447"/>
  <c r="R48" i="447"/>
  <c r="R46" i="447"/>
  <c r="R49" i="447"/>
  <c r="R47" i="447"/>
  <c r="R45" i="447"/>
  <c r="N42" i="446"/>
  <c r="P42" i="446" s="1"/>
  <c r="N41" i="446"/>
  <c r="P41" i="446" s="1"/>
  <c r="T23" i="446"/>
  <c r="N40" i="446"/>
  <c r="P40" i="446" s="1"/>
  <c r="N43" i="446"/>
  <c r="P43" i="446" s="1"/>
  <c r="N39" i="446"/>
  <c r="P39" i="446" s="1"/>
  <c r="AD17" i="447"/>
  <c r="AE18" i="447"/>
  <c r="T17" i="447"/>
  <c r="AE7" i="447"/>
  <c r="U16" i="447"/>
  <c r="AD5" i="447"/>
  <c r="AD19" i="447"/>
  <c r="AE15" i="447"/>
  <c r="U15" i="447"/>
  <c r="AE9" i="447"/>
  <c r="T6" i="447"/>
  <c r="AD16" i="447"/>
  <c r="AD14" i="447"/>
  <c r="AD6" i="447"/>
  <c r="AE17" i="447"/>
  <c r="T5" i="447"/>
  <c r="T8" i="447"/>
  <c r="AE11" i="447"/>
  <c r="U8" i="447"/>
  <c r="AE5" i="447"/>
  <c r="AE16" i="447"/>
  <c r="U13" i="447"/>
  <c r="U12" i="447"/>
  <c r="AD13" i="447"/>
  <c r="AE13" i="447"/>
  <c r="U9" i="447"/>
  <c r="U6" i="447"/>
  <c r="S20" i="447"/>
  <c r="T15" i="447"/>
  <c r="T18" i="447"/>
  <c r="T11" i="447"/>
  <c r="T10" i="447"/>
  <c r="T12" i="447"/>
  <c r="T7" i="447"/>
  <c r="U10" i="447"/>
  <c r="T13" i="447"/>
  <c r="U7" i="447"/>
  <c r="T14" i="447"/>
  <c r="T16" i="447"/>
  <c r="T9" i="447"/>
  <c r="U17" i="447"/>
  <c r="AE12" i="447"/>
  <c r="U18" i="447"/>
  <c r="U11" i="447"/>
  <c r="AE8" i="447"/>
  <c r="U5" i="447"/>
  <c r="AE14" i="447"/>
  <c r="AD8" i="447"/>
  <c r="U14" i="447"/>
  <c r="AC20" i="447"/>
  <c r="AD12" i="447"/>
  <c r="AD10" i="447"/>
  <c r="AD18" i="447"/>
  <c r="AE10" i="447"/>
  <c r="AD11" i="447"/>
  <c r="AD15" i="447"/>
  <c r="AD7" i="447"/>
  <c r="T19" i="447"/>
  <c r="AE6" i="447"/>
  <c r="Y9" i="446"/>
  <c r="AA9" i="446" s="1"/>
  <c r="O9" i="446"/>
  <c r="Q9" i="446" s="1"/>
  <c r="O13" i="446"/>
  <c r="Q13" i="446" s="1"/>
  <c r="Y13" i="446"/>
  <c r="AA13" i="446" s="1"/>
  <c r="O14" i="446"/>
  <c r="Q14" i="446" s="1"/>
  <c r="Y14" i="446"/>
  <c r="AA14" i="446" s="1"/>
  <c r="Y8" i="446"/>
  <c r="AA8" i="446" s="1"/>
  <c r="O8" i="446"/>
  <c r="Q8" i="446" s="1"/>
  <c r="Y15" i="446"/>
  <c r="AA15" i="446" s="1"/>
  <c r="O15" i="446"/>
  <c r="Q15" i="446" s="1"/>
  <c r="O12" i="446"/>
  <c r="Q12" i="446" s="1"/>
  <c r="Y12" i="446"/>
  <c r="AA12" i="446" s="1"/>
  <c r="O10" i="446"/>
  <c r="Q10" i="446" s="1"/>
  <c r="Y10" i="446"/>
  <c r="AA10" i="446" s="1"/>
  <c r="Y5" i="446"/>
  <c r="AA5" i="446" s="1"/>
  <c r="O5" i="446"/>
  <c r="Q5" i="446" s="1"/>
  <c r="Y18" i="446"/>
  <c r="AA18" i="446" s="1"/>
  <c r="O18" i="446"/>
  <c r="Q18" i="446" s="1"/>
  <c r="Y11" i="446"/>
  <c r="AA11" i="446" s="1"/>
  <c r="O11" i="446"/>
  <c r="Q11" i="446" s="1"/>
  <c r="O19" i="446"/>
  <c r="Q19" i="446" s="1"/>
  <c r="Y19" i="446"/>
  <c r="AA19" i="446" s="1"/>
  <c r="O17" i="446"/>
  <c r="Q17" i="446" s="1"/>
  <c r="Y17" i="446"/>
  <c r="AA17" i="446" s="1"/>
  <c r="Y16" i="446"/>
  <c r="AA16" i="446" s="1"/>
  <c r="O16" i="446"/>
  <c r="Q16" i="446" s="1"/>
  <c r="O6" i="446"/>
  <c r="Q6" i="446" s="1"/>
  <c r="Y6" i="446"/>
  <c r="AA6" i="446" s="1"/>
  <c r="Y7" i="446"/>
  <c r="AA7" i="446" s="1"/>
  <c r="O7" i="446"/>
  <c r="Q7" i="446" s="1"/>
  <c r="AI3" i="446"/>
  <c r="R26" i="446"/>
  <c r="N37" i="446"/>
  <c r="R47" i="446"/>
  <c r="R49" i="446"/>
  <c r="R48" i="446"/>
  <c r="R28" i="446"/>
  <c r="R25" i="446"/>
  <c r="R27" i="446"/>
  <c r="R30" i="446"/>
  <c r="R29" i="446"/>
  <c r="P23" i="446"/>
  <c r="AI6" i="444"/>
  <c r="AI14" i="444"/>
  <c r="Y14" i="444" s="1"/>
  <c r="AA14" i="444" s="1"/>
  <c r="AB14" i="444" s="1"/>
  <c r="AC14" i="444" s="1"/>
  <c r="AI10" i="444"/>
  <c r="AI11" i="444"/>
  <c r="AI17" i="444"/>
  <c r="O19" i="444"/>
  <c r="Q19" i="444" s="1"/>
  <c r="R19" i="444" s="1"/>
  <c r="S19" i="444" s="1"/>
  <c r="Y19" i="444"/>
  <c r="AA19" i="444" s="1"/>
  <c r="AB19" i="444" s="1"/>
  <c r="AC19" i="444" s="1"/>
  <c r="AI5" i="444"/>
  <c r="O5" i="444" s="1"/>
  <c r="Q5" i="444" s="1"/>
  <c r="R5" i="444" s="1"/>
  <c r="S5" i="444" s="1"/>
  <c r="AI13" i="444"/>
  <c r="O13" i="444" s="1"/>
  <c r="Q13" i="444" s="1"/>
  <c r="R13" i="444" s="1"/>
  <c r="AI8" i="444"/>
  <c r="AI9" i="444"/>
  <c r="T39" i="444"/>
  <c r="T43" i="444"/>
  <c r="T48" i="444"/>
  <c r="T46" i="444"/>
  <c r="T45" i="444"/>
  <c r="T41" i="444"/>
  <c r="T40" i="444"/>
  <c r="B24" i="444"/>
  <c r="T47" i="444"/>
  <c r="B34" i="444"/>
  <c r="T44" i="444"/>
  <c r="T49" i="444"/>
  <c r="AC15" i="444"/>
  <c r="AC16" i="444"/>
  <c r="AC18" i="444"/>
  <c r="C23" i="444"/>
  <c r="T42" i="444"/>
  <c r="S16" i="444"/>
  <c r="S15" i="444"/>
  <c r="AC12" i="444"/>
  <c r="R46" i="446" l="1"/>
  <c r="AC26" i="447"/>
  <c r="AC25" i="447"/>
  <c r="AC27" i="447"/>
  <c r="V41" i="447"/>
  <c r="V28" i="447"/>
  <c r="R40" i="447"/>
  <c r="R39" i="447"/>
  <c r="P37" i="447"/>
  <c r="V26" i="447"/>
  <c r="V29" i="447"/>
  <c r="V33" i="447"/>
  <c r="V31" i="447"/>
  <c r="R23" i="447"/>
  <c r="V30" i="447"/>
  <c r="V25" i="447"/>
  <c r="V32" i="447"/>
  <c r="V34" i="447"/>
  <c r="AB7" i="446"/>
  <c r="AC7" i="446" s="1"/>
  <c r="AB18" i="446"/>
  <c r="AC18" i="446" s="1"/>
  <c r="R14" i="446"/>
  <c r="S14" i="446" s="1"/>
  <c r="AB6" i="446"/>
  <c r="AB17" i="446"/>
  <c r="AC17" i="446" s="1"/>
  <c r="R11" i="446"/>
  <c r="R5" i="446"/>
  <c r="S5" i="446" s="1"/>
  <c r="AB12" i="446"/>
  <c r="AC12" i="446" s="1"/>
  <c r="R8" i="446"/>
  <c r="S8" i="446" s="1"/>
  <c r="AB13" i="446"/>
  <c r="AC13" i="446" s="1"/>
  <c r="R19" i="446"/>
  <c r="S19" i="446" s="1"/>
  <c r="AB15" i="446"/>
  <c r="R6" i="446"/>
  <c r="S6" i="446" s="1"/>
  <c r="R17" i="446"/>
  <c r="S17" i="446" s="1"/>
  <c r="AB11" i="446"/>
  <c r="AC11" i="446" s="1"/>
  <c r="AB5" i="446"/>
  <c r="R12" i="446"/>
  <c r="S12" i="446" s="1"/>
  <c r="AB8" i="446"/>
  <c r="AC8" i="446" s="1"/>
  <c r="R13" i="446"/>
  <c r="S13" i="446" s="1"/>
  <c r="AB16" i="446"/>
  <c r="R10" i="446"/>
  <c r="S10" i="446" s="1"/>
  <c r="AB9" i="446"/>
  <c r="R7" i="446"/>
  <c r="S7" i="446" s="1"/>
  <c r="R16" i="446"/>
  <c r="S16" i="446" s="1"/>
  <c r="AB19" i="446"/>
  <c r="AC19" i="446" s="1"/>
  <c r="R18" i="446"/>
  <c r="AB10" i="446"/>
  <c r="AC10" i="446" s="1"/>
  <c r="R15" i="446"/>
  <c r="AB14" i="446"/>
  <c r="AC14" i="446" s="1"/>
  <c r="R9" i="446"/>
  <c r="R45" i="446"/>
  <c r="R44" i="446"/>
  <c r="AE20" i="447"/>
  <c r="L41" i="447" s="1"/>
  <c r="U20" i="447"/>
  <c r="L27" i="447" s="1"/>
  <c r="T20" i="447"/>
  <c r="L26" i="447" s="1"/>
  <c r="AD20" i="447"/>
  <c r="L40" i="447" s="1"/>
  <c r="L39" i="447"/>
  <c r="L25" i="447"/>
  <c r="R23" i="446"/>
  <c r="V25" i="446"/>
  <c r="V33" i="446"/>
  <c r="V31" i="446"/>
  <c r="V32" i="446"/>
  <c r="V34" i="446"/>
  <c r="V30" i="446"/>
  <c r="V29" i="446"/>
  <c r="R39" i="446"/>
  <c r="P37" i="446"/>
  <c r="V28" i="446"/>
  <c r="R41" i="446"/>
  <c r="V26" i="446"/>
  <c r="R43" i="446"/>
  <c r="V27" i="446"/>
  <c r="R42" i="446"/>
  <c r="R40" i="446"/>
  <c r="O6" i="444"/>
  <c r="Q6" i="444" s="1"/>
  <c r="R6" i="444" s="1"/>
  <c r="S6" i="444" s="1"/>
  <c r="Y6" i="444"/>
  <c r="AA6" i="444" s="1"/>
  <c r="AB6" i="444" s="1"/>
  <c r="AC6" i="444" s="1"/>
  <c r="Y13" i="444"/>
  <c r="AA13" i="444" s="1"/>
  <c r="AB13" i="444" s="1"/>
  <c r="AC13" i="444" s="1"/>
  <c r="Y11" i="444"/>
  <c r="AA11" i="444" s="1"/>
  <c r="AB11" i="444" s="1"/>
  <c r="AC11" i="444" s="1"/>
  <c r="O11" i="444"/>
  <c r="Q11" i="444" s="1"/>
  <c r="R11" i="444" s="1"/>
  <c r="S11" i="444" s="1"/>
  <c r="Y10" i="444"/>
  <c r="AA10" i="444" s="1"/>
  <c r="AB10" i="444" s="1"/>
  <c r="AC10" i="444" s="1"/>
  <c r="O10" i="444"/>
  <c r="Q10" i="444" s="1"/>
  <c r="R10" i="444" s="1"/>
  <c r="S10" i="444" s="1"/>
  <c r="Y5" i="444"/>
  <c r="AA5" i="444" s="1"/>
  <c r="AB5" i="444" s="1"/>
  <c r="AC5" i="444" s="1"/>
  <c r="Y17" i="444"/>
  <c r="AA17" i="444" s="1"/>
  <c r="AB17" i="444" s="1"/>
  <c r="AC17" i="444" s="1"/>
  <c r="O17" i="444"/>
  <c r="Q17" i="444" s="1"/>
  <c r="R17" i="444" s="1"/>
  <c r="S17" i="444" s="1"/>
  <c r="Y8" i="444"/>
  <c r="AA8" i="444" s="1"/>
  <c r="AB8" i="444" s="1"/>
  <c r="AC8" i="444" s="1"/>
  <c r="O8" i="444"/>
  <c r="Q8" i="444" s="1"/>
  <c r="R8" i="444" s="1"/>
  <c r="S8" i="444" s="1"/>
  <c r="O9" i="444"/>
  <c r="Q9" i="444" s="1"/>
  <c r="R9" i="444" s="1"/>
  <c r="S9" i="444" s="1"/>
  <c r="Y9" i="444"/>
  <c r="AA9" i="444" s="1"/>
  <c r="AB9" i="444" s="1"/>
  <c r="AC9" i="444" s="1"/>
  <c r="T37" i="444"/>
  <c r="C34" i="444"/>
  <c r="T25" i="444"/>
  <c r="T27" i="444"/>
  <c r="C24" i="444"/>
  <c r="T26" i="444"/>
  <c r="T30" i="444"/>
  <c r="T28" i="444"/>
  <c r="T29" i="444"/>
  <c r="T34" i="444"/>
  <c r="T33" i="444"/>
  <c r="T35" i="444"/>
  <c r="T32" i="444"/>
  <c r="T31" i="444"/>
  <c r="N29" i="444"/>
  <c r="P29" i="444" s="1"/>
  <c r="N28" i="444"/>
  <c r="P28" i="444" s="1"/>
  <c r="N27" i="444"/>
  <c r="P27" i="444" s="1"/>
  <c r="N30" i="444"/>
  <c r="P30" i="444" s="1"/>
  <c r="R35" i="444" s="1"/>
  <c r="N26" i="444"/>
  <c r="N25" i="444"/>
  <c r="S13" i="444"/>
  <c r="AM29" i="447" l="1"/>
  <c r="AM27" i="447"/>
  <c r="AM30" i="447"/>
  <c r="AM31" i="447"/>
  <c r="AM32" i="447"/>
  <c r="AM25" i="447"/>
  <c r="AM28" i="447"/>
  <c r="AM26" i="447"/>
  <c r="AC39" i="447"/>
  <c r="AC41" i="447"/>
  <c r="AC40" i="447"/>
  <c r="V23" i="447"/>
  <c r="V35" i="447" s="1"/>
  <c r="Y25" i="447"/>
  <c r="AO29" i="447"/>
  <c r="AO31" i="447"/>
  <c r="AO25" i="447"/>
  <c r="AO33" i="447"/>
  <c r="AO26" i="447"/>
  <c r="AO28" i="447"/>
  <c r="AO27" i="447"/>
  <c r="AO30" i="447"/>
  <c r="AO32" i="447"/>
  <c r="V39" i="447"/>
  <c r="V44" i="447"/>
  <c r="R37" i="447"/>
  <c r="V43" i="447"/>
  <c r="V45" i="447"/>
  <c r="V46" i="447"/>
  <c r="V47" i="447"/>
  <c r="V48" i="447"/>
  <c r="AK27" i="447"/>
  <c r="AK30" i="447"/>
  <c r="AK25" i="447"/>
  <c r="AK26" i="447"/>
  <c r="AK28" i="447"/>
  <c r="AK31" i="447"/>
  <c r="AK29" i="447"/>
  <c r="AI25" i="447"/>
  <c r="AI29" i="447"/>
  <c r="AI30" i="447"/>
  <c r="AI26" i="447"/>
  <c r="AI27" i="447"/>
  <c r="AI28" i="447"/>
  <c r="AG26" i="447"/>
  <c r="AG25" i="447"/>
  <c r="AG27" i="447"/>
  <c r="AG29" i="447"/>
  <c r="AG28" i="447"/>
  <c r="V40" i="447"/>
  <c r="V42" i="447"/>
  <c r="AC23" i="447"/>
  <c r="AQ34" i="447"/>
  <c r="AQ32" i="447"/>
  <c r="AQ28" i="447"/>
  <c r="AQ25" i="447"/>
  <c r="AQ31" i="447"/>
  <c r="AQ30" i="447"/>
  <c r="AQ29" i="447"/>
  <c r="AQ26" i="447"/>
  <c r="AQ33" i="447"/>
  <c r="AQ27" i="447"/>
  <c r="AA25" i="447"/>
  <c r="AA26" i="447"/>
  <c r="AE27" i="447"/>
  <c r="AE26" i="447"/>
  <c r="AE25" i="447"/>
  <c r="AE28" i="447"/>
  <c r="S9" i="446"/>
  <c r="T5" i="446" s="1"/>
  <c r="S15" i="446"/>
  <c r="S18" i="446"/>
  <c r="AC9" i="446"/>
  <c r="AC16" i="446"/>
  <c r="AC5" i="446"/>
  <c r="AC15" i="446"/>
  <c r="S11" i="446"/>
  <c r="AC6" i="446"/>
  <c r="AD5" i="446" s="1"/>
  <c r="AF20" i="447"/>
  <c r="L42" i="447" s="1"/>
  <c r="L37" i="447" s="1"/>
  <c r="V20" i="447"/>
  <c r="L28" i="447" s="1"/>
  <c r="V42" i="446"/>
  <c r="AE39" i="446" s="1"/>
  <c r="V40" i="446"/>
  <c r="AA40" i="446" s="1"/>
  <c r="AC27" i="446"/>
  <c r="AC26" i="446"/>
  <c r="AC25" i="446"/>
  <c r="AQ31" i="446"/>
  <c r="AQ26" i="446"/>
  <c r="AQ34" i="446"/>
  <c r="AQ27" i="446"/>
  <c r="AQ29" i="446"/>
  <c r="AQ28" i="446"/>
  <c r="AQ30" i="446"/>
  <c r="AQ33" i="446"/>
  <c r="AQ25" i="446"/>
  <c r="AQ32" i="446"/>
  <c r="AO29" i="446"/>
  <c r="AO33" i="446"/>
  <c r="AO28" i="446"/>
  <c r="AO30" i="446"/>
  <c r="AO31" i="446"/>
  <c r="AO26" i="446"/>
  <c r="AO27" i="446"/>
  <c r="AO32" i="446"/>
  <c r="AO25" i="446"/>
  <c r="AA26" i="446"/>
  <c r="AA25" i="446"/>
  <c r="R37" i="446"/>
  <c r="V39" i="446"/>
  <c r="V46" i="446"/>
  <c r="V45" i="446"/>
  <c r="V43" i="446"/>
  <c r="V47" i="446"/>
  <c r="V44" i="446"/>
  <c r="V48" i="446"/>
  <c r="AM30" i="446"/>
  <c r="AM28" i="446"/>
  <c r="AM32" i="446"/>
  <c r="AM27" i="446"/>
  <c r="AM26" i="446"/>
  <c r="AM29" i="446"/>
  <c r="AM31" i="446"/>
  <c r="AM25" i="446"/>
  <c r="Y25" i="446"/>
  <c r="V23" i="446"/>
  <c r="V35" i="446" s="1"/>
  <c r="V22" i="446" s="1"/>
  <c r="AE27" i="446"/>
  <c r="AE25" i="446"/>
  <c r="AE28" i="446"/>
  <c r="AE26" i="446"/>
  <c r="AI29" i="446"/>
  <c r="AI26" i="446"/>
  <c r="AI25" i="446"/>
  <c r="AI28" i="446"/>
  <c r="AI27" i="446"/>
  <c r="AI30" i="446"/>
  <c r="V41" i="446"/>
  <c r="AG25" i="446"/>
  <c r="AG29" i="446"/>
  <c r="AG28" i="446"/>
  <c r="AG27" i="446"/>
  <c r="AG26" i="446"/>
  <c r="AK31" i="446"/>
  <c r="AK26" i="446"/>
  <c r="AK30" i="446"/>
  <c r="AK28" i="446"/>
  <c r="AK27" i="446"/>
  <c r="AK29" i="446"/>
  <c r="AK25" i="446"/>
  <c r="R34" i="444"/>
  <c r="R33" i="444"/>
  <c r="T13" i="444"/>
  <c r="U13" i="444"/>
  <c r="AD7" i="444"/>
  <c r="S20" i="444"/>
  <c r="L25" i="444" s="1"/>
  <c r="AD8" i="444"/>
  <c r="AD19" i="444"/>
  <c r="AE7" i="444"/>
  <c r="T19" i="444"/>
  <c r="AE5" i="444"/>
  <c r="AE11" i="444"/>
  <c r="AD13" i="444"/>
  <c r="AD18" i="444"/>
  <c r="AD16" i="444"/>
  <c r="AD17" i="444"/>
  <c r="AE13" i="444"/>
  <c r="U9" i="444"/>
  <c r="U8" i="444"/>
  <c r="U5" i="444"/>
  <c r="AD10" i="444"/>
  <c r="T8" i="444"/>
  <c r="U15" i="444"/>
  <c r="T7" i="444"/>
  <c r="AE18" i="444"/>
  <c r="T15" i="444"/>
  <c r="T23" i="444"/>
  <c r="U18" i="444"/>
  <c r="AC20" i="444"/>
  <c r="L39" i="444" s="1"/>
  <c r="T10" i="444"/>
  <c r="AE17" i="444"/>
  <c r="AE15" i="444"/>
  <c r="AE16" i="444"/>
  <c r="U16" i="444"/>
  <c r="T17" i="444"/>
  <c r="T14" i="444"/>
  <c r="AD9" i="444"/>
  <c r="U17" i="444"/>
  <c r="T11" i="444"/>
  <c r="T9" i="444"/>
  <c r="AD5" i="444"/>
  <c r="AD15" i="444"/>
  <c r="T18" i="444"/>
  <c r="T12" i="444"/>
  <c r="AD6" i="444"/>
  <c r="AD11" i="444"/>
  <c r="AD14" i="444"/>
  <c r="AD12" i="444"/>
  <c r="AE14" i="444"/>
  <c r="T5" i="444"/>
  <c r="U14" i="444"/>
  <c r="T16" i="444"/>
  <c r="T6" i="444"/>
  <c r="N23" i="444"/>
  <c r="P25" i="444"/>
  <c r="R26" i="444" s="1"/>
  <c r="U11" i="444"/>
  <c r="P26" i="444"/>
  <c r="R31" i="444" s="1"/>
  <c r="AE8" i="444"/>
  <c r="AE9" i="444"/>
  <c r="AE12" i="444"/>
  <c r="AE10" i="444"/>
  <c r="AE6" i="444"/>
  <c r="U12" i="444"/>
  <c r="R32" i="444"/>
  <c r="U7" i="444"/>
  <c r="N43" i="444"/>
  <c r="P43" i="444" s="1"/>
  <c r="N41" i="444"/>
  <c r="P41" i="444" s="1"/>
  <c r="N39" i="444"/>
  <c r="N44" i="444"/>
  <c r="P44" i="444" s="1"/>
  <c r="N42" i="444"/>
  <c r="P42" i="444" s="1"/>
  <c r="N40" i="444"/>
  <c r="P40" i="444" s="1"/>
  <c r="U10" i="444"/>
  <c r="U6" i="444"/>
  <c r="AE15" i="446" l="1"/>
  <c r="T8" i="446"/>
  <c r="T6" i="446"/>
  <c r="AE17" i="446"/>
  <c r="U8" i="446"/>
  <c r="AE7" i="446"/>
  <c r="T15" i="446"/>
  <c r="T19" i="446"/>
  <c r="T7" i="446"/>
  <c r="S20" i="446"/>
  <c r="L25" i="446" s="1"/>
  <c r="T13" i="446"/>
  <c r="U14" i="446"/>
  <c r="U17" i="446"/>
  <c r="T9" i="446"/>
  <c r="T12" i="446"/>
  <c r="T11" i="446"/>
  <c r="U18" i="446"/>
  <c r="T14" i="446"/>
  <c r="AD9" i="446"/>
  <c r="U13" i="446"/>
  <c r="T18" i="446"/>
  <c r="T16" i="446"/>
  <c r="AM46" i="447"/>
  <c r="AM40" i="447"/>
  <c r="AM43" i="447"/>
  <c r="AM42" i="447"/>
  <c r="AM41" i="447"/>
  <c r="AM45" i="447"/>
  <c r="AM44" i="447"/>
  <c r="AM39" i="447"/>
  <c r="AQ23" i="447"/>
  <c r="AK44" i="447"/>
  <c r="AK41" i="447"/>
  <c r="AK42" i="447"/>
  <c r="AK45" i="447"/>
  <c r="AK40" i="447"/>
  <c r="AK39" i="447"/>
  <c r="AK43" i="447"/>
  <c r="V37" i="447"/>
  <c r="V49" i="447" s="1"/>
  <c r="Y39" i="447"/>
  <c r="Y37" i="447" s="1"/>
  <c r="AI43" i="447"/>
  <c r="AI42" i="447"/>
  <c r="AI39" i="447"/>
  <c r="AI40" i="447"/>
  <c r="AI44" i="447"/>
  <c r="AI41" i="447"/>
  <c r="AO23" i="447"/>
  <c r="AE23" i="447"/>
  <c r="AA23" i="447"/>
  <c r="AE39" i="447"/>
  <c r="AE41" i="447"/>
  <c r="AE40" i="447"/>
  <c r="AE42" i="447"/>
  <c r="AI23" i="447"/>
  <c r="AQ48" i="447"/>
  <c r="AQ44" i="447"/>
  <c r="AQ46" i="447"/>
  <c r="AQ45" i="447"/>
  <c r="AQ47" i="447"/>
  <c r="AQ40" i="447"/>
  <c r="AQ39" i="447"/>
  <c r="AQ42" i="447"/>
  <c r="AQ41" i="447"/>
  <c r="AQ43" i="447"/>
  <c r="AG43" i="447"/>
  <c r="AG42" i="447"/>
  <c r="AG40" i="447"/>
  <c r="AG41" i="447"/>
  <c r="AG39" i="447"/>
  <c r="AM23" i="447"/>
  <c r="V22" i="447"/>
  <c r="AS31" i="447"/>
  <c r="J31" i="447" s="1"/>
  <c r="AS28" i="447"/>
  <c r="J28" i="447" s="1"/>
  <c r="AS34" i="447"/>
  <c r="J34" i="447" s="1"/>
  <c r="AS29" i="447"/>
  <c r="J29" i="447" s="1"/>
  <c r="AS26" i="447"/>
  <c r="J26" i="447" s="1"/>
  <c r="AS30" i="447"/>
  <c r="J30" i="447" s="1"/>
  <c r="AS35" i="447"/>
  <c r="J35" i="447" s="1"/>
  <c r="AS25" i="447"/>
  <c r="AS33" i="447"/>
  <c r="J33" i="447" s="1"/>
  <c r="AS27" i="447"/>
  <c r="J27" i="447" s="1"/>
  <c r="AS32" i="447"/>
  <c r="J32" i="447" s="1"/>
  <c r="AA40" i="447"/>
  <c r="AA39" i="447"/>
  <c r="AG23" i="447"/>
  <c r="AK23" i="447"/>
  <c r="AO45" i="447"/>
  <c r="AO46" i="447"/>
  <c r="AO47" i="447"/>
  <c r="AO41" i="447"/>
  <c r="AO39" i="447"/>
  <c r="AO40" i="447"/>
  <c r="AO42" i="447"/>
  <c r="AO44" i="447"/>
  <c r="AO43" i="447"/>
  <c r="Y23" i="447"/>
  <c r="J25" i="447"/>
  <c r="AC37" i="447"/>
  <c r="AD14" i="446"/>
  <c r="U11" i="446"/>
  <c r="U5" i="446"/>
  <c r="AD18" i="446"/>
  <c r="AE18" i="446"/>
  <c r="AE11" i="446"/>
  <c r="AD12" i="446"/>
  <c r="AE8" i="446"/>
  <c r="AD17" i="446"/>
  <c r="AD11" i="446"/>
  <c r="AC20" i="446"/>
  <c r="L39" i="446" s="1"/>
  <c r="AD7" i="446"/>
  <c r="AD13" i="446"/>
  <c r="AD19" i="446"/>
  <c r="AD10" i="446"/>
  <c r="AE12" i="446"/>
  <c r="U10" i="446"/>
  <c r="AD8" i="446"/>
  <c r="AE10" i="446"/>
  <c r="U9" i="446"/>
  <c r="U16" i="446"/>
  <c r="AD6" i="446"/>
  <c r="AD20" i="446" s="1"/>
  <c r="L40" i="446" s="1"/>
  <c r="AE9" i="446"/>
  <c r="U12" i="446"/>
  <c r="U7" i="446"/>
  <c r="AE13" i="446"/>
  <c r="T17" i="446"/>
  <c r="AD16" i="446"/>
  <c r="AE16" i="446"/>
  <c r="T10" i="446"/>
  <c r="AD15" i="446"/>
  <c r="U6" i="446"/>
  <c r="AE14" i="446"/>
  <c r="AE6" i="446"/>
  <c r="U15" i="446"/>
  <c r="AE5" i="446"/>
  <c r="AA39" i="446"/>
  <c r="AE42" i="446"/>
  <c r="AE41" i="446"/>
  <c r="AE40" i="446"/>
  <c r="L23" i="447"/>
  <c r="AE23" i="446"/>
  <c r="AC23" i="446"/>
  <c r="AK23" i="446"/>
  <c r="AM23" i="446"/>
  <c r="AA23" i="446"/>
  <c r="AO23" i="446"/>
  <c r="AG23" i="446"/>
  <c r="AA37" i="446"/>
  <c r="AI23" i="446"/>
  <c r="AQ23" i="446"/>
  <c r="Y39" i="446"/>
  <c r="V37" i="446"/>
  <c r="V49" i="446" s="1"/>
  <c r="V36" i="446" s="1"/>
  <c r="AC40" i="446"/>
  <c r="AC39" i="446"/>
  <c r="AC41" i="446"/>
  <c r="Y23" i="446"/>
  <c r="AQ45" i="446"/>
  <c r="AQ42" i="446"/>
  <c r="AQ48" i="446"/>
  <c r="AQ44" i="446"/>
  <c r="AQ40" i="446"/>
  <c r="AQ43" i="446"/>
  <c r="AQ47" i="446"/>
  <c r="AQ41" i="446"/>
  <c r="AQ46" i="446"/>
  <c r="AQ39" i="446"/>
  <c r="AG41" i="446"/>
  <c r="AG40" i="446"/>
  <c r="AG43" i="446"/>
  <c r="AG42" i="446"/>
  <c r="AG39" i="446"/>
  <c r="AI39" i="446"/>
  <c r="AI42" i="446"/>
  <c r="AI40" i="446"/>
  <c r="AI41" i="446"/>
  <c r="AI44" i="446"/>
  <c r="AI43" i="446"/>
  <c r="AK43" i="446"/>
  <c r="AK39" i="446"/>
  <c r="AK42" i="446"/>
  <c r="AK40" i="446"/>
  <c r="AK45" i="446"/>
  <c r="AK44" i="446"/>
  <c r="AK41" i="446"/>
  <c r="AS31" i="446"/>
  <c r="J31" i="446" s="1"/>
  <c r="AS28" i="446"/>
  <c r="J28" i="446" s="1"/>
  <c r="AS25" i="446"/>
  <c r="AS29" i="446"/>
  <c r="J29" i="446" s="1"/>
  <c r="AS35" i="446"/>
  <c r="J35" i="446" s="1"/>
  <c r="AS34" i="446"/>
  <c r="J34" i="446" s="1"/>
  <c r="AS27" i="446"/>
  <c r="J27" i="446" s="1"/>
  <c r="AS26" i="446"/>
  <c r="J26" i="446" s="1"/>
  <c r="AS33" i="446"/>
  <c r="J33" i="446" s="1"/>
  <c r="AS32" i="446"/>
  <c r="J32" i="446" s="1"/>
  <c r="AS30" i="446"/>
  <c r="J30" i="446" s="1"/>
  <c r="AO45" i="446"/>
  <c r="AO39" i="446"/>
  <c r="AO44" i="446"/>
  <c r="AO42" i="446"/>
  <c r="AO43" i="446"/>
  <c r="AO47" i="446"/>
  <c r="AO41" i="446"/>
  <c r="AO46" i="446"/>
  <c r="AO40" i="446"/>
  <c r="AM46" i="446"/>
  <c r="AM42" i="446"/>
  <c r="AM40" i="446"/>
  <c r="AM44" i="446"/>
  <c r="AM41" i="446"/>
  <c r="AM45" i="446"/>
  <c r="AM39" i="446"/>
  <c r="AM43" i="446"/>
  <c r="AE20" i="444"/>
  <c r="L41" i="444" s="1"/>
  <c r="U20" i="444"/>
  <c r="L27" i="444" s="1"/>
  <c r="AD20" i="444"/>
  <c r="T20" i="444"/>
  <c r="R30" i="444"/>
  <c r="R29" i="444"/>
  <c r="R25" i="444"/>
  <c r="V26" i="444" s="1"/>
  <c r="R27" i="444"/>
  <c r="R28" i="444"/>
  <c r="P23" i="444"/>
  <c r="R47" i="444"/>
  <c r="R49" i="444"/>
  <c r="R48" i="444"/>
  <c r="R46" i="444"/>
  <c r="R45" i="444"/>
  <c r="N37" i="444"/>
  <c r="P39" i="444"/>
  <c r="R43" i="444" s="1"/>
  <c r="R41" i="444"/>
  <c r="T20" i="446" l="1"/>
  <c r="L26" i="446"/>
  <c r="AE37" i="446"/>
  <c r="AE20" i="446"/>
  <c r="L41" i="446" s="1"/>
  <c r="U20" i="446"/>
  <c r="L27" i="446" s="1"/>
  <c r="H30" i="447"/>
  <c r="H26" i="447"/>
  <c r="H32" i="447"/>
  <c r="AK37" i="447"/>
  <c r="AM37" i="447"/>
  <c r="H33" i="447"/>
  <c r="H35" i="447"/>
  <c r="H31" i="447"/>
  <c r="H29" i="447"/>
  <c r="H34" i="447"/>
  <c r="J23" i="447"/>
  <c r="H25" i="447"/>
  <c r="AS23" i="447"/>
  <c r="AS22" i="447" s="1"/>
  <c r="AI37" i="447"/>
  <c r="AO37" i="447"/>
  <c r="H28" i="447"/>
  <c r="AE37" i="447"/>
  <c r="V36" i="447"/>
  <c r="AS43" i="447"/>
  <c r="J43" i="447" s="1"/>
  <c r="AS45" i="447"/>
  <c r="J45" i="447" s="1"/>
  <c r="AS39" i="447"/>
  <c r="AS46" i="447"/>
  <c r="J46" i="447" s="1"/>
  <c r="AS47" i="447"/>
  <c r="J47" i="447" s="1"/>
  <c r="AS40" i="447"/>
  <c r="J40" i="447" s="1"/>
  <c r="AS42" i="447"/>
  <c r="J42" i="447" s="1"/>
  <c r="AS44" i="447"/>
  <c r="J44" i="447" s="1"/>
  <c r="AS41" i="447"/>
  <c r="J41" i="447" s="1"/>
  <c r="AS49" i="447"/>
  <c r="J49" i="447" s="1"/>
  <c r="AS48" i="447"/>
  <c r="J48" i="447" s="1"/>
  <c r="AA37" i="447"/>
  <c r="H27" i="447"/>
  <c r="AG37" i="447"/>
  <c r="AQ37" i="447"/>
  <c r="AC37" i="446"/>
  <c r="AM37" i="446"/>
  <c r="AQ37" i="446"/>
  <c r="AS23" i="446"/>
  <c r="AI37" i="446"/>
  <c r="AO37" i="446"/>
  <c r="AK37" i="446"/>
  <c r="AG37" i="446"/>
  <c r="J25" i="446"/>
  <c r="AS40" i="446"/>
  <c r="J40" i="446" s="1"/>
  <c r="AS44" i="446"/>
  <c r="J44" i="446" s="1"/>
  <c r="AS39" i="446"/>
  <c r="J39" i="446" s="1"/>
  <c r="AS42" i="446"/>
  <c r="J42" i="446" s="1"/>
  <c r="AS48" i="446"/>
  <c r="AS47" i="446"/>
  <c r="J47" i="446" s="1"/>
  <c r="AS45" i="446"/>
  <c r="J45" i="446" s="1"/>
  <c r="AS49" i="446"/>
  <c r="J49" i="446" s="1"/>
  <c r="AS46" i="446"/>
  <c r="J46" i="446" s="1"/>
  <c r="AS43" i="446"/>
  <c r="J43" i="446" s="1"/>
  <c r="AS41" i="446"/>
  <c r="J41" i="446" s="1"/>
  <c r="J48" i="446"/>
  <c r="AS22" i="446"/>
  <c r="Y37" i="446"/>
  <c r="L26" i="444"/>
  <c r="V20" i="444"/>
  <c r="L28" i="444" s="1"/>
  <c r="L40" i="444"/>
  <c r="AF20" i="444"/>
  <c r="L42" i="444" s="1"/>
  <c r="AA25" i="444"/>
  <c r="AA26" i="444"/>
  <c r="P37" i="444"/>
  <c r="R39" i="444"/>
  <c r="V28" i="444"/>
  <c r="R23" i="444"/>
  <c r="V25" i="444"/>
  <c r="V31" i="444"/>
  <c r="V30" i="444"/>
  <c r="V32" i="444"/>
  <c r="V33" i="444"/>
  <c r="V29" i="444"/>
  <c r="V34" i="444"/>
  <c r="R42" i="444"/>
  <c r="R44" i="444"/>
  <c r="V27" i="444"/>
  <c r="R40" i="444"/>
  <c r="AF20" i="446" l="1"/>
  <c r="L42" i="446" s="1"/>
  <c r="L37" i="446" s="1"/>
  <c r="V20" i="446"/>
  <c r="L28" i="446" s="1"/>
  <c r="H23" i="447"/>
  <c r="H48" i="447"/>
  <c r="BJ29" i="447" s="1"/>
  <c r="H49" i="447"/>
  <c r="BJ43" i="447" s="1"/>
  <c r="H45" i="447"/>
  <c r="BJ26" i="447" s="1"/>
  <c r="AS37" i="447"/>
  <c r="AS36" i="447" s="1"/>
  <c r="J39" i="447"/>
  <c r="H47" i="447"/>
  <c r="BJ41" i="447" s="1"/>
  <c r="H43" i="447"/>
  <c r="H44" i="447"/>
  <c r="BJ25" i="447" s="1"/>
  <c r="H46" i="447"/>
  <c r="H40" i="446"/>
  <c r="H43" i="446"/>
  <c r="H47" i="446"/>
  <c r="AS37" i="446"/>
  <c r="AS36" i="446" s="1"/>
  <c r="H42" i="446"/>
  <c r="H44" i="446"/>
  <c r="H46" i="446"/>
  <c r="H45" i="446"/>
  <c r="H41" i="446"/>
  <c r="H49" i="446"/>
  <c r="J23" i="446"/>
  <c r="H25" i="446"/>
  <c r="J37" i="446"/>
  <c r="H39" i="446"/>
  <c r="H48" i="446"/>
  <c r="H27" i="446"/>
  <c r="H26" i="446"/>
  <c r="AA23" i="444"/>
  <c r="L37" i="444"/>
  <c r="V42" i="444"/>
  <c r="AE42" i="444" s="1"/>
  <c r="L23" i="444"/>
  <c r="AO30" i="444"/>
  <c r="AO31" i="444"/>
  <c r="AO27" i="444"/>
  <c r="AO29" i="444"/>
  <c r="AO32" i="444"/>
  <c r="AO26" i="444"/>
  <c r="AO33" i="444"/>
  <c r="AO25" i="444"/>
  <c r="AO28" i="444"/>
  <c r="V40" i="444"/>
  <c r="AM32" i="444"/>
  <c r="AM26" i="444"/>
  <c r="AM25" i="444"/>
  <c r="AM31" i="444"/>
  <c r="AM29" i="444"/>
  <c r="AM28" i="444"/>
  <c r="AM27" i="444"/>
  <c r="AM30" i="444"/>
  <c r="AC27" i="444"/>
  <c r="AC26" i="444"/>
  <c r="AC25" i="444"/>
  <c r="AQ32" i="444"/>
  <c r="AQ28" i="444"/>
  <c r="AQ26" i="444"/>
  <c r="AQ30" i="444"/>
  <c r="AQ33" i="444"/>
  <c r="AQ29" i="444"/>
  <c r="AQ25" i="444"/>
  <c r="AQ31" i="444"/>
  <c r="AQ34" i="444"/>
  <c r="AQ27" i="444"/>
  <c r="AI30" i="444"/>
  <c r="AI28" i="444"/>
  <c r="AI29" i="444"/>
  <c r="AI27" i="444"/>
  <c r="AI25" i="444"/>
  <c r="AI26" i="444"/>
  <c r="AE26" i="444"/>
  <c r="AE28" i="444"/>
  <c r="AE25" i="444"/>
  <c r="AE27" i="444"/>
  <c r="V23" i="444"/>
  <c r="V35" i="444" s="1"/>
  <c r="V22" i="444"/>
  <c r="Y25" i="444"/>
  <c r="V39" i="444"/>
  <c r="R37" i="444"/>
  <c r="V46" i="444"/>
  <c r="V48" i="444"/>
  <c r="V47" i="444"/>
  <c r="V45" i="444"/>
  <c r="V43" i="444"/>
  <c r="V44" i="444"/>
  <c r="AG26" i="444"/>
  <c r="AG25" i="444"/>
  <c r="AG27" i="444"/>
  <c r="AG29" i="444"/>
  <c r="AG28" i="444"/>
  <c r="AK28" i="444"/>
  <c r="AK29" i="444"/>
  <c r="AK30" i="444"/>
  <c r="AK27" i="444"/>
  <c r="AK26" i="444"/>
  <c r="AK25" i="444"/>
  <c r="AK31" i="444"/>
  <c r="V41" i="444"/>
  <c r="BJ52" i="447" l="1"/>
  <c r="BJ47" i="447"/>
  <c r="BJ57" i="447"/>
  <c r="BJ12" i="447"/>
  <c r="H32" i="446"/>
  <c r="BR25" i="446" s="1"/>
  <c r="H31" i="446"/>
  <c r="BJ51" i="446" s="1"/>
  <c r="H33" i="446"/>
  <c r="BR32" i="446" s="1"/>
  <c r="H35" i="446"/>
  <c r="BN14" i="446" s="1"/>
  <c r="H34" i="446"/>
  <c r="BR44" i="446" s="1"/>
  <c r="H30" i="446"/>
  <c r="L23" i="446"/>
  <c r="H29" i="446"/>
  <c r="BR13" i="446" s="1"/>
  <c r="BR21" i="446"/>
  <c r="BR19" i="446"/>
  <c r="H28" i="446"/>
  <c r="BJ34" i="446" s="1"/>
  <c r="BJ55" i="447"/>
  <c r="BN13" i="447"/>
  <c r="BJ36" i="447"/>
  <c r="BJ21" i="447"/>
  <c r="BJ42" i="447"/>
  <c r="H41" i="447"/>
  <c r="H39" i="447"/>
  <c r="J37" i="447"/>
  <c r="H40" i="447"/>
  <c r="BN11" i="447"/>
  <c r="BJ10" i="447"/>
  <c r="BR38" i="447"/>
  <c r="BJ45" i="447"/>
  <c r="BJ50" i="447"/>
  <c r="BJ19" i="447"/>
  <c r="BJ34" i="447"/>
  <c r="BR46" i="447"/>
  <c r="BJ59" i="447"/>
  <c r="BJ53" i="447"/>
  <c r="BJ37" i="447"/>
  <c r="BJ22" i="447"/>
  <c r="BJ13" i="447"/>
  <c r="BJ48" i="447"/>
  <c r="BN14" i="447"/>
  <c r="BJ58" i="447"/>
  <c r="BJ56" i="447"/>
  <c r="BJ30" i="447"/>
  <c r="BJ27" i="447"/>
  <c r="BJ18" i="447"/>
  <c r="BJ9" i="447"/>
  <c r="BR30" i="447"/>
  <c r="BJ44" i="447"/>
  <c r="BR37" i="447"/>
  <c r="BJ33" i="447"/>
  <c r="BR45" i="447"/>
  <c r="BR44" i="447"/>
  <c r="BN9" i="447"/>
  <c r="BR36" i="447"/>
  <c r="BJ8" i="447"/>
  <c r="BR29" i="447"/>
  <c r="BJ32" i="447"/>
  <c r="BJ17" i="447"/>
  <c r="BR23" i="447"/>
  <c r="BJ24" i="447"/>
  <c r="BJ16" i="447"/>
  <c r="BR18" i="447"/>
  <c r="BR22" i="447"/>
  <c r="BJ7" i="447"/>
  <c r="BJ31" i="447"/>
  <c r="BR43" i="447"/>
  <c r="BR35" i="447"/>
  <c r="BR28" i="447"/>
  <c r="BN8" i="447"/>
  <c r="BJ39" i="447"/>
  <c r="BJ11" i="447"/>
  <c r="BJ35" i="447"/>
  <c r="BR47" i="447"/>
  <c r="BJ46" i="447"/>
  <c r="BJ54" i="447"/>
  <c r="BJ51" i="447"/>
  <c r="BN12" i="447"/>
  <c r="BJ20" i="447"/>
  <c r="BJ38" i="447"/>
  <c r="BN10" i="447"/>
  <c r="BJ40" i="447"/>
  <c r="BJ28" i="447"/>
  <c r="H42" i="447"/>
  <c r="BR42" i="446"/>
  <c r="BR15" i="446"/>
  <c r="BR18" i="446"/>
  <c r="BR43" i="446"/>
  <c r="BR17" i="446"/>
  <c r="BR35" i="446"/>
  <c r="BJ54" i="446"/>
  <c r="BR46" i="446"/>
  <c r="BR36" i="446"/>
  <c r="BR22" i="446"/>
  <c r="BJ59" i="446"/>
  <c r="BJ46" i="446"/>
  <c r="BR47" i="446"/>
  <c r="BJ21" i="446"/>
  <c r="BJ20" i="446"/>
  <c r="BJ19" i="446"/>
  <c r="BJ22" i="446"/>
  <c r="BJ16" i="446"/>
  <c r="BJ17" i="446"/>
  <c r="BN5" i="446"/>
  <c r="BR4" i="446"/>
  <c r="BJ18" i="446"/>
  <c r="BJ14" i="446"/>
  <c r="BJ15" i="446"/>
  <c r="BN10" i="446"/>
  <c r="BR30" i="446"/>
  <c r="BJ44" i="446"/>
  <c r="BJ29" i="446"/>
  <c r="BJ28" i="446"/>
  <c r="BJ27" i="446"/>
  <c r="BJ24" i="446"/>
  <c r="BJ26" i="446"/>
  <c r="BJ25" i="446"/>
  <c r="BN6" i="446"/>
  <c r="BJ23" i="446"/>
  <c r="BJ30" i="446"/>
  <c r="BR5" i="446"/>
  <c r="BR6" i="446"/>
  <c r="H37" i="446"/>
  <c r="BJ49" i="446"/>
  <c r="BR14" i="446"/>
  <c r="BJ48" i="446"/>
  <c r="BJ53" i="446"/>
  <c r="BR39" i="446"/>
  <c r="BR20" i="446"/>
  <c r="BR16" i="446"/>
  <c r="BJ9" i="446"/>
  <c r="BJ10" i="446"/>
  <c r="BJ5" i="446"/>
  <c r="BN4" i="446"/>
  <c r="BJ11" i="446"/>
  <c r="BJ7" i="446"/>
  <c r="BJ4" i="446"/>
  <c r="BJ13" i="446"/>
  <c r="BJ8" i="446"/>
  <c r="BJ6" i="446"/>
  <c r="BJ12" i="446"/>
  <c r="BR23" i="446"/>
  <c r="BN9" i="446"/>
  <c r="BJ55" i="446"/>
  <c r="BJ52" i="446"/>
  <c r="BJ47" i="446"/>
  <c r="BN13" i="446"/>
  <c r="BJ45" i="446"/>
  <c r="BJ50" i="446"/>
  <c r="AE23" i="444"/>
  <c r="AI23" i="444"/>
  <c r="AQ23" i="444"/>
  <c r="AO23" i="444"/>
  <c r="AK23" i="444"/>
  <c r="AE40" i="444"/>
  <c r="AM23" i="444"/>
  <c r="AE39" i="444"/>
  <c r="AG23" i="444"/>
  <c r="AE41" i="444"/>
  <c r="AC23" i="444"/>
  <c r="AG39" i="444"/>
  <c r="AG43" i="444"/>
  <c r="AG41" i="444"/>
  <c r="AG42" i="444"/>
  <c r="AG40" i="444"/>
  <c r="AK43" i="444"/>
  <c r="AK39" i="444"/>
  <c r="AK41" i="444"/>
  <c r="AK42" i="444"/>
  <c r="AK44" i="444"/>
  <c r="AK40" i="444"/>
  <c r="AK45" i="444"/>
  <c r="AI41" i="444"/>
  <c r="AI40" i="444"/>
  <c r="AI39" i="444"/>
  <c r="AI43" i="444"/>
  <c r="AI44" i="444"/>
  <c r="AI42" i="444"/>
  <c r="AO43" i="444"/>
  <c r="AO39" i="444"/>
  <c r="AO46" i="444"/>
  <c r="AO40" i="444"/>
  <c r="AO47" i="444"/>
  <c r="AO42" i="444"/>
  <c r="AO41" i="444"/>
  <c r="AO45" i="444"/>
  <c r="AO44" i="444"/>
  <c r="V37" i="444"/>
  <c r="V49" i="444" s="1"/>
  <c r="V36" i="444" s="1"/>
  <c r="Y39" i="444"/>
  <c r="AA39" i="444"/>
  <c r="AA40" i="444"/>
  <c r="AM43" i="444"/>
  <c r="AM45" i="444"/>
  <c r="AM44" i="444"/>
  <c r="AM41" i="444"/>
  <c r="AM46" i="444"/>
  <c r="AM40" i="444"/>
  <c r="AM39" i="444"/>
  <c r="AM42" i="444"/>
  <c r="AC41" i="444"/>
  <c r="AC40" i="444"/>
  <c r="AC39" i="444"/>
  <c r="AS32" i="444"/>
  <c r="J32" i="444" s="1"/>
  <c r="AS35" i="444"/>
  <c r="J35" i="444" s="1"/>
  <c r="AS27" i="444"/>
  <c r="J27" i="444" s="1"/>
  <c r="AS26" i="444"/>
  <c r="J26" i="444" s="1"/>
  <c r="AS29" i="444"/>
  <c r="J29" i="444" s="1"/>
  <c r="AS33" i="444"/>
  <c r="J33" i="444" s="1"/>
  <c r="AS31" i="444"/>
  <c r="J31" i="444" s="1"/>
  <c r="AS34" i="444"/>
  <c r="J34" i="444" s="1"/>
  <c r="AS25" i="444"/>
  <c r="AS30" i="444"/>
  <c r="J30" i="444" s="1"/>
  <c r="AS28" i="444"/>
  <c r="J28" i="444" s="1"/>
  <c r="AQ39" i="444"/>
  <c r="AQ47" i="444"/>
  <c r="AQ41" i="444"/>
  <c r="AQ45" i="444"/>
  <c r="AQ42" i="444"/>
  <c r="AQ46" i="444"/>
  <c r="AQ40" i="444"/>
  <c r="AQ44" i="444"/>
  <c r="AQ48" i="444"/>
  <c r="AQ43" i="444"/>
  <c r="Y23" i="444"/>
  <c r="BJ58" i="446" l="1"/>
  <c r="BR37" i="446"/>
  <c r="BJ41" i="446"/>
  <c r="BJ38" i="446"/>
  <c r="BJ57" i="446"/>
  <c r="BJ36" i="446"/>
  <c r="BR9" i="446"/>
  <c r="BR45" i="446"/>
  <c r="BR7" i="446"/>
  <c r="BR24" i="446"/>
  <c r="BJ33" i="446"/>
  <c r="BR41" i="446"/>
  <c r="BJ32" i="446"/>
  <c r="BJ37" i="446"/>
  <c r="BJ31" i="446"/>
  <c r="BR34" i="446"/>
  <c r="BN11" i="446"/>
  <c r="BR33" i="446"/>
  <c r="BR29" i="446"/>
  <c r="H23" i="446"/>
  <c r="BR26" i="446"/>
  <c r="BJ56" i="446"/>
  <c r="BN12" i="446"/>
  <c r="BJ35" i="446"/>
  <c r="BR27" i="446"/>
  <c r="BR40" i="446"/>
  <c r="BR31" i="446"/>
  <c r="BR28" i="446"/>
  <c r="BR10" i="446"/>
  <c r="BR11" i="446"/>
  <c r="BJ40" i="446"/>
  <c r="BN8" i="446"/>
  <c r="BJ43" i="446"/>
  <c r="BJ42" i="446"/>
  <c r="BR12" i="446"/>
  <c r="BJ39" i="446"/>
  <c r="BN7" i="446"/>
  <c r="BR8" i="446"/>
  <c r="BR38" i="446"/>
  <c r="BN5" i="447"/>
  <c r="BJ4" i="447"/>
  <c r="BR25" i="447"/>
  <c r="BR8" i="447"/>
  <c r="BR40" i="447"/>
  <c r="BR19" i="447"/>
  <c r="BR15" i="447"/>
  <c r="BR11" i="447"/>
  <c r="BR32" i="447"/>
  <c r="BR6" i="447"/>
  <c r="BN7" i="447"/>
  <c r="BR21" i="447"/>
  <c r="BR17" i="447"/>
  <c r="BJ6" i="447"/>
  <c r="BR13" i="447"/>
  <c r="BJ15" i="447"/>
  <c r="BR27" i="447"/>
  <c r="BJ23" i="447"/>
  <c r="BR34" i="447"/>
  <c r="BR42" i="447"/>
  <c r="BR24" i="447"/>
  <c r="BR39" i="447"/>
  <c r="BR14" i="447"/>
  <c r="H37" i="447"/>
  <c r="BN4" i="447"/>
  <c r="BR4" i="447"/>
  <c r="BJ49" i="447"/>
  <c r="BR5" i="447"/>
  <c r="BR10" i="447"/>
  <c r="BR7" i="447"/>
  <c r="BR31" i="447"/>
  <c r="BR16" i="447"/>
  <c r="BJ14" i="447"/>
  <c r="BR41" i="447"/>
  <c r="BR26" i="447"/>
  <c r="BR33" i="447"/>
  <c r="BR12" i="447"/>
  <c r="BJ5" i="447"/>
  <c r="BR20" i="447"/>
  <c r="BN6" i="447"/>
  <c r="BR9" i="447"/>
  <c r="AS23" i="444"/>
  <c r="AE37" i="444"/>
  <c r="AC37" i="444"/>
  <c r="AO37" i="444"/>
  <c r="AI37" i="444"/>
  <c r="AK37" i="444"/>
  <c r="AQ37" i="444"/>
  <c r="AM37" i="444"/>
  <c r="AA37" i="444"/>
  <c r="AG37" i="444"/>
  <c r="J25" i="444"/>
  <c r="H28" i="444" s="1"/>
  <c r="AS22" i="444"/>
  <c r="H34" i="444"/>
  <c r="H29" i="444"/>
  <c r="H30" i="444"/>
  <c r="H32" i="444"/>
  <c r="H35" i="444"/>
  <c r="H31" i="444"/>
  <c r="H27" i="444"/>
  <c r="Y37" i="444"/>
  <c r="AS46" i="444"/>
  <c r="J46" i="444" s="1"/>
  <c r="AS47" i="444"/>
  <c r="J47" i="444" s="1"/>
  <c r="AS43" i="444"/>
  <c r="J43" i="444" s="1"/>
  <c r="AS41" i="444"/>
  <c r="J41" i="444" s="1"/>
  <c r="AS49" i="444"/>
  <c r="J49" i="444" s="1"/>
  <c r="AS39" i="444"/>
  <c r="AS40" i="444"/>
  <c r="J40" i="444" s="1"/>
  <c r="AS42" i="444"/>
  <c r="J42" i="444" s="1"/>
  <c r="AS48" i="444"/>
  <c r="J48" i="444" s="1"/>
  <c r="AS44" i="444"/>
  <c r="J44" i="444" s="1"/>
  <c r="AS45" i="444"/>
  <c r="J45" i="444" s="1"/>
  <c r="H33" i="444"/>
  <c r="B39" i="446" l="1"/>
  <c r="B38" i="446"/>
  <c r="B37" i="446"/>
  <c r="B39" i="447"/>
  <c r="B38" i="447"/>
  <c r="B37" i="447"/>
  <c r="H25" i="444"/>
  <c r="J23" i="444"/>
  <c r="AS37" i="444"/>
  <c r="AS36" i="444" s="1"/>
  <c r="H26" i="444"/>
  <c r="H48" i="444"/>
  <c r="BN13" i="444" s="1"/>
  <c r="H46" i="444"/>
  <c r="BJ40" i="444" s="1"/>
  <c r="BJ29" i="444"/>
  <c r="H44" i="444"/>
  <c r="H43" i="444"/>
  <c r="BJ7" i="444" s="1"/>
  <c r="H47" i="444"/>
  <c r="BJ46" i="444" s="1"/>
  <c r="J39" i="444"/>
  <c r="H40" i="444" s="1"/>
  <c r="H45" i="444"/>
  <c r="BJ26" i="444" s="1"/>
  <c r="H49" i="444"/>
  <c r="BJ58" i="444" s="1"/>
  <c r="B36" i="446" l="1"/>
  <c r="B36" i="447"/>
  <c r="BJ52" i="444"/>
  <c r="BJ57" i="444"/>
  <c r="BJ55" i="444"/>
  <c r="BJ12" i="444"/>
  <c r="BJ45" i="444"/>
  <c r="BJ47" i="444"/>
  <c r="BJ36" i="444"/>
  <c r="BJ42" i="444"/>
  <c r="BJ21" i="444"/>
  <c r="BJ34" i="444"/>
  <c r="BN11" i="444"/>
  <c r="BJ50" i="444"/>
  <c r="BR38" i="444"/>
  <c r="BJ10" i="444"/>
  <c r="H23" i="444"/>
  <c r="BJ24" i="444"/>
  <c r="BR18" i="444"/>
  <c r="BJ19" i="444"/>
  <c r="BR35" i="444"/>
  <c r="BN14" i="444"/>
  <c r="BN10" i="444"/>
  <c r="BR37" i="444"/>
  <c r="BJ51" i="444"/>
  <c r="BR22" i="444"/>
  <c r="BJ27" i="444"/>
  <c r="BR6" i="444"/>
  <c r="BR15" i="444"/>
  <c r="BJ4" i="444"/>
  <c r="BR25" i="444"/>
  <c r="BJ53" i="444"/>
  <c r="BN12" i="444"/>
  <c r="BJ33" i="444"/>
  <c r="BR46" i="444"/>
  <c r="H41" i="444"/>
  <c r="BR16" i="444" s="1"/>
  <c r="BJ59" i="444"/>
  <c r="BJ43" i="444"/>
  <c r="BJ22" i="444"/>
  <c r="BR32" i="444"/>
  <c r="BJ48" i="444"/>
  <c r="BR8" i="444"/>
  <c r="BJ37" i="444"/>
  <c r="BJ13" i="444"/>
  <c r="BJ56" i="444"/>
  <c r="BJ30" i="444"/>
  <c r="BR44" i="444"/>
  <c r="BJ17" i="444"/>
  <c r="BJ38" i="444"/>
  <c r="BR29" i="444"/>
  <c r="BR40" i="444"/>
  <c r="BN5" i="444"/>
  <c r="BR11" i="444"/>
  <c r="BR23" i="444"/>
  <c r="BJ39" i="444"/>
  <c r="BR45" i="444"/>
  <c r="BJ18" i="444"/>
  <c r="BJ44" i="444"/>
  <c r="BR47" i="444"/>
  <c r="BJ20" i="444"/>
  <c r="BJ41" i="444"/>
  <c r="BJ35" i="444"/>
  <c r="BJ31" i="444"/>
  <c r="BJ8" i="444"/>
  <c r="BR30" i="444"/>
  <c r="BJ28" i="444"/>
  <c r="BJ25" i="444"/>
  <c r="BR19" i="444"/>
  <c r="J37" i="444"/>
  <c r="H39" i="444"/>
  <c r="BR36" i="444"/>
  <c r="BN9" i="444"/>
  <c r="BJ16" i="444"/>
  <c r="BR43" i="444"/>
  <c r="BN8" i="444"/>
  <c r="BJ32" i="444"/>
  <c r="BJ9" i="444"/>
  <c r="BJ11" i="444"/>
  <c r="BJ54" i="444"/>
  <c r="BR28" i="444"/>
  <c r="H42" i="444"/>
  <c r="BR9" i="444" l="1"/>
  <c r="BR12" i="444"/>
  <c r="BR33" i="444"/>
  <c r="BR41" i="444"/>
  <c r="BJ14" i="444"/>
  <c r="BJ5" i="444"/>
  <c r="BR26" i="444"/>
  <c r="BR20" i="444"/>
  <c r="BN6" i="444"/>
  <c r="BJ15" i="444"/>
  <c r="BR42" i="444"/>
  <c r="BR13" i="444"/>
  <c r="BN7" i="444"/>
  <c r="BR17" i="444"/>
  <c r="BR34" i="444"/>
  <c r="BJ23" i="444"/>
  <c r="BR27" i="444"/>
  <c r="BR21" i="444"/>
  <c r="BJ6" i="444"/>
  <c r="H37" i="444"/>
  <c r="BR10" i="444"/>
  <c r="BR4" i="444"/>
  <c r="BR39" i="444"/>
  <c r="BR5" i="444"/>
  <c r="BR14" i="444"/>
  <c r="BR31" i="444"/>
  <c r="BJ49" i="444"/>
  <c r="BN4" i="444"/>
  <c r="BR24" i="444"/>
  <c r="BR7" i="444"/>
  <c r="B37" i="444" l="1"/>
  <c r="B38" i="444"/>
  <c r="B39" i="444"/>
  <c r="B36" i="444" l="1"/>
  <c r="Z14" i="436" l="1"/>
  <c r="P14" i="436"/>
  <c r="AI19" i="436" l="1"/>
  <c r="AI14" i="436"/>
  <c r="AI9" i="436"/>
  <c r="AN19" i="436"/>
  <c r="AN17" i="436"/>
  <c r="AI17" i="436" s="1"/>
  <c r="AN14" i="436"/>
  <c r="AN11" i="436"/>
  <c r="AI11" i="436" s="1"/>
  <c r="AN10" i="436"/>
  <c r="AI10" i="436" s="1"/>
  <c r="AN9" i="436"/>
  <c r="AN8" i="436"/>
  <c r="AI8" i="436" s="1"/>
  <c r="AN6" i="436"/>
  <c r="AI6" i="436" s="1"/>
  <c r="AN5" i="436"/>
  <c r="AI13" i="436" l="1"/>
  <c r="AI5" i="436"/>
  <c r="AG19" i="436"/>
  <c r="AK19" i="436"/>
  <c r="Z17" i="436"/>
  <c r="P17" i="436"/>
  <c r="AK17" i="436"/>
  <c r="AG17" i="436"/>
  <c r="AK11" i="436"/>
  <c r="AG11" i="436"/>
  <c r="AG10" i="436"/>
  <c r="AK10" i="436"/>
  <c r="AK9" i="436"/>
  <c r="AG9" i="436"/>
  <c r="AK8" i="436"/>
  <c r="AG8" i="436"/>
  <c r="AK6" i="436"/>
  <c r="AG6" i="436"/>
  <c r="AK5" i="436"/>
  <c r="AG5" i="436"/>
  <c r="AI2" i="436"/>
  <c r="D3" i="436"/>
  <c r="G1" i="436" s="1"/>
  <c r="K1" i="436"/>
  <c r="BF48" i="436"/>
  <c r="BF47" i="436"/>
  <c r="BF46" i="436"/>
  <c r="BE45" i="436"/>
  <c r="BE44" i="436"/>
  <c r="BF45" i="436" s="1"/>
  <c r="BD44" i="436"/>
  <c r="BF43" i="436"/>
  <c r="BE43" i="436"/>
  <c r="BF44" i="436" s="1"/>
  <c r="BD43" i="436"/>
  <c r="BC43" i="436"/>
  <c r="BF42" i="436"/>
  <c r="BE42" i="436"/>
  <c r="BD42" i="436"/>
  <c r="BC42" i="436"/>
  <c r="BF41" i="436"/>
  <c r="BE41" i="436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F31" i="436" s="1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F30" i="436" s="1"/>
  <c r="BD29" i="436"/>
  <c r="BC29" i="436"/>
  <c r="C29" i="436"/>
  <c r="B29" i="436"/>
  <c r="BP28" i="436"/>
  <c r="BP35" i="436" s="1"/>
  <c r="BP43" i="436" s="1"/>
  <c r="BH28" i="436"/>
  <c r="BH35" i="436" s="1"/>
  <c r="BH41" i="436" s="1"/>
  <c r="BH46" i="436" s="1"/>
  <c r="BH51" i="436" s="1"/>
  <c r="BH54" i="436" s="1"/>
  <c r="BE28" i="436"/>
  <c r="BF29" i="436" s="1"/>
  <c r="BD28" i="436"/>
  <c r="BC28" i="436"/>
  <c r="BH27" i="436"/>
  <c r="BH34" i="436" s="1"/>
  <c r="BH40" i="436" s="1"/>
  <c r="BH45" i="436" s="1"/>
  <c r="BH50" i="436" s="1"/>
  <c r="BF27" i="436"/>
  <c r="BE27" i="436"/>
  <c r="BF28" i="436" s="1"/>
  <c r="BD27" i="436"/>
  <c r="BC27" i="436"/>
  <c r="C27" i="436"/>
  <c r="B27" i="436"/>
  <c r="BH26" i="436"/>
  <c r="BH33" i="436" s="1"/>
  <c r="BH39" i="436" s="1"/>
  <c r="BH44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C25" i="436"/>
  <c r="E25" i="436"/>
  <c r="D25" i="436"/>
  <c r="D23" i="436" s="1"/>
  <c r="C25" i="436"/>
  <c r="B25" i="436"/>
  <c r="BH24" i="436"/>
  <c r="BH31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P20" i="436"/>
  <c r="BP26" i="436" s="1"/>
  <c r="BP33" i="436" s="1"/>
  <c r="BP41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P12" i="436"/>
  <c r="BP16" i="436" s="1"/>
  <c r="BL12" i="436"/>
  <c r="BP47" i="436" s="1"/>
  <c r="AA12" i="436"/>
  <c r="Q12" i="436"/>
  <c r="BL11" i="436"/>
  <c r="BP38" i="436" s="1"/>
  <c r="BP46" i="436" s="1"/>
  <c r="Z11" i="436"/>
  <c r="P11" i="436"/>
  <c r="BL10" i="436"/>
  <c r="BP30" i="436" s="1"/>
  <c r="BP37" i="436" s="1"/>
  <c r="BP45" i="436" s="1"/>
  <c r="Z10" i="436"/>
  <c r="P10" i="436"/>
  <c r="BP9" i="436"/>
  <c r="BL9" i="436"/>
  <c r="BP23" i="436" s="1"/>
  <c r="BP29" i="436" s="1"/>
  <c r="BP36" i="436" s="1"/>
  <c r="BP44" i="436" s="1"/>
  <c r="Z9" i="436"/>
  <c r="P9" i="436"/>
  <c r="BL8" i="436"/>
  <c r="BP18" i="436" s="1"/>
  <c r="BP22" i="436" s="1"/>
  <c r="Z8" i="436"/>
  <c r="P8" i="436"/>
  <c r="AA7" i="436"/>
  <c r="Z7" i="436"/>
  <c r="Q7" i="436"/>
  <c r="P7" i="436"/>
  <c r="BP6" i="436"/>
  <c r="BP8" i="436" s="1"/>
  <c r="BP11" i="436" s="1"/>
  <c r="BP15" i="436" s="1"/>
  <c r="BP19" i="436" s="1"/>
  <c r="BP25" i="436" s="1"/>
  <c r="BP32" i="436" s="1"/>
  <c r="BP40" i="436" s="1"/>
  <c r="BL6" i="436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K2" i="436"/>
  <c r="S2" i="436"/>
  <c r="S1" i="436"/>
  <c r="O5" i="435"/>
  <c r="Y17" i="436" l="1"/>
  <c r="O13" i="436"/>
  <c r="Y13" i="436"/>
  <c r="O17" i="436"/>
  <c r="B31" i="436"/>
  <c r="W25" i="436" s="1"/>
  <c r="E23" i="436"/>
  <c r="AA18" i="436"/>
  <c r="G2" i="436"/>
  <c r="G3" i="436"/>
  <c r="B23" i="436"/>
  <c r="T43" i="436" s="1"/>
  <c r="C31" i="436"/>
  <c r="W39" i="436" s="1"/>
  <c r="R5" i="435"/>
  <c r="Q10" i="436" l="1"/>
  <c r="R10" i="436" s="1"/>
  <c r="Q11" i="436"/>
  <c r="R11" i="436" s="1"/>
  <c r="Q5" i="436"/>
  <c r="R5" i="436" s="1"/>
  <c r="AA19" i="436"/>
  <c r="AB19" i="436" s="1"/>
  <c r="Q19" i="436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Q13" i="436"/>
  <c r="R13" i="436" s="1"/>
  <c r="AA13" i="436"/>
  <c r="AB13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T37" i="436" l="1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R34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AD19" i="436" l="1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E20" i="436" l="1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V26" i="436" l="1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S1" i="435"/>
  <c r="AA26" i="436" l="1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G23" i="436" l="1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AS25" i="436"/>
  <c r="AS26" i="436"/>
  <c r="J26" i="436" s="1"/>
  <c r="AS34" i="436"/>
  <c r="AS27" i="436"/>
  <c r="J27" i="436" s="1"/>
  <c r="AS33" i="436"/>
  <c r="AS28" i="436"/>
  <c r="J28" i="436" s="1"/>
  <c r="AS35" i="436"/>
  <c r="J35" i="436" s="1"/>
  <c r="AS32" i="436"/>
  <c r="AS31" i="436"/>
  <c r="AK23" i="436"/>
  <c r="J3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32" i="436"/>
  <c r="J25" i="436"/>
  <c r="Y23" i="436"/>
  <c r="J30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H31" i="436" l="1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P26" i="435"/>
  <c r="R31" i="435" s="1"/>
  <c r="R32" i="435"/>
  <c r="P25" i="435"/>
  <c r="N23" i="435"/>
  <c r="H43" i="436" l="1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P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J42" i="436" l="1"/>
  <c r="BJ55" i="436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B38" i="436" l="1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E21" i="435" l="1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F21" i="435" l="1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7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<sst xmlns="http://schemas.openxmlformats.org/spreadsheetml/2006/main" count="1556" uniqueCount="163">
  <si>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</si>
  <si>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</si>
  <si>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</si>
  <si>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</si>
  <si>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</si>
  <si>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</si>
  <si>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</si>
  <si>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</si>
  <si>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</si>
  <si>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</si>
  <si>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</si>
  <si>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</si>
  <si>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</si>
  <si>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</si>
  <si>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</si>
  <si>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</si>
  <si>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</si>
  <si>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</si>
  <si>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</si>
  <si>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</si>
  <si>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</si>
  <si>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</si>
  <si>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</si>
  <si>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</si>
  <si>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</si>
  <si>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</si>
  <si>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</si>
  <si>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</si>
  <si>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</si>
  <si>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</si>
  <si>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</si>
  <si>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</si>
  <si>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</si>
  <si>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</si>
  <si>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</si>
  <si>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</si>
  <si>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</si>
  <si>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</si>
  <si>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</si>
  <si>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</si>
  <si>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</si>
  <si>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</si>
  <si>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</si>
  <si>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</si>
  <si>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</si>
  <si>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</si>
  <si>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</si>
  <si>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</si>
  <si>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</si>
  <si>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</si>
  <si>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</si>
  <si>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</si>
  <si>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</si>
  <si>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</si>
  <si>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</si>
  <si>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</si>
  <si>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</si>
  <si>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</si>
  <si>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</si>
  <si>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</si>
  <si>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</si>
  <si>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</si>
  <si>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</si>
  <si>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</si>
  <si>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</si>
  <si>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</si>
  <si>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</si>
  <si>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</si>
  <si>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</si>
  <si>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</si>
  <si>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</si>
  <si>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</si>
  <si>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</si>
  <si>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</si>
  <si>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</si>
  <si>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</si>
  <si>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</si>
  <si>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</si>
  <si>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</si>
  <si>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</si>
  <si>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</si>
  <si>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</si>
  <si>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</si>
  <si>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</si>
  <si>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</si>
  <si>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</si>
  <si>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</si>
  <si>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</si>
  <si>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</si>
  <si>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</si>
  <si>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</si>
  <si>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</si>
  <si>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</si>
  <si>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</si>
  <si>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</si>
  <si>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</si>
  <si>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</si>
  <si>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</si>
  <si>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</si>
  <si>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</si>
  <si>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</si>
  <si>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</si>
  <si>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</si>
  <si>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</si>
  <si>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</si>
  <si>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</si>
  <si>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</si>
  <si>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</si>
  <si>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</si>
  <si>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</si>
  <si>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</si>
  <si>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</si>
  <si>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</si>
  <si>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</si>
  <si>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</si>
  <si>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</si>
  <si>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</si>
  <si>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</si>
  <si>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</si>
  <si>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</si>
  <si>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</si>
  <si>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</si>
  <si>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</si>
  <si>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</si>
  <si>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</si>
  <si>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</si>
  <si>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</si>
  <si>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</si>
  <si>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</si>
  <si>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</si>
  <si>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</si>
  <si>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</si>
  <si>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</si>
  <si>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</si>
  <si>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</si>
  <si>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</si>
  <si>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</si>
  <si>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</si>
  <si>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</si>
  <si>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</si>
  <si>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</si>
  <si>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</si>
  <si>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</si>
  <si>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</si>
  <si>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</si>
  <si>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</si>
  <si>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</si>
  <si>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</si>
  <si>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</si>
  <si>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</si>
  <si>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</si>
  <si>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</si>
  <si>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</si>
  <si>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</si>
  <si>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CAB</t>
  </si>
  <si>
    <t>Columbub</t>
  </si>
  <si>
    <t>IMP Propia</t>
  </si>
  <si>
    <t>25</t>
  </si>
  <si>
    <t>pbase</t>
  </si>
  <si>
    <t>pbase_P</t>
  </si>
  <si>
    <t>pEq</t>
  </si>
  <si>
    <t>Pslot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</si>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</sst>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  <numFmt numFmtId="168" formatCode="#,##0.000_ ;\-#,##0.0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1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167" fontId="4" fillId="0" borderId="1" xfId="1" applyNumberFormat="1" applyFont="1" applyFill="1" applyBorder="1" applyAlignment="1">
      <alignment horizontal="center"/>
    </xf>
    <xf numFmtId="167" fontId="5" fillId="0" borderId="1" xfId="1" applyNumberFormat="1" applyFont="1" applyFill="1" applyBorder="1" applyAlignment="1">
      <alignment horizontal="center"/>
    </xf>
    <xf numFmtId="168" fontId="4" fillId="14" borderId="1" xfId="1" applyNumberFormat="1" applyFont="1" applyFill="1" applyBorder="1" applyAlignment="1">
      <alignment horizontal="center"/>
    </xf>
    <xf numFmtId="168" fontId="5" fillId="14" borderId="1" xfId="1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9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'Columbus-OBIWAN'!$G$25:$G$35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'Columbus-OBIWAN'!$H$25:$H$35</c:f>
              <c:numCache>
                <c:formatCode>0.0%</c:formatCode>
                <c:ptCount val="11"/>
                <c:pt idx="0">
                  <c:v>0.11375962469655877</c:v>
                </c:pt>
                <c:pt idx="1">
                  <c:v>0.2670330016537969</c:v>
                </c:pt>
                <c:pt idx="2">
                  <c:v>0.29138677686244363</c:v>
                </c:pt>
                <c:pt idx="3">
                  <c:v>0.19616957598704429</c:v>
                </c:pt>
                <c:pt idx="4">
                  <c:v>9.1109611118112541E-2</c:v>
                </c:pt>
                <c:pt idx="5">
                  <c:v>3.0885645535395509E-2</c:v>
                </c:pt>
                <c:pt idx="6">
                  <c:v>7.8730365067453349E-3</c:v>
                </c:pt>
                <c:pt idx="7">
                  <c:v>1.5290863293699283E-3</c:v>
                </c:pt>
                <c:pt idx="8">
                  <c:v>2.2628388197716906E-4</c:v>
                </c:pt>
                <c:pt idx="9">
                  <c:v>2.5189251467871448E-5</c:v>
                </c:pt>
                <c:pt idx="10">
                  <c:v>2.0488154485898982E-6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'Columbus-OBIWAN'!$H$39:$H$49</c:f>
              <c:numCache>
                <c:formatCode>0.0%</c:formatCode>
                <c:ptCount val="11"/>
                <c:pt idx="0">
                  <c:v>3.6478888326975413E-2</c:v>
                </c:pt>
                <c:pt idx="1">
                  <c:v>0.13753027724493669</c:v>
                </c:pt>
                <c:pt idx="2">
                  <c:v>0.2391154499656945</c:v>
                </c:pt>
                <c:pt idx="3">
                  <c:v>0.25409367854487153</c:v>
                </c:pt>
                <c:pt idx="4">
                  <c:v>0.18436114854253791</c:v>
                </c:pt>
                <c:pt idx="5">
                  <c:v>9.6615979256906792E-2</c:v>
                </c:pt>
                <c:pt idx="6">
                  <c:v>3.7708210518844508E-2</c:v>
                </c:pt>
                <c:pt idx="7">
                  <c:v>1.1128451718213675E-2</c:v>
                </c:pt>
                <c:pt idx="8">
                  <c:v>2.4916805823451955E-3</c:v>
                </c:pt>
                <c:pt idx="9">
                  <c:v>4.1962655152362298E-4</c:v>
                </c:pt>
                <c:pt idx="10">
                  <c:v>5.1880449601222176E-5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568576"/>
        <c:axId val="288574456"/>
      </c:lineChart>
      <c:catAx>
        <c:axId val="28856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574456"/>
        <c:crosses val="autoZero"/>
        <c:auto val="1"/>
        <c:lblAlgn val="ctr"/>
        <c:lblOffset val="100"/>
        <c:noMultiLvlLbl val="0"/>
      </c:catAx>
      <c:valAx>
        <c:axId val="28857445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8568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687944"/>
        <c:axId val="290689120"/>
      </c:lineChart>
      <c:catAx>
        <c:axId val="29068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689120"/>
        <c:crosses val="autoZero"/>
        <c:auto val="1"/>
        <c:lblAlgn val="ctr"/>
        <c:lblOffset val="100"/>
        <c:noMultiLvlLbl val="0"/>
      </c:catAx>
      <c:valAx>
        <c:axId val="29068912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068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954048"/>
        <c:axId val="296957184"/>
      </c:lineChart>
      <c:catAx>
        <c:axId val="29695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957184"/>
        <c:crosses val="autoZero"/>
        <c:auto val="1"/>
        <c:lblAlgn val="ctr"/>
        <c:lblOffset val="100"/>
        <c:noMultiLvlLbl val="0"/>
      </c:catAx>
      <c:valAx>
        <c:axId val="29695718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6954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'Columbus-OBIWAN'!$B$37:$B$39</c:f>
              <c:numCache>
                <c:formatCode>0.0%</c:formatCode>
                <c:ptCount val="3"/>
                <c:pt idx="0">
                  <c:v>0.18049106526338959</c:v>
                </c:pt>
                <c:pt idx="1">
                  <c:v>0.58198664179156712</c:v>
                </c:pt>
                <c:pt idx="2">
                  <c:v>0.23751539658695164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'Columbus-OBIWAN_v3'!$G$25:$G$35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'Columbus-OBIWAN_v3'!$H$25:$H$35</c:f>
              <c:numCache>
                <c:formatCode>0.0%</c:formatCode>
                <c:ptCount val="11"/>
                <c:pt idx="0">
                  <c:v>9.2250324339872736E-2</c:v>
                </c:pt>
                <c:pt idx="1">
                  <c:v>0.24326192676966102</c:v>
                </c:pt>
                <c:pt idx="2">
                  <c:v>0.29370594187529192</c:v>
                </c:pt>
                <c:pt idx="3">
                  <c:v>0.21491628281403927</c:v>
                </c:pt>
                <c:pt idx="4">
                  <c:v>0.10633010490114563</c:v>
                </c:pt>
                <c:pt idx="5">
                  <c:v>3.7571822102723897E-2</c:v>
                </c:pt>
                <c:pt idx="6">
                  <c:v>9.7637538032467816E-3</c:v>
                </c:pt>
                <c:pt idx="7">
                  <c:v>1.8929784582460705E-3</c:v>
                </c:pt>
                <c:pt idx="8">
                  <c:v>2.7475146922901876E-4</c:v>
                </c:pt>
                <c:pt idx="9">
                  <c:v>2.9649738813568829E-5</c:v>
                </c:pt>
                <c:pt idx="10">
                  <c:v>2.3313568414309338E-6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'Columbus-OBIWAN_v3'!$H$39:$H$49</c:f>
              <c:numCache>
                <c:formatCode>0.0%</c:formatCode>
                <c:ptCount val="11"/>
                <c:pt idx="0">
                  <c:v>1.0222647103751188E-2</c:v>
                </c:pt>
                <c:pt idx="1">
                  <c:v>5.6882085594846525E-2</c:v>
                </c:pt>
                <c:pt idx="2">
                  <c:v>0.1450497758771653</c:v>
                </c:pt>
                <c:pt idx="3">
                  <c:v>0.22439304558589268</c:v>
                </c:pt>
                <c:pt idx="4">
                  <c:v>0.23496216570906023</c:v>
                </c:pt>
                <c:pt idx="5">
                  <c:v>0.17591257793345053</c:v>
                </c:pt>
                <c:pt idx="6">
                  <c:v>9.6971889422779387E-2</c:v>
                </c:pt>
                <c:pt idx="7">
                  <c:v>3.9925962918146707E-2</c:v>
                </c:pt>
                <c:pt idx="8">
                  <c:v>1.2318743518136305E-2</c:v>
                </c:pt>
                <c:pt idx="9">
                  <c:v>2.8282090143760645E-3</c:v>
                </c:pt>
                <c:pt idx="10">
                  <c:v>4.7337179279366383E-4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568968"/>
        <c:axId val="288570536"/>
      </c:lineChart>
      <c:catAx>
        <c:axId val="28856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570536"/>
        <c:crosses val="autoZero"/>
        <c:auto val="1"/>
        <c:lblAlgn val="ctr"/>
        <c:lblOffset val="100"/>
        <c:noMultiLvlLbl val="0"/>
      </c:catAx>
      <c:valAx>
        <c:axId val="2885705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856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'Columbus-OBIWAN_v3'!$B$37:$B$39</c:f>
              <c:numCache>
                <c:formatCode>0.0%</c:formatCode>
                <c:ptCount val="3"/>
                <c:pt idx="0">
                  <c:v>0.13822675454627459</c:v>
                </c:pt>
                <c:pt idx="1">
                  <c:v>0.71201004594859996</c:v>
                </c:pt>
                <c:pt idx="2">
                  <c:v>0.14970121149804735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9.3225451797071437E-2</c:v>
                </c:pt>
                <c:pt idx="1">
                  <c:v>0.24481020691450373</c:v>
                </c:pt>
                <c:pt idx="2">
                  <c:v>0.29416318220185661</c:v>
                </c:pt>
                <c:pt idx="3">
                  <c:v>0.2140607182398547</c:v>
                </c:pt>
                <c:pt idx="4">
                  <c:v>0.10522371719928361</c:v>
                </c:pt>
                <c:pt idx="5">
                  <c:v>3.6899161971718525E-2</c:v>
                </c:pt>
                <c:pt idx="6">
                  <c:v>9.5031878895729255E-3</c:v>
                </c:pt>
                <c:pt idx="7">
                  <c:v>1.8229945738542175E-3</c:v>
                </c:pt>
                <c:pt idx="8">
                  <c:v>2.6131240187717518E-4</c:v>
                </c:pt>
                <c:pt idx="9">
                  <c:v>2.7796070751196754E-5</c:v>
                </c:pt>
                <c:pt idx="10">
                  <c:v>2.1507442922897612E-6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SIMULADOR_v3!$H$39:$H$49</c:f>
              <c:numCache>
                <c:formatCode>0.0%</c:formatCode>
                <c:ptCount val="11"/>
                <c:pt idx="0">
                  <c:v>1.0768418663279985E-2</c:v>
                </c:pt>
                <c:pt idx="1">
                  <c:v>5.9336437774699977E-2</c:v>
                </c:pt>
                <c:pt idx="2">
                  <c:v>0.14959176237989219</c:v>
                </c:pt>
                <c:pt idx="3">
                  <c:v>0.22831915969096711</c:v>
                </c:pt>
                <c:pt idx="4">
                  <c:v>0.23524510145670899</c:v>
                </c:pt>
                <c:pt idx="5">
                  <c:v>0.17271405769900178</c:v>
                </c:pt>
                <c:pt idx="6">
                  <c:v>9.29562669732171E-2</c:v>
                </c:pt>
                <c:pt idx="7">
                  <c:v>3.7158437809169047E-2</c:v>
                </c:pt>
                <c:pt idx="8">
                  <c:v>1.1053619182141049E-2</c:v>
                </c:pt>
                <c:pt idx="9">
                  <c:v>2.4265414645050455E-3</c:v>
                </c:pt>
                <c:pt idx="10">
                  <c:v>3.8489776611453692E-4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685592"/>
        <c:axId val="290684024"/>
      </c:lineChart>
      <c:catAx>
        <c:axId val="29068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684024"/>
        <c:crosses val="autoZero"/>
        <c:auto val="1"/>
        <c:lblAlgn val="ctr"/>
        <c:lblOffset val="100"/>
        <c:noMultiLvlLbl val="0"/>
      </c:catAx>
      <c:valAx>
        <c:axId val="2906840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06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0.14048905371143711</c:v>
                </c:pt>
                <c:pt idx="1">
                  <c:v>0.7067753884939828</c:v>
                </c:pt>
                <c:pt idx="2">
                  <c:v>0.15268798884529994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688728"/>
        <c:axId val="290690296"/>
      </c:lineChart>
      <c:catAx>
        <c:axId val="29068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690296"/>
        <c:crosses val="autoZero"/>
        <c:auto val="1"/>
        <c:lblAlgn val="ctr"/>
        <c:lblOffset val="100"/>
        <c:noMultiLvlLbl val="0"/>
      </c:catAx>
      <c:valAx>
        <c:axId val="29069029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06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685984"/>
        <c:axId val="290683632"/>
      </c:lineChart>
      <c:catAx>
        <c:axId val="29068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683632"/>
        <c:crosses val="autoZero"/>
        <c:auto val="1"/>
        <c:lblAlgn val="ctr"/>
        <c:lblOffset val="100"/>
        <c:noMultiLvlLbl val="0"/>
      </c:catAx>
      <c:valAx>
        <c:axId val="2906836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068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zoomScale="80" zoomScaleNormal="80" workbookViewId="0">
      <selection activeCell="J13" sqref="J13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155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0</v>
      </c>
      <c r="L1" s="13"/>
      <c r="P1" s="217"/>
      <c r="Q1" s="217"/>
      <c r="R1" s="152">
        <v>0</v>
      </c>
      <c r="S1" s="153">
        <f>1+R1</f>
        <v>1</v>
      </c>
      <c r="AI1" s="160" t="s">
        <v>152</v>
      </c>
    </row>
    <row r="2" spans="1:70" x14ac:dyDescent="0.25">
      <c r="A2" s="206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2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6" t="s">
        <v>75</v>
      </c>
      <c r="AK4" s="9" t="s">
        <v>14</v>
      </c>
      <c r="AM4" s="13" t="s">
        <v>153</v>
      </c>
      <c r="BH4">
        <v>0</v>
      </c>
      <c r="BI4">
        <v>1</v>
      </c>
      <c r="BJ4" s="107">
        <f t="shared" ref="BJ4:BJ13" si="0">$H$25*H40</f>
        <v>1.5645392723797676E-2</v>
      </c>
      <c r="BL4">
        <v>0</v>
      </c>
      <c r="BM4">
        <v>0</v>
      </c>
      <c r="BN4" s="107">
        <f>H25*H39</f>
        <v>4.1498246454244013E-3</v>
      </c>
      <c r="BP4">
        <v>1</v>
      </c>
      <c r="BQ4">
        <v>0</v>
      </c>
      <c r="BR4" s="107">
        <f>$H$26*H39</f>
        <v>9.7410670469458976E-3</v>
      </c>
    </row>
    <row r="5" spans="1:70" x14ac:dyDescent="0.25">
      <c r="A5" s="40" t="s">
        <v>150</v>
      </c>
      <c r="B5" s="161">
        <v>343</v>
      </c>
      <c r="C5" s="161">
        <v>451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COUNTIF(F5:F10,"IMP")*AI5*AG5</f>
        <v>0.112</v>
      </c>
      <c r="P5" s="196" t="str">
        <f>P3</f>
        <v>0,6</v>
      </c>
      <c r="Q5" s="16">
        <f>P5*O5</f>
        <v>6.7199999999999996E-2</v>
      </c>
      <c r="R5" s="157">
        <f>IF($M$2="SI",Q5*$B$22/0.5*$S$1,Q5*$B$22/0.5*$S$2)</f>
        <v>6.6390361445783128E-2</v>
      </c>
      <c r="S5" s="176">
        <f>(1-R5)</f>
        <v>0.93360963855421686</v>
      </c>
      <c r="T5" s="177">
        <f>R5*PRODUCT(S6:S19)</f>
        <v>4.4401287785144655E-2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1.8674980068743852E-2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1</v>
      </c>
      <c r="AI5" s="206">
        <f>IF(AN5=0,(AM5*2*$AI$2/2)+SUM($AN$5:$AN$19),0)</f>
        <v>0.112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</v>
      </c>
      <c r="BH5">
        <v>0</v>
      </c>
      <c r="BI5">
        <v>2</v>
      </c>
      <c r="BJ5" s="107">
        <f t="shared" si="0"/>
        <v>2.7201683847246184E-2</v>
      </c>
      <c r="BL5">
        <v>1</v>
      </c>
      <c r="BM5">
        <v>1</v>
      </c>
      <c r="BN5" s="107">
        <f>$H$26*H40</f>
        <v>3.6725122750994321E-2</v>
      </c>
      <c r="BP5">
        <f>BP4+1</f>
        <v>2</v>
      </c>
      <c r="BQ5">
        <v>0</v>
      </c>
      <c r="BR5" s="107">
        <f>$H$27*H39</f>
        <v>1.0629465693122384E-2</v>
      </c>
    </row>
    <row r="6" spans="1:70" x14ac:dyDescent="0.25">
      <c r="A6" s="2" t="s">
        <v>1</v>
      </c>
      <c r="B6" s="168">
        <v>10.25</v>
      </c>
      <c r="C6" s="169">
        <v>10.5</v>
      </c>
      <c r="E6" s="192" t="s">
        <v>17</v>
      </c>
      <c r="F6" s="167" t="s">
        <v>146</v>
      </c>
      <c r="G6" s="167"/>
      <c r="H6" s="10"/>
      <c r="I6" s="10"/>
      <c r="J6" s="166" t="s">
        <v>16</v>
      </c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>
        <f>IF($M$2="SI",Q6*$B$22/0.5*$S$1,Q6*$B$22/0.5*$S$2)</f>
        <v>0</v>
      </c>
      <c r="S6" s="176">
        <f t="shared" ref="S6:S19" si="2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>COUNTIF(J11:J18,"IMP")*AI6*AK6</f>
        <v>0.112</v>
      </c>
      <c r="Z6" s="197" t="str">
        <f>Z3</f>
        <v>0,6</v>
      </c>
      <c r="AA6" s="19">
        <f t="shared" ref="AA6:AA19" si="3">Z6*Y6</f>
        <v>6.7199999999999996E-2</v>
      </c>
      <c r="AB6" s="157">
        <f t="shared" ref="AB6:AB19" si="4">IF($M$2="SI",AA6*$C$22/0.5*$S$1,AA6*$C$22/0.5*$S$2)</f>
        <v>6.8009638554216878E-2</v>
      </c>
      <c r="AC6" s="176">
        <f t="shared" ref="AC6:AC19" si="5">(1-AB6)</f>
        <v>0.93199036144578318</v>
      </c>
      <c r="AD6" s="177">
        <f>AB6*AC5*PRODUCT(AC7:AC19)</f>
        <v>4.3732354979625097E-2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2.0528944881629915E-2</v>
      </c>
      <c r="AF6" s="18"/>
      <c r="AG6" s="203">
        <f>IF(COUNTIF(F11:F18,"IMP")+COUNTIF(J11:J18,"IMP")=0,0,COUNTIF(F11:F18,"IMP")/(COUNTIF(F11:F18,"IMP")+COUNTIF(J11:J18,"IMP")))</f>
        <v>0</v>
      </c>
      <c r="AI6" s="206">
        <f t="shared" ref="AI6:AI19" si="6">IF(AN6=0,(AM6*2*$AI$2/2)+SUM($AN$5:$AN$19),0)</f>
        <v>0.112</v>
      </c>
      <c r="AK6" s="203">
        <f>IF(COUNTIF(F11:F18,"IMP")+COUNTIF(J11:J18,"IMP")=0,0,COUNTIF(J11:J18,"IMP")/(COUNTIF(F11:F18,"IMP")+COUNTIF(J11:J18,"IMP")))</f>
        <v>1</v>
      </c>
      <c r="AM6" s="13">
        <v>0.05</v>
      </c>
      <c r="AN6">
        <f t="shared" ref="AN6:AN19" si="7">IF(AK6+AG6=0,AM6*2/10,0)</f>
        <v>0</v>
      </c>
      <c r="BH6">
        <v>0</v>
      </c>
      <c r="BI6">
        <v>3</v>
      </c>
      <c r="BJ6" s="107">
        <f t="shared" si="0"/>
        <v>2.8905601509032632E-2</v>
      </c>
      <c r="BL6">
        <f>BH14+1</f>
        <v>2</v>
      </c>
      <c r="BM6">
        <v>2</v>
      </c>
      <c r="BN6" s="107">
        <f>$H$27*H41</f>
        <v>6.9675080263516626E-2</v>
      </c>
      <c r="BP6">
        <f>BL5+1</f>
        <v>2</v>
      </c>
      <c r="BQ6">
        <v>1</v>
      </c>
      <c r="BR6" s="107">
        <f>$H$27*H40</f>
        <v>4.0074504207400378E-2</v>
      </c>
    </row>
    <row r="7" spans="1:70" x14ac:dyDescent="0.25">
      <c r="A7" s="5" t="s">
        <v>2</v>
      </c>
      <c r="B7" s="168">
        <v>11.75</v>
      </c>
      <c r="C7" s="169">
        <v>16</v>
      </c>
      <c r="E7" s="192" t="s">
        <v>18</v>
      </c>
      <c r="F7" s="167"/>
      <c r="G7" s="167"/>
      <c r="H7" s="10"/>
      <c r="I7" s="10"/>
      <c r="J7" s="166" t="s">
        <v>16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8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13"/>
      <c r="AI7" s="206"/>
      <c r="AK7" s="13"/>
      <c r="AM7" s="13">
        <v>0</v>
      </c>
      <c r="BH7">
        <v>0</v>
      </c>
      <c r="BI7">
        <v>4</v>
      </c>
      <c r="BJ7" s="107">
        <f t="shared" si="0"/>
        <v>2.0972855066825634E-2</v>
      </c>
      <c r="BL7">
        <f>BH23+1</f>
        <v>3</v>
      </c>
      <c r="BM7">
        <v>3</v>
      </c>
      <c r="BN7" s="107">
        <f>$H$28*H42</f>
        <v>4.984544918113578E-2</v>
      </c>
      <c r="BP7">
        <f>BP5+1</f>
        <v>3</v>
      </c>
      <c r="BQ7">
        <v>0</v>
      </c>
      <c r="BR7" s="107">
        <f>$H$28*H39</f>
        <v>7.1560480555815063E-3</v>
      </c>
    </row>
    <row r="8" spans="1:70" x14ac:dyDescent="0.25">
      <c r="A8" s="5" t="s">
        <v>3</v>
      </c>
      <c r="B8" s="168">
        <v>10.5</v>
      </c>
      <c r="C8" s="169">
        <v>18</v>
      </c>
      <c r="E8" s="192" t="s">
        <v>18</v>
      </c>
      <c r="F8" s="167" t="s">
        <v>21</v>
      </c>
      <c r="G8" s="167"/>
      <c r="H8" s="10"/>
      <c r="I8" s="10"/>
      <c r="J8" s="166"/>
      <c r="K8" s="166"/>
      <c r="L8" s="10"/>
      <c r="M8" s="10"/>
      <c r="O8" s="67">
        <f>COUNTIF(F6:F18,"IMP")*AI8*AG8</f>
        <v>5.6000000000000001E-2</v>
      </c>
      <c r="P8" s="196" t="str">
        <f>P3</f>
        <v>0,6</v>
      </c>
      <c r="Q8" s="16">
        <f t="shared" si="1"/>
        <v>3.3599999999999998E-2</v>
      </c>
      <c r="R8" s="157">
        <f t="shared" si="8"/>
        <v>3.3195180722891564E-2</v>
      </c>
      <c r="S8" s="176">
        <f t="shared" si="2"/>
        <v>0.96680481927710848</v>
      </c>
      <c r="T8" s="177">
        <f>R8*PRODUCT(S5:S7)*PRODUCT(S9:S19)</f>
        <v>2.1438386225373765E-2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8.2808023203910647E-3</v>
      </c>
      <c r="W8" s="186" t="s">
        <v>42</v>
      </c>
      <c r="X8" s="15" t="s">
        <v>43</v>
      </c>
      <c r="Y8" s="69">
        <f>COUNTIF(J6:J18,"IMP")*AI8*AK8</f>
        <v>5.6000000000000001E-2</v>
      </c>
      <c r="Z8" s="197" t="str">
        <f>Z3</f>
        <v>0,6</v>
      </c>
      <c r="AA8" s="19">
        <f t="shared" si="3"/>
        <v>3.3599999999999998E-2</v>
      </c>
      <c r="AB8" s="157">
        <f t="shared" si="4"/>
        <v>3.4004819277108439E-2</v>
      </c>
      <c r="AC8" s="176">
        <f t="shared" si="5"/>
        <v>0.96599518072289159</v>
      </c>
      <c r="AD8" s="177">
        <f>AB8*PRODUCT(AC5:AC7)*PRODUCT(AC9:AC19)</f>
        <v>2.1096447548441807E-2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9.1605099802564201E-3</v>
      </c>
      <c r="AG8" s="203">
        <f>IF(COUNTIF(F6:F18,"IMP")+COUNTIF(J6:J18,"IMP")=0,0,COUNTIF(F6:F18,"IMP")/(COUNTIF(F6:F18,"IMP")+COUNTIF(J6:J18,"IMP")))</f>
        <v>0.5</v>
      </c>
      <c r="AI8" s="206">
        <f t="shared" si="6"/>
        <v>0.112</v>
      </c>
      <c r="AK8" s="203">
        <f>IF(COUNTIF(F6:F18,"IMP")+COUNTIF(J6:J18,"IMP")=0,0,COUNTIF(J6:J18,"IMP")/(COUNTIF(F6:F18,"IMP")+COUNTIF(J6:J18,"IMP")))</f>
        <v>0.5</v>
      </c>
      <c r="AM8" s="13">
        <v>0.05</v>
      </c>
      <c r="AN8">
        <f t="shared" si="7"/>
        <v>0</v>
      </c>
      <c r="BH8">
        <v>0</v>
      </c>
      <c r="BI8">
        <v>5</v>
      </c>
      <c r="BJ8" s="107">
        <f t="shared" si="0"/>
        <v>1.0990997539956224E-2</v>
      </c>
      <c r="BL8">
        <f>BH31+1</f>
        <v>4</v>
      </c>
      <c r="BM8">
        <v>4</v>
      </c>
      <c r="BN8" s="107">
        <f>$H$29*H43</f>
        <v>1.679707254899921E-2</v>
      </c>
      <c r="BP8">
        <f>BP6+1</f>
        <v>3</v>
      </c>
      <c r="BQ8">
        <v>1</v>
      </c>
      <c r="BR8" s="107">
        <f>$H$28*H40</f>
        <v>2.6979256172519877E-2</v>
      </c>
    </row>
    <row r="9" spans="1:70" x14ac:dyDescent="0.25">
      <c r="A9" s="5" t="s">
        <v>4</v>
      </c>
      <c r="B9" s="168">
        <v>11.25</v>
      </c>
      <c r="C9" s="169">
        <v>18.25</v>
      </c>
      <c r="E9" s="192" t="s">
        <v>18</v>
      </c>
      <c r="F9" s="167"/>
      <c r="G9" s="167"/>
      <c r="H9" s="10"/>
      <c r="I9" s="10"/>
      <c r="J9" s="166" t="s">
        <v>16</v>
      </c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>
        <f t="shared" si="8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COUNTIF(F6:F13,"IMP")*AI9*AK9</f>
        <v>6.2E-2</v>
      </c>
      <c r="Z9" s="197" t="str">
        <f>P3</f>
        <v>0,6</v>
      </c>
      <c r="AA9" s="19">
        <f t="shared" si="3"/>
        <v>3.7199999999999997E-2</v>
      </c>
      <c r="AB9" s="157">
        <f t="shared" si="4"/>
        <v>3.7648192771084339E-2</v>
      </c>
      <c r="AC9" s="176">
        <f t="shared" si="5"/>
        <v>0.96235180722891567</v>
      </c>
      <c r="AD9" s="177">
        <f>AB9*PRODUCT(AC5:AC8)*PRODUCT(AC10:AC19)</f>
        <v>2.3445207792798899E-2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9.2631891760418389E-3</v>
      </c>
      <c r="AG9" s="203">
        <f>IF(COUNTIF(J6:J13,"IMP")+COUNTIF(F6:F13,"IMP")=0,0,COUNTIF(J6:J13,"IMP")/(COUNTIF(J6:J13,"IMP")+COUNTIF(F6:F13,"IMP")))</f>
        <v>0</v>
      </c>
      <c r="AI9" s="206">
        <f t="shared" si="6"/>
        <v>6.2E-2</v>
      </c>
      <c r="AK9" s="203">
        <f>IF(COUNTIF(J6:J13,"IMP")+COUNTIF(F6:F13,"IMP")=0,0,COUNTIF(F6:F13,"IMP")/(COUNTIF(J6:J13,"IMP")+COUNTIF(F6:F13,"IMP")))</f>
        <v>1</v>
      </c>
      <c r="AM9" s="13">
        <v>2.5000000000000001E-2</v>
      </c>
      <c r="AN9">
        <f t="shared" si="7"/>
        <v>0</v>
      </c>
      <c r="BH9">
        <v>0</v>
      </c>
      <c r="BI9">
        <v>6</v>
      </c>
      <c r="BJ9" s="107">
        <f t="shared" si="0"/>
        <v>4.2896718766025806E-3</v>
      </c>
      <c r="BL9">
        <f>BH38+1</f>
        <v>5</v>
      </c>
      <c r="BM9">
        <v>5</v>
      </c>
      <c r="BN9" s="107">
        <f>$H$30*H44</f>
        <v>2.9840468883839482E-3</v>
      </c>
      <c r="BP9">
        <f>BL6+1</f>
        <v>3</v>
      </c>
      <c r="BQ9">
        <v>2</v>
      </c>
      <c r="BR9" s="107">
        <f>$H$28*H41</f>
        <v>4.6907176431721598E-2</v>
      </c>
    </row>
    <row r="10" spans="1:70" x14ac:dyDescent="0.25">
      <c r="A10" s="6" t="s">
        <v>5</v>
      </c>
      <c r="B10" s="168">
        <v>11.5</v>
      </c>
      <c r="C10" s="169">
        <v>13.5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>COUNTIF(F11:F18,"RAP")*AI10*AG10</f>
        <v>0.112</v>
      </c>
      <c r="P10" s="196" t="str">
        <f>R3</f>
        <v>0,72</v>
      </c>
      <c r="Q10" s="16">
        <f t="shared" si="1"/>
        <v>8.0640000000000003E-2</v>
      </c>
      <c r="R10" s="157">
        <f t="shared" si="8"/>
        <v>7.9668433734939759E-2</v>
      </c>
      <c r="S10" s="176">
        <f t="shared" si="2"/>
        <v>0.92033156626506019</v>
      </c>
      <c r="T10" s="177">
        <f>R10*PRODUCT(S5:S9)*PRODUCT(S11:S19)</f>
        <v>5.4050264178584349E-2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1.6198626315120007E-2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>
        <f t="shared" si="4"/>
        <v>0</v>
      </c>
      <c r="AC10" s="176">
        <f t="shared" si="5"/>
        <v>1</v>
      </c>
      <c r="AD10" s="177">
        <f>AB10*PRODUCT(AC5:AC9)*PRODUCT(AC11:AC19)</f>
        <v>0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0</v>
      </c>
      <c r="AG10" s="203">
        <f>IF(COUNTIF(F11:F18,"RAP")+COUNTIF(J11:J18,"RAP")=0,0,COUNTIF(F11:F18,"RAP")/(COUNTIF(F11:F18,"RAP")+COUNTIF(J11:J18,"RAP")))</f>
        <v>1</v>
      </c>
      <c r="AI10" s="206">
        <f t="shared" si="6"/>
        <v>0.112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</v>
      </c>
      <c r="BH10">
        <v>0</v>
      </c>
      <c r="BI10">
        <v>7</v>
      </c>
      <c r="BJ10" s="107">
        <f t="shared" si="0"/>
        <v>1.2659684909177623E-3</v>
      </c>
      <c r="BL10">
        <f>BH44+1</f>
        <v>6</v>
      </c>
      <c r="BM10">
        <v>6</v>
      </c>
      <c r="BN10" s="107">
        <f>$H$31*H45</f>
        <v>2.9687811801890128E-4</v>
      </c>
      <c r="BP10">
        <f>BP7+1</f>
        <v>4</v>
      </c>
      <c r="BQ10">
        <v>0</v>
      </c>
      <c r="BR10" s="107">
        <f>$H$29*H39</f>
        <v>3.3235773294917849E-3</v>
      </c>
    </row>
    <row r="11" spans="1:70" x14ac:dyDescent="0.25">
      <c r="A11" s="6" t="s">
        <v>6</v>
      </c>
      <c r="B11" s="168">
        <v>17.5</v>
      </c>
      <c r="C11" s="169">
        <v>7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>COUNTIF(F11:F18,"RAP")*AI11*AG11</f>
        <v>0.112</v>
      </c>
      <c r="P11" s="196" t="str">
        <f>R3</f>
        <v>0,72</v>
      </c>
      <c r="Q11" s="16">
        <f t="shared" si="1"/>
        <v>8.0640000000000003E-2</v>
      </c>
      <c r="R11" s="157">
        <f t="shared" si="8"/>
        <v>7.9668433734939759E-2</v>
      </c>
      <c r="S11" s="176">
        <f t="shared" si="2"/>
        <v>0.92033156626506019</v>
      </c>
      <c r="T11" s="177">
        <f>R11*PRODUCT(S5:S10)*PRODUCT(S12:S19)</f>
        <v>5.4050264178584342E-2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1.1519769207629076E-2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>
        <f t="shared" si="4"/>
        <v>0</v>
      </c>
      <c r="AC11" s="176">
        <f t="shared" si="5"/>
        <v>1</v>
      </c>
      <c r="AD11" s="177">
        <f>AB11*PRODUCT(AC5:AC10)*PRODUCT(AC12:AC19)</f>
        <v>0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0</v>
      </c>
      <c r="AG11" s="203">
        <f>IF(COUNTIF(F11:F18,"RAP")+COUNTIF(J11:J18,"RAP")=0,0,COUNTIF(F11:F18,"RAP")/(COUNTIF(F11:F18,"RAP")+COUNTIF(J11:J18,"RAP")))</f>
        <v>1</v>
      </c>
      <c r="AI11" s="206">
        <f t="shared" si="6"/>
        <v>0.112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</v>
      </c>
      <c r="BH11">
        <v>0</v>
      </c>
      <c r="BI11">
        <v>8</v>
      </c>
      <c r="BJ11" s="107">
        <f t="shared" si="0"/>
        <v>2.8345264791129244E-4</v>
      </c>
      <c r="BL11">
        <f>BH50+1</f>
        <v>7</v>
      </c>
      <c r="BM11">
        <v>7</v>
      </c>
      <c r="BN11" s="107">
        <f>$H$32*H46</f>
        <v>1.701636338937382E-5</v>
      </c>
      <c r="BP11">
        <f>BP8+1</f>
        <v>4</v>
      </c>
      <c r="BQ11">
        <v>1</v>
      </c>
      <c r="BR11" s="107">
        <f>$H$29*H40</f>
        <v>1.2530330076752383E-2</v>
      </c>
    </row>
    <row r="12" spans="1:70" x14ac:dyDescent="0.25">
      <c r="A12" s="6" t="s">
        <v>7</v>
      </c>
      <c r="B12" s="168">
        <v>12</v>
      </c>
      <c r="C12" s="169">
        <v>14.75</v>
      </c>
      <c r="E12" s="192" t="s">
        <v>19</v>
      </c>
      <c r="F12" s="167"/>
      <c r="G12" s="167"/>
      <c r="H12" s="10"/>
      <c r="I12" s="10"/>
      <c r="J12" s="166" t="s">
        <v>16</v>
      </c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8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G12" s="13"/>
      <c r="AI12" s="206"/>
      <c r="AK12" s="13"/>
      <c r="AM12" s="13">
        <v>0</v>
      </c>
      <c r="BH12">
        <v>0</v>
      </c>
      <c r="BI12">
        <v>9</v>
      </c>
      <c r="BJ12" s="107">
        <f t="shared" si="0"/>
        <v>4.7736559014038535E-5</v>
      </c>
      <c r="BL12">
        <f>BH54+1</f>
        <v>8</v>
      </c>
      <c r="BM12">
        <v>8</v>
      </c>
      <c r="BN12" s="107">
        <f>$H$33*H47</f>
        <v>5.6382715482020407E-7</v>
      </c>
      <c r="BP12">
        <f>BP9+1</f>
        <v>4</v>
      </c>
      <c r="BQ12">
        <v>2</v>
      </c>
      <c r="BR12" s="107">
        <f>$H$29*H41</f>
        <v>2.1785715658706923E-2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>AI13*B22/0.5</f>
        <v>0.22920481927710842</v>
      </c>
      <c r="P13" s="196" t="str">
        <f>P2</f>
        <v>0,4</v>
      </c>
      <c r="Q13" s="16">
        <f t="shared" si="1"/>
        <v>9.1681927710843381E-2</v>
      </c>
      <c r="R13" s="157">
        <f t="shared" si="8"/>
        <v>9.0577326172158523E-2</v>
      </c>
      <c r="S13" s="176">
        <f t="shared" si="2"/>
        <v>0.90942267382784148</v>
      </c>
      <c r="T13" s="177">
        <f>R13*PRODUCT(S5:S12)*PRODUCT(S14:S19)</f>
        <v>6.2188427917647844E-2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7.0603742595723917E-3</v>
      </c>
      <c r="W13" s="186" t="s">
        <v>52</v>
      </c>
      <c r="X13" s="15" t="s">
        <v>53</v>
      </c>
      <c r="Y13" s="69">
        <f>AI13*C22/0.5</f>
        <v>0.2347951807228916</v>
      </c>
      <c r="Z13" s="197" t="str">
        <f>Z2</f>
        <v>0,4</v>
      </c>
      <c r="AA13" s="19">
        <f t="shared" si="3"/>
        <v>9.3918072289156648E-2</v>
      </c>
      <c r="AB13" s="157">
        <f t="shared" si="4"/>
        <v>9.5049615328785059E-2</v>
      </c>
      <c r="AC13" s="176">
        <f t="shared" si="5"/>
        <v>0.90495038467121491</v>
      </c>
      <c r="AD13" s="177">
        <f>AB13*PRODUCT(AC5:AC12)*PRODUCT(AC14:AC19)</f>
        <v>6.2946184950581657E-2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1.8258580349525488E-2</v>
      </c>
      <c r="AG13" s="13"/>
      <c r="AI13" s="206">
        <f>(AM13*$AI$2/2)+SUM($AN$5:$AN$19)</f>
        <v>0.23200000000000001</v>
      </c>
      <c r="AK13" s="13"/>
      <c r="AM13" s="13">
        <v>0.22</v>
      </c>
      <c r="BH13">
        <v>0</v>
      </c>
      <c r="BI13">
        <v>10</v>
      </c>
      <c r="BJ13" s="107">
        <f t="shared" si="0"/>
        <v>5.9019004757237671E-6</v>
      </c>
      <c r="BL13">
        <f>BH57+1</f>
        <v>9</v>
      </c>
      <c r="BM13">
        <v>9</v>
      </c>
      <c r="BN13" s="107">
        <f>$H$34*H48</f>
        <v>1.0570078728924254E-8</v>
      </c>
      <c r="BP13">
        <f>BL7+1</f>
        <v>4</v>
      </c>
      <c r="BQ13">
        <v>3</v>
      </c>
      <c r="BR13" s="107">
        <f>$H$29*H42</f>
        <v>2.3150376239793942E-2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0.15</v>
      </c>
      <c r="Q14" s="16">
        <f t="shared" si="1"/>
        <v>0</v>
      </c>
      <c r="R14" s="157">
        <f t="shared" si="8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IF(COUNTIF(J6:J18,"CAB")&gt;0,AI14*C22/0.5,0)</f>
        <v>0.13865060240963858</v>
      </c>
      <c r="Z14" s="197">
        <f>IF(COUNTIF(J6:J18,"CAB")-COUNTIF(F6:F18,"CAB")&gt;3,0.8,IF(COUNTIF(J6:J18,"CAB")-COUNTIF(F6:F18,"CAB")&gt;0,0.6,IF(COUNTIF(J6:J18,"CAB")-COUNTIF(F6:F18,"CAB")=0,0.4,0.15)))</f>
        <v>0.6</v>
      </c>
      <c r="AA14" s="19">
        <f t="shared" si="3"/>
        <v>8.3190361445783151E-2</v>
      </c>
      <c r="AB14" s="157">
        <f t="shared" si="4"/>
        <v>8.4192654957178148E-2</v>
      </c>
      <c r="AC14" s="176">
        <f t="shared" si="5"/>
        <v>0.91580734504282191</v>
      </c>
      <c r="AD14" s="177">
        <f>AB14*PRODUCT(AC5:AC13)*PRODUCT(AC15:AC19)</f>
        <v>5.5095217439842324E-2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1.0916224701943285E-2</v>
      </c>
      <c r="AG14" s="13"/>
      <c r="AI14" s="206">
        <f>IF(COUNTIF(J6:J18,"CAB")+COUNTIF(F6:F18,"CAB")=0,0,(AM14*$AI$2/2)+SUM($AN$5:$AN$19))</f>
        <v>0.13700000000000001</v>
      </c>
      <c r="AK14" s="13"/>
      <c r="AM14" s="13">
        <v>0.125</v>
      </c>
      <c r="AN14">
        <f>IF(COUNTIF(J6:J18,"CAB")+COUNTIF(F6:F18,"CAB")=0,AM14*2/10,0)</f>
        <v>0</v>
      </c>
      <c r="BH14">
        <v>1</v>
      </c>
      <c r="BI14">
        <v>2</v>
      </c>
      <c r="BJ14" s="107">
        <f t="shared" ref="BJ14:BJ22" si="9">$H$26*H41</f>
        <v>6.3851716346137691E-2</v>
      </c>
      <c r="BL14">
        <f>BP39+1</f>
        <v>10</v>
      </c>
      <c r="BM14">
        <v>10</v>
      </c>
      <c r="BN14" s="107">
        <f>$H$35*H49</f>
        <v>1.0629346662277362E-10</v>
      </c>
      <c r="BP14">
        <f>BP10+1</f>
        <v>5</v>
      </c>
      <c r="BQ14">
        <v>0</v>
      </c>
      <c r="BR14" s="107">
        <f>$H$30*H39</f>
        <v>1.1266740143922396E-3</v>
      </c>
    </row>
    <row r="15" spans="1:70" x14ac:dyDescent="0.25">
      <c r="A15" s="189" t="s">
        <v>71</v>
      </c>
      <c r="B15" s="170">
        <v>6.25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8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G15" s="13"/>
      <c r="AI15" s="206"/>
      <c r="AK15" s="13"/>
      <c r="AM15" s="13">
        <v>0</v>
      </c>
      <c r="BH15">
        <v>1</v>
      </c>
      <c r="BI15">
        <v>3</v>
      </c>
      <c r="BJ15" s="107">
        <f t="shared" si="9"/>
        <v>6.7851397683092021E-2</v>
      </c>
      <c r="BP15">
        <f>BP11+1</f>
        <v>5</v>
      </c>
      <c r="BQ15">
        <v>1</v>
      </c>
      <c r="BR15" s="107">
        <f>$H$30*H40</f>
        <v>4.2477113933717852E-3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8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G16" s="13"/>
      <c r="AI16" s="206"/>
      <c r="AK16" s="13"/>
      <c r="AM16" s="13">
        <v>0</v>
      </c>
      <c r="BH16">
        <v>1</v>
      </c>
      <c r="BI16">
        <v>4</v>
      </c>
      <c r="BJ16" s="107">
        <f t="shared" si="9"/>
        <v>4.9230510883655418E-2</v>
      </c>
      <c r="BP16">
        <f>BP12+1</f>
        <v>5</v>
      </c>
      <c r="BQ16">
        <v>2</v>
      </c>
      <c r="BR16" s="107">
        <f>$H$30*H41</f>
        <v>7.3852350296770407E-3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 t="s">
        <v>21</v>
      </c>
      <c r="K17" s="166"/>
      <c r="L17" s="10"/>
      <c r="M17" s="10"/>
      <c r="O17" s="67">
        <f>(AI17*2)*IF(COUNTBLANK(F14:F15)&lt;&gt;0, (2-COUNTBLANK(F14:F15))/2,1)*AG17</f>
        <v>0.17200000000000001</v>
      </c>
      <c r="P17" s="196" t="str">
        <f>IF(COUNTIF(F14:F18,"CAB")&gt;0,0.95,P3)</f>
        <v>0,6</v>
      </c>
      <c r="Q17" s="16">
        <f t="shared" si="1"/>
        <v>0.1032</v>
      </c>
      <c r="R17" s="157">
        <f t="shared" si="8"/>
        <v>0.10195662650602409</v>
      </c>
      <c r="S17" s="176">
        <f t="shared" si="2"/>
        <v>0.89804337349397589</v>
      </c>
      <c r="T17" s="177">
        <f>R17*PRODUCT(S5:S16)*PRODUCT(S18:S19)</f>
        <v>7.0888209099500041E-2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(2-COUNTBLANK(J14:J15))/2,1)*AK17</f>
        <v>0.17200000000000001</v>
      </c>
      <c r="Z17" s="197">
        <f>IF(COUNTIF(J14:J18,"CAB")&gt;0,0.95,Z3)</f>
        <v>0.95</v>
      </c>
      <c r="AA17" s="19">
        <f t="shared" si="3"/>
        <v>0.16340000000000002</v>
      </c>
      <c r="AB17" s="157">
        <f t="shared" si="4"/>
        <v>0.16536867469879521</v>
      </c>
      <c r="AC17" s="176">
        <f t="shared" si="5"/>
        <v>0.83463132530120476</v>
      </c>
      <c r="AD17" s="177">
        <f>AB17*PRODUCT(AC5:AC16)*PRODUCT(AC18:AC19)</f>
        <v>0.11874145989649905</v>
      </c>
      <c r="AE17" s="177">
        <f>AB17*AB18*PRODUCT(AC5:AC16)*AC19+AB17*AB19*PRODUCT(AC5:AC16)*AC18</f>
        <v>0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0.5</v>
      </c>
      <c r="AI17" s="206">
        <f t="shared" si="6"/>
        <v>0.17200000000000001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0.5</v>
      </c>
      <c r="AM17" s="13">
        <v>0.08</v>
      </c>
      <c r="AN17">
        <f t="shared" si="7"/>
        <v>0</v>
      </c>
      <c r="BH17">
        <v>1</v>
      </c>
      <c r="BI17">
        <v>5</v>
      </c>
      <c r="BJ17" s="107">
        <f t="shared" si="9"/>
        <v>2.57996549486928E-2</v>
      </c>
      <c r="BP17">
        <f>BP13+1</f>
        <v>5</v>
      </c>
      <c r="BQ17">
        <v>3</v>
      </c>
      <c r="BR17" s="107">
        <f>$H$30*H42</f>
        <v>7.8478472883216337E-3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>
        <f t="shared" si="8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G18" s="203"/>
      <c r="AI18" s="206"/>
      <c r="AK18" s="203"/>
      <c r="AM18" s="13">
        <v>0</v>
      </c>
      <c r="BH18">
        <v>1</v>
      </c>
      <c r="BI18">
        <v>6</v>
      </c>
      <c r="BJ18" s="107">
        <f t="shared" si="9"/>
        <v>1.0069336641840327E-2</v>
      </c>
      <c r="BP18">
        <f>BL8+1</f>
        <v>5</v>
      </c>
      <c r="BQ18">
        <v>4</v>
      </c>
      <c r="BR18" s="107">
        <f>$H$30*H43</f>
        <v>5.6941130843832241E-3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>
        <f t="shared" si="8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6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>
        <f t="shared" si="9"/>
        <v>2.9716638660739511E-3</v>
      </c>
      <c r="BP19">
        <f>BP15+1</f>
        <v>6</v>
      </c>
      <c r="BQ19">
        <v>1</v>
      </c>
      <c r="BR19" s="107">
        <f>$H$31*H40</f>
        <v>1.0827808935321937E-3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0.62438988638860071</v>
      </c>
      <c r="T20" s="181">
        <f>SUM(T5:T19)</f>
        <v>0.30701683938483498</v>
      </c>
      <c r="U20" s="181">
        <f>SUM(U5:U19)</f>
        <v>6.1734552171456396E-2</v>
      </c>
      <c r="V20" s="181">
        <f>1-S20-T20-U20</f>
        <v>6.8587220551079089E-3</v>
      </c>
      <c r="W20" s="21"/>
      <c r="X20" s="22"/>
      <c r="Y20" s="22"/>
      <c r="Z20" s="22"/>
      <c r="AA20" s="22"/>
      <c r="AB20" s="23"/>
      <c r="AC20" s="184">
        <f>PRODUCT(AC5:AC19)</f>
        <v>0.59929936683671614</v>
      </c>
      <c r="AD20" s="181">
        <f>SUM(AD5:AD19)</f>
        <v>0.32505687260778882</v>
      </c>
      <c r="AE20" s="181">
        <f>SUM(AE5:AE19)</f>
        <v>6.8127449089396955E-2</v>
      </c>
      <c r="AF20" s="181">
        <f>1-AC20-AD20-AE20</f>
        <v>7.5163114660980884E-3</v>
      </c>
      <c r="BH20">
        <v>1</v>
      </c>
      <c r="BI20">
        <v>8</v>
      </c>
      <c r="BJ20" s="107">
        <f t="shared" si="9"/>
        <v>6.6536094506611818E-4</v>
      </c>
      <c r="BP20">
        <f>BP16+1</f>
        <v>6</v>
      </c>
      <c r="BQ20">
        <v>2</v>
      </c>
      <c r="BR20" s="107">
        <f>$H$31*H41</f>
        <v>1.8825646669067503E-3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9"/>
        <v>1.120541376269847E-4</v>
      </c>
      <c r="BP21">
        <f>BP17+1</f>
        <v>6</v>
      </c>
      <c r="BQ21">
        <v>3</v>
      </c>
      <c r="BR21" s="107">
        <f>$H$31*H42</f>
        <v>2.0004888073169875E-3</v>
      </c>
    </row>
    <row r="22" spans="1:70" x14ac:dyDescent="0.25">
      <c r="A22" s="26" t="s">
        <v>77</v>
      </c>
      <c r="B22" s="62">
        <f>(B6)/((B6)+(C6))</f>
        <v>0.49397590361445781</v>
      </c>
      <c r="C22" s="63">
        <f>1-B22</f>
        <v>0.50602409638554224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9"/>
        <v>1.3853792184162889E-5</v>
      </c>
      <c r="BP22">
        <f>BP18+1</f>
        <v>6</v>
      </c>
      <c r="BQ22">
        <v>4</v>
      </c>
      <c r="BR22" s="107">
        <f>$H$31*H43</f>
        <v>1.4514820529009005E-3</v>
      </c>
    </row>
    <row r="23" spans="1:70" ht="15.75" thickBot="1" x14ac:dyDescent="0.3">
      <c r="A23" s="40" t="s">
        <v>67</v>
      </c>
      <c r="B23" s="56">
        <f>((B22^2.8)/((B22^2.8)+(C22^2.8)))*B21</f>
        <v>2.4156905528228418</v>
      </c>
      <c r="C23" s="57">
        <f>B21-B23</f>
        <v>2.5843094471771582</v>
      </c>
      <c r="D23" s="151">
        <f>SUM(D25:D30)</f>
        <v>1</v>
      </c>
      <c r="E23" s="151">
        <f>SUM(E25:E30)</f>
        <v>1</v>
      </c>
      <c r="H23" s="59">
        <f>SUM(H25:H35)</f>
        <v>0.99999988063836054</v>
      </c>
      <c r="J23" s="59">
        <f>SUM(J25:J35)</f>
        <v>1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1.0000000000000002</v>
      </c>
      <c r="T23" s="59">
        <f>SUM(T25:T35)</f>
        <v>1</v>
      </c>
      <c r="V23" s="59">
        <f>SUM(V25:V34)</f>
        <v>0.99923219167102129</v>
      </c>
      <c r="Y23" s="80">
        <f>SUM(Y25:Y35)</f>
        <v>1.3470734297514211E-3</v>
      </c>
      <c r="Z23" s="81"/>
      <c r="AA23" s="80">
        <f>SUM(AA25:AA35)</f>
        <v>1.2605345347089413E-2</v>
      </c>
      <c r="AB23" s="81"/>
      <c r="AC23" s="80">
        <f>SUM(AC25:AC35)</f>
        <v>5.309260666976838E-2</v>
      </c>
      <c r="AD23" s="81"/>
      <c r="AE23" s="80">
        <f>SUM(AE25:AE35)</f>
        <v>0.13255967569058957</v>
      </c>
      <c r="AF23" s="81"/>
      <c r="AG23" s="80">
        <f>SUM(AG25:AG35)</f>
        <v>0.21730037041924075</v>
      </c>
      <c r="AH23" s="81"/>
      <c r="AI23" s="80">
        <f>SUM(AI25:AI35)</f>
        <v>0.24443057589429884</v>
      </c>
      <c r="AJ23" s="81"/>
      <c r="AK23" s="80">
        <f>SUM(AK25:AK35)</f>
        <v>0.19114861431237068</v>
      </c>
      <c r="AL23" s="81"/>
      <c r="AM23" s="80">
        <f>SUM(AM25:AM35)</f>
        <v>0.1027002437024422</v>
      </c>
      <c r="AN23" s="81"/>
      <c r="AO23" s="80">
        <f>SUM(AO25:AO35)</f>
        <v>3.6350607202548353E-2</v>
      </c>
      <c r="AP23" s="81"/>
      <c r="AQ23" s="80">
        <f>SUM(AQ25:AQ35)</f>
        <v>7.6970790029217001E-3</v>
      </c>
      <c r="AR23" s="81"/>
      <c r="AS23" s="80">
        <f>SUM(AS25:AS35)</f>
        <v>7.6780832897871442E-4</v>
      </c>
      <c r="BH23">
        <f t="shared" ref="BH23:BH30" si="10">BH15+1</f>
        <v>2</v>
      </c>
      <c r="BI23">
        <v>3</v>
      </c>
      <c r="BJ23" s="107">
        <f t="shared" ref="BJ23:BJ30" si="11">$H$27*H42</f>
        <v>7.4039538012311959E-2</v>
      </c>
      <c r="BP23">
        <f>BL9+1</f>
        <v>6</v>
      </c>
      <c r="BQ23">
        <v>5</v>
      </c>
      <c r="BR23" s="107">
        <f>$H$31*H44</f>
        <v>7.6066113182457723E-4</v>
      </c>
    </row>
    <row r="24" spans="1:70" ht="15.75" thickBot="1" x14ac:dyDescent="0.3">
      <c r="A24" s="26" t="s">
        <v>76</v>
      </c>
      <c r="B24" s="64">
        <f>B23/B21</f>
        <v>0.48313811056456835</v>
      </c>
      <c r="C24" s="65">
        <f>C23/B21</f>
        <v>0.51686188943543165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>
        <f t="shared" si="11"/>
        <v>5.372040085246832E-2</v>
      </c>
      <c r="BP24">
        <f>BH49+1</f>
        <v>7</v>
      </c>
      <c r="BQ24">
        <v>0</v>
      </c>
      <c r="BR24" s="107">
        <f t="shared" ref="BR24:BR30" si="12">$H$32*H39</f>
        <v>5.5779369451390361E-5</v>
      </c>
    </row>
    <row r="25" spans="1:70" x14ac:dyDescent="0.25">
      <c r="A25" s="26" t="s">
        <v>69</v>
      </c>
      <c r="B25" s="117">
        <f>1/(1+EXP(-3.1416*4*((B11/(B11+C8))-(3.1416/6))))</f>
        <v>0.40490639040144727</v>
      </c>
      <c r="C25" s="118">
        <f>1/(1+EXP(-3.1416*4*((C11/(C11+B8))-(3.1416/6))))</f>
        <v>0.17462355450482875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0.11375962469655877</v>
      </c>
      <c r="I25" s="97">
        <v>0</v>
      </c>
      <c r="J25" s="98">
        <f t="shared" ref="J25:J35" si="13">Y25+AA25+AC25+AE25+AG25+AI25+AK25+AM25+AO25+AQ25+AS25</f>
        <v>0.18219325324843322</v>
      </c>
      <c r="K25" s="97">
        <v>0</v>
      </c>
      <c r="L25" s="98">
        <f>S20</f>
        <v>0.62438988638860071</v>
      </c>
      <c r="M25" s="84">
        <v>0</v>
      </c>
      <c r="N25" s="71">
        <f>(1-$B$24)^$B$21</f>
        <v>3.6886933625985933E-2</v>
      </c>
      <c r="O25" s="70">
        <v>0</v>
      </c>
      <c r="P25" s="71">
        <f>N25</f>
        <v>3.6886933625985933E-2</v>
      </c>
      <c r="Q25" s="12">
        <v>0</v>
      </c>
      <c r="R25" s="73">
        <f>P25*N25</f>
        <v>1.3606458723278917E-3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1.3470734297514211E-3</v>
      </c>
      <c r="W25" s="136">
        <f>B31</f>
        <v>0.32348677288305866</v>
      </c>
      <c r="X25" s="12">
        <v>0</v>
      </c>
      <c r="Y25" s="79">
        <f>V25</f>
        <v>1.3470734297514211E-3</v>
      </c>
      <c r="Z25" s="12">
        <v>0</v>
      </c>
      <c r="AA25" s="78">
        <f>((1-W25)^Z26)*V26</f>
        <v>8.527682859682981E-3</v>
      </c>
      <c r="AB25" s="12">
        <v>0</v>
      </c>
      <c r="AC25" s="79">
        <f>(((1-$W$25)^AB27))*V27</f>
        <v>2.4298901070717905E-2</v>
      </c>
      <c r="AD25" s="12">
        <v>0</v>
      </c>
      <c r="AE25" s="79">
        <f>(((1-$W$25)^AB28))*V28</f>
        <v>4.1043114557306928E-2</v>
      </c>
      <c r="AF25" s="12">
        <v>0</v>
      </c>
      <c r="AG25" s="79">
        <f>(((1-$W$25)^AB29))*V29</f>
        <v>4.5516162140936352E-2</v>
      </c>
      <c r="AH25" s="12">
        <v>0</v>
      </c>
      <c r="AI25" s="79">
        <f>(((1-$W$25)^AB30))*V30</f>
        <v>3.4636738635176599E-2</v>
      </c>
      <c r="AJ25" s="12">
        <v>0</v>
      </c>
      <c r="AK25" s="79">
        <f>(((1-$W$25)^AB31))*V31</f>
        <v>1.8324363903169574E-2</v>
      </c>
      <c r="AL25" s="12">
        <v>0</v>
      </c>
      <c r="AM25" s="79">
        <f>(((1-$W$25)^AB32))*V32</f>
        <v>6.6604798726318066E-3</v>
      </c>
      <c r="AN25" s="12">
        <v>0</v>
      </c>
      <c r="AO25" s="79">
        <f>(((1-$W$25)^AB33))*V33</f>
        <v>1.5948579519128965E-3</v>
      </c>
      <c r="AP25" s="12">
        <v>0</v>
      </c>
      <c r="AQ25" s="79">
        <f>(((1-$W$25)^AB34))*V34</f>
        <v>2.2846126378624204E-4</v>
      </c>
      <c r="AR25" s="12">
        <v>0</v>
      </c>
      <c r="AS25" s="79">
        <f>(((1-$W$25)^AB35))*V35</f>
        <v>1.5417563360539206E-5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>
        <f t="shared" si="11"/>
        <v>2.8152618789078782E-2</v>
      </c>
      <c r="BP25">
        <f>BP19+1</f>
        <v>7</v>
      </c>
      <c r="BQ25">
        <v>1</v>
      </c>
      <c r="BR25" s="107">
        <f t="shared" si="12"/>
        <v>2.1029566680968881E-4</v>
      </c>
    </row>
    <row r="26" spans="1:70" x14ac:dyDescent="0.25">
      <c r="A26" s="40" t="s">
        <v>24</v>
      </c>
      <c r="B26" s="119">
        <f>1/(1+EXP(-3.1416*4*((B10/(B10+C9))-(3.1416/6))))</f>
        <v>0.1515922457508336</v>
      </c>
      <c r="C26" s="120">
        <f>1/(1+EXP(-3.1416*4*((C10/(C10+B9))-(3.1416/6))))</f>
        <v>0.56822993442447101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0.2670330016537969</v>
      </c>
      <c r="I26" s="93">
        <v>1</v>
      </c>
      <c r="J26" s="86">
        <f t="shared" si="13"/>
        <v>0.338084599840623</v>
      </c>
      <c r="K26" s="93">
        <v>1</v>
      </c>
      <c r="L26" s="86">
        <f>T20</f>
        <v>0.30701683938483498</v>
      </c>
      <c r="M26" s="85">
        <v>1</v>
      </c>
      <c r="N26" s="71">
        <f>(($B$24)^M26)*((1-($B$24))^($B$21-M26))*HLOOKUP($B$21,$AV$24:$BF$34,M26+1)</f>
        <v>0.17240082680545371</v>
      </c>
      <c r="O26" s="72">
        <v>1</v>
      </c>
      <c r="P26" s="71">
        <f t="shared" ref="P26:P30" si="14">N26</f>
        <v>0.17240082680545371</v>
      </c>
      <c r="Q26" s="28">
        <v>1</v>
      </c>
      <c r="R26" s="37">
        <f>N26*P25+P26*N25</f>
        <v>1.2718675710875735E-2</v>
      </c>
      <c r="S26" s="72">
        <v>1</v>
      </c>
      <c r="T26" s="135">
        <f t="shared" ref="T26:T35" si="15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1.2605345347089413E-2</v>
      </c>
      <c r="W26" s="137"/>
      <c r="X26" s="28">
        <v>1</v>
      </c>
      <c r="Y26" s="73"/>
      <c r="Z26" s="28">
        <v>1</v>
      </c>
      <c r="AA26" s="79">
        <f>(1-((1-W25)^Z26))*V26</f>
        <v>4.0776624874064322E-3</v>
      </c>
      <c r="AB26" s="28">
        <v>1</v>
      </c>
      <c r="AC26" s="79">
        <f>((($W$25)^M26)*((1-($W$25))^($U$27-M26))*HLOOKUP($U$27,$AV$24:$BF$34,M26+1))*V27</f>
        <v>2.3237899206995098E-2</v>
      </c>
      <c r="AD26" s="28">
        <v>1</v>
      </c>
      <c r="AE26" s="79">
        <f>((($W$25)^M26)*((1-($W$25))^($U$28-M26))*HLOOKUP($U$28,$AV$24:$BF$34,M26+1))*V28</f>
        <v>5.8876474893747512E-2</v>
      </c>
      <c r="AF26" s="28">
        <v>1</v>
      </c>
      <c r="AG26" s="79">
        <f>((($W$25)^M26)*((1-($W$25))^($U$29-M26))*HLOOKUP($U$29,$AV$24:$BF$34,M26+1))*V29</f>
        <v>8.7057434000168604E-2</v>
      </c>
      <c r="AH26" s="28">
        <v>1</v>
      </c>
      <c r="AI26" s="79">
        <f>((($W$25)^M26)*((1-($W$25))^($U$30-M26))*HLOOKUP($U$30,$AV$24:$BF$34,M26+1))*V30</f>
        <v>8.2810848000983955E-2</v>
      </c>
      <c r="AJ26" s="28">
        <v>1</v>
      </c>
      <c r="AK26" s="79">
        <f>((($W$25)^M26)*((1-($W$25))^($U$31-M26))*HLOOKUP($U$31,$AV$24:$BF$34,M26+1))*V31</f>
        <v>5.2572713495339957E-2</v>
      </c>
      <c r="AL26" s="28">
        <v>1</v>
      </c>
      <c r="AM26" s="79">
        <f>((($W$25)^Q26)*((1-($W$25))^($U$32-Q26))*HLOOKUP($U$32,$AV$24:$BF$34,Q26+1))*V32</f>
        <v>2.229378432588212E-2</v>
      </c>
      <c r="AN26" s="28">
        <v>1</v>
      </c>
      <c r="AO26" s="79">
        <f>((($W$25)^Q26)*((1-($W$25))^($U$33-Q26))*HLOOKUP($U$33,$AV$24:$BF$34,Q26+1))*V33</f>
        <v>6.1008764516825237E-3</v>
      </c>
      <c r="AP26" s="28">
        <v>1</v>
      </c>
      <c r="AQ26" s="79">
        <f>((($W$25)^Q26)*((1-($W$25))^($U$34-Q26))*HLOOKUP($U$34,$AV$24:$BF$34,Q26+1))*V34</f>
        <v>9.8318517051551244E-4</v>
      </c>
      <c r="AR26" s="28">
        <v>1</v>
      </c>
      <c r="AS26" s="79">
        <f>((($W$25)^Q26)*((1-($W$25))^($U$35-Q26))*HLOOKUP($U$35,$AV$24:$BF$34,Q26+1))*V35</f>
        <v>7.3721807901308035E-5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>
        <f t="shared" si="11"/>
        <v>1.0987673924336595E-2</v>
      </c>
      <c r="BP26">
        <f>BP20+1</f>
        <v>7</v>
      </c>
      <c r="BQ26">
        <v>2</v>
      </c>
      <c r="BR26" s="107">
        <f t="shared" si="12"/>
        <v>3.6562816568368254E-4</v>
      </c>
    </row>
    <row r="27" spans="1:70" x14ac:dyDescent="0.25">
      <c r="A27" s="26" t="s">
        <v>25</v>
      </c>
      <c r="B27" s="119">
        <f>1/(1+EXP(-3.1416*4*((B12/(B12+C7))-(3.1416/6))))</f>
        <v>0.23251449252298675</v>
      </c>
      <c r="C27" s="120">
        <f>1/(1+EXP(-3.1416*4*((C12/(C12+B7))-(3.1416/6))))</f>
        <v>0.60222356498372975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0.29138677686244363</v>
      </c>
      <c r="I27" s="93">
        <v>2</v>
      </c>
      <c r="J27" s="86">
        <f t="shared" si="13"/>
        <v>0.28242208357453541</v>
      </c>
      <c r="K27" s="93">
        <v>2</v>
      </c>
      <c r="L27" s="86">
        <f>U20</f>
        <v>6.1734552171456396E-2</v>
      </c>
      <c r="M27" s="85">
        <v>2</v>
      </c>
      <c r="N27" s="71">
        <f>(($B$24)^M27)*((1-($B$24))^($B$21-M27))*HLOOKUP($B$21,$AV$24:$BF$34,M27+1)</f>
        <v>0.32230431929712483</v>
      </c>
      <c r="O27" s="72">
        <v>2</v>
      </c>
      <c r="P27" s="71">
        <f t="shared" si="14"/>
        <v>0.32230431929712483</v>
      </c>
      <c r="Q27" s="28">
        <v>2</v>
      </c>
      <c r="R27" s="37">
        <f>P25*N27+P26*N26+P27*N25</f>
        <v>5.3499681149767289E-2</v>
      </c>
      <c r="S27" s="72">
        <v>2</v>
      </c>
      <c r="T27" s="135">
        <f t="shared" si="15"/>
        <v>2.5000000000000001E-5</v>
      </c>
      <c r="U27" s="93">
        <v>2</v>
      </c>
      <c r="V27" s="86">
        <f>R27*T25+T26*R26+R25*T27</f>
        <v>5.309260666976838E-2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5.5558063920553803E-3</v>
      </c>
      <c r="AD27" s="28">
        <v>2</v>
      </c>
      <c r="AE27" s="79">
        <f>((($W$25)^M27)*((1-($W$25))^($U$28-M27))*HLOOKUP($U$28,$AV$24:$BF$34,M27+1))*V28</f>
        <v>2.8152828501631907E-2</v>
      </c>
      <c r="AF27" s="28">
        <v>2</v>
      </c>
      <c r="AG27" s="79">
        <f>((($W$25)^M27)*((1-($W$25))^($U$29-M27))*HLOOKUP($U$29,$AV$24:$BF$34,M27+1))*V29</f>
        <v>6.2442079292840715E-2</v>
      </c>
      <c r="AH27" s="28">
        <v>2</v>
      </c>
      <c r="AI27" s="79">
        <f>((($W$25)^M27)*((1-($W$25))^($U$30-M27))*HLOOKUP($U$30,$AV$24:$BF$34,M27+1))*V30</f>
        <v>7.9194945215512264E-2</v>
      </c>
      <c r="AJ27" s="28">
        <v>2</v>
      </c>
      <c r="AK27" s="79">
        <f>((($W$25)^M27)*((1-($W$25))^($U$31-M27))*HLOOKUP($U$31,$AV$24:$BF$34,M27+1))*V31</f>
        <v>6.284643355307748E-2</v>
      </c>
      <c r="AL27" s="28">
        <v>2</v>
      </c>
      <c r="AM27" s="79">
        <f>((($W$25)^Q27)*((1-($W$25))^($U$32-Q27))*HLOOKUP($U$32,$AV$24:$BF$34,Q27+1))*V32</f>
        <v>3.1980502632584486E-2</v>
      </c>
      <c r="AN27" s="28">
        <v>2</v>
      </c>
      <c r="AO27" s="79">
        <f>((($W$25)^Q27)*((1-($W$25))^($U$33-Q27))*HLOOKUP($U$33,$AV$24:$BF$34,Q27+1))*V33</f>
        <v>1.0210347183206774E-2</v>
      </c>
      <c r="AP27" s="28">
        <v>2</v>
      </c>
      <c r="AQ27" s="79">
        <f>((($W$25)^Q27)*((1-($W$25))^($U$34-Q27))*HLOOKUP($U$34,$AV$24:$BF$34,Q27+1))*V34</f>
        <v>1.8805095611327382E-3</v>
      </c>
      <c r="AR27" s="28">
        <v>2</v>
      </c>
      <c r="AS27" s="79">
        <f>((($W$25)^Q27)*((1-($W$25))^($U$35-Q27))*HLOOKUP($U$35,$AV$24:$BF$34,Q27+1))*V35</f>
        <v>1.5863124249364388E-4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>
        <f t="shared" si="11"/>
        <v>3.2426836776396056E-3</v>
      </c>
      <c r="BP27">
        <f>BP21+1</f>
        <v>7</v>
      </c>
      <c r="BQ27">
        <v>3</v>
      </c>
      <c r="BR27" s="107">
        <f t="shared" si="12"/>
        <v>3.8853117024228008E-4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0.19616957598704429</v>
      </c>
      <c r="I28" s="93">
        <v>3</v>
      </c>
      <c r="J28" s="86">
        <f t="shared" si="13"/>
        <v>0.1398807510626128</v>
      </c>
      <c r="K28" s="93">
        <v>3</v>
      </c>
      <c r="L28" s="86">
        <f>V20</f>
        <v>6.8587220551079089E-3</v>
      </c>
      <c r="M28" s="85">
        <v>3</v>
      </c>
      <c r="N28" s="71">
        <f>(($B$24)^M28)*((1-($B$24))^($B$21-M28))*HLOOKUP($B$21,$AV$24:$BF$34,M28+1)</f>
        <v>0.30127487252368806</v>
      </c>
      <c r="O28" s="72">
        <v>3</v>
      </c>
      <c r="P28" s="71">
        <f t="shared" si="14"/>
        <v>0.30127487252368806</v>
      </c>
      <c r="Q28" s="28">
        <v>3</v>
      </c>
      <c r="R28" s="37">
        <f>P25*N28+P26*N27+P27*N26+P28*N25</f>
        <v>0.13335727471150385</v>
      </c>
      <c r="S28" s="72">
        <v>3</v>
      </c>
      <c r="T28" s="135">
        <f t="shared" si="15"/>
        <v>0</v>
      </c>
      <c r="U28" s="93">
        <v>3</v>
      </c>
      <c r="V28" s="86">
        <f>R28*T25+R27*T26+R26*T27+R25*T28</f>
        <v>0.13255967569058955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4.4872577379032105E-3</v>
      </c>
      <c r="AF28" s="28">
        <v>3</v>
      </c>
      <c r="AG28" s="79">
        <f>((($W$25)^M28)*((1-($W$25))^($U$29-M28))*HLOOKUP($U$29,$AV$24:$BF$34,M28+1))*V29</f>
        <v>1.9905190234176553E-2</v>
      </c>
      <c r="AH28" s="28">
        <v>3</v>
      </c>
      <c r="AI28" s="79">
        <f>((($W$25)^M28)*((1-($W$25))^($U$30-M28))*HLOOKUP($U$30,$AV$24:$BF$34,M28+1))*V30</f>
        <v>3.7868464694465323E-2</v>
      </c>
      <c r="AJ28" s="28">
        <v>3</v>
      </c>
      <c r="AK28" s="79">
        <f>((($W$25)^M28)*((1-($W$25))^($U$31-M28))*HLOOKUP($U$31,$AV$24:$BF$34,M28+1))*V31</f>
        <v>4.0068179329735207E-2</v>
      </c>
      <c r="AL28" s="28">
        <v>3</v>
      </c>
      <c r="AM28" s="79">
        <f>((($W$25)^Q28)*((1-($W$25))^($U$32-Q28))*HLOOKUP($U$32,$AV$24:$BF$34,Q28+1))*V32</f>
        <v>2.54867389064975E-2</v>
      </c>
      <c r="AN28" s="28">
        <v>3</v>
      </c>
      <c r="AO28" s="79">
        <f>((($W$25)^Q28)*((1-($W$25))^($U$33-Q28))*HLOOKUP($U$33,$AV$24:$BF$34,Q28+1))*V33</f>
        <v>9.7645164290047215E-3</v>
      </c>
      <c r="AP28" s="28">
        <v>3</v>
      </c>
      <c r="AQ28" s="79">
        <f>((($W$25)^Q28)*((1-($W$25))^($U$34-Q28))*HLOOKUP($U$34,$AV$24:$BF$34,Q28+1))*V34</f>
        <v>2.0981308344322487E-3</v>
      </c>
      <c r="AR28" s="28">
        <v>3</v>
      </c>
      <c r="AS28" s="79">
        <f>((($W$25)^Q28)*((1-($W$25))^($U$35-Q28))*HLOOKUP($U$35,$AV$24:$BF$34,Q28+1))*V35</f>
        <v>2.0227289639804201E-4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>
        <f t="shared" si="11"/>
        <v>7.2604277386030308E-4</v>
      </c>
      <c r="BP28">
        <f>BP22+1</f>
        <v>7</v>
      </c>
      <c r="BQ28">
        <v>4</v>
      </c>
      <c r="BR28" s="107">
        <f t="shared" si="12"/>
        <v>2.8190411190333336E-4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9.1109611118112541E-2</v>
      </c>
      <c r="I29" s="93">
        <v>4</v>
      </c>
      <c r="J29" s="86">
        <f t="shared" si="13"/>
        <v>4.5500153832069082E-2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0.14080876888666352</v>
      </c>
      <c r="O29" s="72">
        <v>4</v>
      </c>
      <c r="P29" s="71">
        <f t="shared" si="14"/>
        <v>0.14080876888666352</v>
      </c>
      <c r="Q29" s="28">
        <v>4</v>
      </c>
      <c r="R29" s="37">
        <f>P25*N29+P26*N28+P27*N27+P28*N26+P29*N25</f>
        <v>0.21814815589892428</v>
      </c>
      <c r="S29" s="72">
        <v>4</v>
      </c>
      <c r="T29" s="135">
        <f t="shared" si="15"/>
        <v>0</v>
      </c>
      <c r="U29" s="93">
        <v>4</v>
      </c>
      <c r="V29" s="86">
        <f>T29*R25+T28*R26+T27*R27+T26*R28+T25*R29</f>
        <v>0.21730037041924072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2.379504751118523E-3</v>
      </c>
      <c r="AH29" s="28">
        <v>4</v>
      </c>
      <c r="AI29" s="79">
        <f>((($W$25)^M29)*((1-($W$25))^($U$30-M29))*HLOOKUP($U$30,$AV$24:$BF$34,M29+1))*V30</f>
        <v>9.053738306236481E-3</v>
      </c>
      <c r="AJ29" s="28">
        <v>4</v>
      </c>
      <c r="AK29" s="79">
        <f>((($W$25)^M29)*((1-($W$25))^($U$31-M29))*HLOOKUP($U$31,$AV$24:$BF$34,M29+1))*V31</f>
        <v>1.4369481822897748E-2</v>
      </c>
      <c r="AL29" s="28">
        <v>4</v>
      </c>
      <c r="AM29" s="79">
        <f>((($W$25)^Q29)*((1-($W$25))^($U$32-Q29))*HLOOKUP($U$32,$AV$24:$BF$34,Q29+1))*V32</f>
        <v>1.2186935287742442E-2</v>
      </c>
      <c r="AN29" s="28">
        <v>4</v>
      </c>
      <c r="AO29" s="79">
        <f>((($W$25)^Q29)*((1-($W$25))^($U$33-Q29))*HLOOKUP($U$33,$AV$24:$BF$34,Q29+1))*V33</f>
        <v>5.8363454360005011E-3</v>
      </c>
      <c r="AP29" s="28">
        <v>4</v>
      </c>
      <c r="AQ29" s="79">
        <f>((($W$25)^Q29)*((1-($W$25))^($U$34-Q29))*HLOOKUP($U$34,$AV$24:$BF$34,Q29+1))*V34</f>
        <v>1.5048875886936753E-3</v>
      </c>
      <c r="AR29" s="28">
        <v>4</v>
      </c>
      <c r="AS29" s="79">
        <f>((($W$25)^Q29)*((1-($W$25))^($U$35-Q29))*HLOOKUP($U$35,$AV$24:$BF$34,Q29+1))*V35</f>
        <v>1.6926063937971187E-4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>
        <f t="shared" si="11"/>
        <v>1.2227362833437064E-4</v>
      </c>
      <c r="BP29">
        <f>BP23+1</f>
        <v>7</v>
      </c>
      <c r="BQ29">
        <v>5</v>
      </c>
      <c r="BR29" s="107">
        <f t="shared" si="12"/>
        <v>1.4773417308042473E-4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3.0885645535395509E-2</v>
      </c>
      <c r="I30" s="93">
        <v>5</v>
      </c>
      <c r="J30" s="86">
        <f t="shared" si="13"/>
        <v>1.0160001234680662E-2</v>
      </c>
      <c r="K30" s="93">
        <v>5</v>
      </c>
      <c r="L30" s="86"/>
      <c r="M30" s="85">
        <v>5</v>
      </c>
      <c r="N30" s="71">
        <f>(($B$24)^M30)*((1-($B$24))^($B$21-M30))*HLOOKUP($B$21,$AV$24:$BF$34,M30+1)</f>
        <v>2.6324278861084092E-2</v>
      </c>
      <c r="O30" s="72">
        <v>5</v>
      </c>
      <c r="P30" s="71">
        <f t="shared" si="14"/>
        <v>2.6324278861084092E-2</v>
      </c>
      <c r="Q30" s="28">
        <v>5</v>
      </c>
      <c r="R30" s="37">
        <f>P25*N30+P26*N29+P27*N28+P28*N27+P29*N26+P30*N25</f>
        <v>0.24469752562938984</v>
      </c>
      <c r="S30" s="72">
        <v>5</v>
      </c>
      <c r="T30" s="135">
        <f t="shared" si="15"/>
        <v>0</v>
      </c>
      <c r="U30" s="93">
        <v>5</v>
      </c>
      <c r="V30" s="86">
        <f>T30*R25+T29*R26+T28*R27+T27*R28+T26*R29+T25*R30</f>
        <v>0.24443057589429878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8.6584104192419741E-4</v>
      </c>
      <c r="AJ30" s="28">
        <v>5</v>
      </c>
      <c r="AK30" s="79">
        <f>((($W$25)^M30)*((1-($W$25))^($U$31-M30))*HLOOKUP($U$31,$AV$24:$BF$34,M30+1))*V31</f>
        <v>2.7484088213325991E-3</v>
      </c>
      <c r="AL30" s="28">
        <v>5</v>
      </c>
      <c r="AM30" s="79">
        <f>((($W$25)^Q30)*((1-($W$25))^($U$32-Q30))*HLOOKUP($U$32,$AV$24:$BF$34,Q30+1))*V32</f>
        <v>3.4964392797171497E-3</v>
      </c>
      <c r="AN30" s="28">
        <v>5</v>
      </c>
      <c r="AO30" s="79">
        <f>((($W$25)^Q30)*((1-($W$25))^($U$33-Q30))*HLOOKUP($U$33,$AV$24:$BF$34,Q30+1))*V33</f>
        <v>2.2326014922942109E-3</v>
      </c>
      <c r="AP30" s="28">
        <v>5</v>
      </c>
      <c r="AQ30" s="79">
        <f>((($W$25)^Q30)*((1-($W$25))^($U$34-Q30))*HLOOKUP($U$34,$AV$24:$BF$34,Q30+1))*V34</f>
        <v>7.1958863493756201E-4</v>
      </c>
      <c r="AR30" s="28">
        <v>5</v>
      </c>
      <c r="AS30" s="79">
        <f>((($W$25)^Q30)*((1-($W$25))^($U$35-Q30))*HLOOKUP($U$35,$AV$24:$BF$34,Q30+1))*V35</f>
        <v>9.7121964474941163E-5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>
        <f t="shared" si="11"/>
        <v>1.5117276991474578E-5</v>
      </c>
      <c r="BP30">
        <f>BL10+1</f>
        <v>7</v>
      </c>
      <c r="BQ30">
        <v>6</v>
      </c>
      <c r="BR30" s="107">
        <f t="shared" si="12"/>
        <v>5.7659109209368468E-5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0.32348677288305866</v>
      </c>
      <c r="C31" s="61">
        <f>(C25*E25)+(C26*E26)+(C27*E27)+(C28*E28)+(C29*E29)+(C30*E30)/(C25+C26+C27+C28+C29+C30)</f>
        <v>0.47132046158431207</v>
      </c>
      <c r="G31" s="87">
        <v>6</v>
      </c>
      <c r="H31" s="128">
        <f>J31*L25+J30*L26+J29*L27+J28*L28</f>
        <v>7.8730365067453349E-3</v>
      </c>
      <c r="I31" s="93">
        <v>6</v>
      </c>
      <c r="J31" s="86">
        <f t="shared" si="13"/>
        <v>1.5781969696431111E-3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0.19060975250974546</v>
      </c>
      <c r="S31" s="70">
        <v>6</v>
      </c>
      <c r="T31" s="135">
        <f t="shared" si="15"/>
        <v>0</v>
      </c>
      <c r="U31" s="93">
        <v>6</v>
      </c>
      <c r="V31" s="86">
        <f>T31*R25+T30*R26+T29*R27+T28*R28+T27*R29+T26*R30+T25*R31</f>
        <v>0.19114861431237068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2.1903338681815329E-4</v>
      </c>
      <c r="AL31" s="28">
        <v>6</v>
      </c>
      <c r="AM31" s="79">
        <f>((($W$25)^Q31)*((1-($W$25))^($U$32-Q31))*HLOOKUP($U$32,$AV$24:$BF$34,Q31+1))*V32</f>
        <v>5.5729477455915516E-4</v>
      </c>
      <c r="AN31" s="28">
        <v>6</v>
      </c>
      <c r="AO31" s="79">
        <f>((($W$25)^Q31)*((1-($W$25))^($U$33-Q31))*HLOOKUP($U$33,$AV$24:$BF$34,Q31+1))*V33</f>
        <v>5.3377895873077559E-4</v>
      </c>
      <c r="AP31" s="28">
        <v>6</v>
      </c>
      <c r="AQ31" s="79">
        <f>((($W$25)^Q31)*((1-($W$25))^($U$34-Q31))*HLOOKUP($U$34,$AV$24:$BF$34,Q31+1))*V34</f>
        <v>2.2938936100460477E-4</v>
      </c>
      <c r="AR31" s="28">
        <v>6</v>
      </c>
      <c r="AS31" s="79">
        <f>((($W$25)^Q31)*((1-($W$25))^($U$35-Q31))*HLOOKUP($U$35,$AV$24:$BF$34,Q31+1))*V35</f>
        <v>3.8700488530422278E-5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>
        <f t="shared" ref="BJ31:BJ37" si="18">$H$28*H43</f>
        <v>3.6166048338074151E-2</v>
      </c>
      <c r="BP31">
        <f t="shared" ref="BP31:BP37" si="19">BP24+1</f>
        <v>8</v>
      </c>
      <c r="BQ31">
        <v>0</v>
      </c>
      <c r="BR31" s="107">
        <f t="shared" ref="BR31:BR38" si="20">$H$33*H39</f>
        <v>8.2545844608396338E-6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1.5290863293699283E-3</v>
      </c>
      <c r="I32" s="93">
        <v>7</v>
      </c>
      <c r="J32" s="86">
        <f t="shared" si="13"/>
        <v>1.6857615927910434E-4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0.10181314535171281</v>
      </c>
      <c r="S32" s="72">
        <v>7</v>
      </c>
      <c r="T32" s="135">
        <f t="shared" si="15"/>
        <v>0</v>
      </c>
      <c r="U32" s="93">
        <v>7</v>
      </c>
      <c r="V32" s="86">
        <f>T32*R25+T31*R26+T30*R27+T29*R28+T28*R29+T27*R30+T26*R31+T25*R32</f>
        <v>0.10270024370244218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3.8068622827547514E-5</v>
      </c>
      <c r="AN32" s="28">
        <v>7</v>
      </c>
      <c r="AO32" s="79">
        <f>((($W$25)^Q32)*((1-($W$25))^($U$33-Q32))*HLOOKUP($U$33,$AV$24:$BF$34,Q32+1))*V33</f>
        <v>7.2924530359277635E-5</v>
      </c>
      <c r="AP32" s="28">
        <v>7</v>
      </c>
      <c r="AQ32" s="79">
        <f>((($W$25)^Q32)*((1-($W$25))^($U$34-Q32))*HLOOKUP($U$34,$AV$24:$BF$34,Q32+1))*V34</f>
        <v>4.7008535500683226E-5</v>
      </c>
      <c r="AR32" s="28">
        <v>7</v>
      </c>
      <c r="AS32" s="79">
        <f>((($W$25)^Q32)*((1-($W$25))^($U$35-Q32))*HLOOKUP($U$35,$AV$24:$BF$34,Q32+1))*V35</f>
        <v>1.0574470591595979E-5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>
        <f t="shared" si="18"/>
        <v>1.8953115684400473E-2</v>
      </c>
      <c r="BP32">
        <f t="shared" si="19"/>
        <v>8</v>
      </c>
      <c r="BQ32">
        <v>1</v>
      </c>
      <c r="BR32" s="107">
        <f t="shared" si="20"/>
        <v>3.1120885024380591E-5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2.2628388197716906E-4</v>
      </c>
      <c r="I33" s="93">
        <v>8</v>
      </c>
      <c r="J33" s="86">
        <f t="shared" si="13"/>
        <v>1.1874399015416901E-5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3.5688796911680074E-2</v>
      </c>
      <c r="S33" s="72">
        <v>8</v>
      </c>
      <c r="T33" s="135">
        <f t="shared" si="15"/>
        <v>0</v>
      </c>
      <c r="U33" s="93">
        <v>8</v>
      </c>
      <c r="V33" s="86">
        <f>T33*R25+T32*R26+T31*R27+T30*R28+T29*R29+T28*R30+T27*R31+T26*R32+T25*R33</f>
        <v>3.6350607202548346E-2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4.3587693566739366E-6</v>
      </c>
      <c r="AP33" s="28">
        <v>8</v>
      </c>
      <c r="AQ33" s="79">
        <f>((($W$25)^Q33)*((1-($W$25))^($U$34-Q33))*HLOOKUP($U$34,$AV$24:$BF$34,Q33+1))*V34</f>
        <v>5.6194908087311155E-6</v>
      </c>
      <c r="AR33" s="28">
        <v>8</v>
      </c>
      <c r="AS33" s="79">
        <f>((($W$25)^Q33)*((1-($W$25))^($U$35-Q33))*HLOOKUP($U$35,$AV$24:$BF$34,Q33+1))*V35</f>
        <v>1.8961388500118481E-6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>
        <f t="shared" si="18"/>
        <v>7.3972036687119302E-3</v>
      </c>
      <c r="BP33">
        <f t="shared" si="19"/>
        <v>8</v>
      </c>
      <c r="BQ33">
        <v>2</v>
      </c>
      <c r="BR33" s="107">
        <f t="shared" si="20"/>
        <v>5.4107972258954887E-5</v>
      </c>
    </row>
    <row r="34" spans="1:70" x14ac:dyDescent="0.25">
      <c r="A34" s="40" t="s">
        <v>86</v>
      </c>
      <c r="B34" s="56">
        <f>B23*2</f>
        <v>4.8313811056456837</v>
      </c>
      <c r="C34" s="57">
        <f>C23*2</f>
        <v>5.1686188943543163</v>
      </c>
      <c r="G34" s="87">
        <v>9</v>
      </c>
      <c r="H34" s="128">
        <f>J34*L25+J33*L26+J32*L27+J31*L28</f>
        <v>2.5189251467871448E-5</v>
      </c>
      <c r="I34" s="93">
        <v>9</v>
      </c>
      <c r="J34" s="86">
        <f t="shared" si="13"/>
        <v>5.0004485417650203E-7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7.4133785965169443E-3</v>
      </c>
      <c r="S34" s="72">
        <v>9</v>
      </c>
      <c r="T34" s="135">
        <f t="shared" si="15"/>
        <v>0</v>
      </c>
      <c r="U34" s="93">
        <v>9</v>
      </c>
      <c r="V34" s="86">
        <f>T34*R25+T33*R26+T32*R27+T31*R28+T30*R29+T29*R30+T28*R31+T27*R32+T26*R33+T25*R34</f>
        <v>7.6970790029216975E-3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2.9856210970173024E-7</v>
      </c>
      <c r="AR34" s="28">
        <v>9</v>
      </c>
      <c r="AS34" s="79">
        <f>((($W$25)^Q34)*((1-($W$25))^($U$35-Q34))*HLOOKUP($U$35,$AV$24:$BF$34,Q34+1))*V35</f>
        <v>2.0148274447477176E-7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>
        <f t="shared" si="18"/>
        <v>2.1830636549542712E-3</v>
      </c>
      <c r="BP34">
        <f t="shared" si="19"/>
        <v>8</v>
      </c>
      <c r="BQ34">
        <v>3</v>
      </c>
      <c r="BR34" s="107">
        <f t="shared" si="20"/>
        <v>5.7497303966992441E-5</v>
      </c>
    </row>
    <row r="35" spans="1:70" ht="15.75" thickBot="1" x14ac:dyDescent="0.3">
      <c r="G35" s="88">
        <v>10</v>
      </c>
      <c r="H35" s="129">
        <f>J35*L25+J34*L26+J33*L27+J32*L28</f>
        <v>2.0488154485898982E-6</v>
      </c>
      <c r="I35" s="94">
        <v>10</v>
      </c>
      <c r="J35" s="89">
        <f t="shared" si="13"/>
        <v>9.6342540233140793E-9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6.9296765755611878E-4</v>
      </c>
      <c r="S35" s="72">
        <v>10</v>
      </c>
      <c r="T35" s="135">
        <f t="shared" si="15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7.6780832897871409E-4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9.6342540233140793E-9</v>
      </c>
      <c r="BH35">
        <f t="shared" si="17"/>
        <v>3</v>
      </c>
      <c r="BI35">
        <v>8</v>
      </c>
      <c r="BJ35" s="107">
        <f t="shared" si="18"/>
        <v>4.8879192333380864E-4</v>
      </c>
      <c r="BP35">
        <f t="shared" si="19"/>
        <v>8</v>
      </c>
      <c r="BQ35">
        <v>4</v>
      </c>
      <c r="BR35" s="107">
        <f t="shared" si="20"/>
        <v>4.1717956377974984E-5</v>
      </c>
    </row>
    <row r="36" spans="1:70" x14ac:dyDescent="0.25">
      <c r="A36" s="1"/>
      <c r="B36" s="108">
        <f>SUM(B37:B39)</f>
        <v>0.9999931036419083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1.0000000000000002</v>
      </c>
      <c r="BH36">
        <f t="shared" si="17"/>
        <v>3</v>
      </c>
      <c r="BI36">
        <v>9</v>
      </c>
      <c r="BJ36" s="107">
        <f t="shared" si="18"/>
        <v>8.2317962685294713E-5</v>
      </c>
      <c r="BP36">
        <f t="shared" si="19"/>
        <v>8</v>
      </c>
      <c r="BQ36">
        <v>5</v>
      </c>
      <c r="BR36" s="107">
        <f t="shared" si="20"/>
        <v>2.1862638847278509E-5</v>
      </c>
    </row>
    <row r="37" spans="1:70" ht="15.75" thickBot="1" x14ac:dyDescent="0.3">
      <c r="A37" s="109" t="s">
        <v>104</v>
      </c>
      <c r="B37" s="107">
        <f>SUM(BN4:BN14)</f>
        <v>0.18049106526338959</v>
      </c>
      <c r="G37" s="13"/>
      <c r="H37" s="59">
        <f>SUM(H39:H49)</f>
        <v>0.99999527170245106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1.0000000000000002</v>
      </c>
      <c r="S37" s="13"/>
      <c r="T37" s="59">
        <f>SUM(T39:T49)</f>
        <v>1</v>
      </c>
      <c r="U37" s="13"/>
      <c r="V37" s="59">
        <f>SUM(V39:V48)</f>
        <v>0.99844551053202779</v>
      </c>
      <c r="W37" s="13"/>
      <c r="X37" s="13"/>
      <c r="Y37" s="80">
        <f>SUM(Y39:Y49)</f>
        <v>6.8262502864613653E-4</v>
      </c>
      <c r="Z37" s="81"/>
      <c r="AA37" s="80">
        <f>SUM(AA39:AA49)</f>
        <v>7.3130238238691839E-3</v>
      </c>
      <c r="AB37" s="81"/>
      <c r="AC37" s="80">
        <f>SUM(AC39:AC49)</f>
        <v>3.5266280321560331E-2</v>
      </c>
      <c r="AD37" s="81"/>
      <c r="AE37" s="80">
        <f>SUM(AE39:AE49)</f>
        <v>0.10082411675813134</v>
      </c>
      <c r="AF37" s="81"/>
      <c r="AG37" s="80">
        <f>SUM(AG39:AG49)</f>
        <v>0.18927950571886279</v>
      </c>
      <c r="AH37" s="81"/>
      <c r="AI37" s="80">
        <f>SUM(AI39:AI49)</f>
        <v>0.24388361304267892</v>
      </c>
      <c r="AJ37" s="81"/>
      <c r="AK37" s="80">
        <f>SUM(AK39:AK49)</f>
        <v>0.21854035440020617</v>
      </c>
      <c r="AL37" s="81"/>
      <c r="AM37" s="80">
        <f>SUM(AM39:AM49)</f>
        <v>0.13462476701650203</v>
      </c>
      <c r="AN37" s="81"/>
      <c r="AO37" s="80">
        <f>SUM(AO39:AO49)</f>
        <v>5.4697907152915407E-2</v>
      </c>
      <c r="AP37" s="81"/>
      <c r="AQ37" s="80">
        <f>SUM(AQ39:AQ49)</f>
        <v>1.333331726865576E-2</v>
      </c>
      <c r="AR37" s="81"/>
      <c r="AS37" s="80">
        <f>SUM(AS39:AS49)</f>
        <v>1.5544894679722092E-3</v>
      </c>
      <c r="BH37">
        <f t="shared" si="17"/>
        <v>3</v>
      </c>
      <c r="BI37">
        <v>10</v>
      </c>
      <c r="BJ37" s="107">
        <f t="shared" si="18"/>
        <v>1.0177365800288976E-5</v>
      </c>
      <c r="BP37">
        <f t="shared" si="19"/>
        <v>8</v>
      </c>
      <c r="BQ37">
        <v>6</v>
      </c>
      <c r="BR37" s="107">
        <f t="shared" si="20"/>
        <v>8.5327602586164548E-6</v>
      </c>
    </row>
    <row r="38" spans="1:70" ht="15.75" thickBot="1" x14ac:dyDescent="0.3">
      <c r="A38" s="110" t="s">
        <v>105</v>
      </c>
      <c r="B38" s="107">
        <f>SUM(BJ4:BJ59)</f>
        <v>0.58198664179156712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>
        <f t="shared" ref="BJ38:BJ43" si="34">$H$29*H44</f>
        <v>8.8026442978924053E-3</v>
      </c>
      <c r="BP38">
        <f>BL11+1</f>
        <v>8</v>
      </c>
      <c r="BQ38">
        <v>7</v>
      </c>
      <c r="BR38" s="107">
        <f t="shared" si="20"/>
        <v>2.5181892551928876E-6</v>
      </c>
    </row>
    <row r="39" spans="1:70" x14ac:dyDescent="0.25">
      <c r="A39" s="111" t="s">
        <v>0</v>
      </c>
      <c r="B39" s="107">
        <f>SUM(BR4:BR47)</f>
        <v>0.23751539658695164</v>
      </c>
      <c r="G39" s="130">
        <v>0</v>
      </c>
      <c r="H39" s="131">
        <f>L39*J39</f>
        <v>3.6478888326975413E-2</v>
      </c>
      <c r="I39" s="97">
        <v>0</v>
      </c>
      <c r="J39" s="98">
        <f t="shared" ref="J39:J49" si="35">Y39+AA39+AC39+AE39+AG39+AI39+AK39+AM39+AO39+AQ39+AS39</f>
        <v>6.0869225541688873E-2</v>
      </c>
      <c r="K39" s="102">
        <v>0</v>
      </c>
      <c r="L39" s="98">
        <f>AC20</f>
        <v>0.59929936683671614</v>
      </c>
      <c r="M39" s="84">
        <v>0</v>
      </c>
      <c r="N39" s="71">
        <f>(1-$C$24)^$B$21</f>
        <v>2.6324278861084092E-2</v>
      </c>
      <c r="O39" s="70">
        <v>0</v>
      </c>
      <c r="P39" s="71">
        <f>N39</f>
        <v>2.6324278861084092E-2</v>
      </c>
      <c r="Q39" s="12">
        <v>0</v>
      </c>
      <c r="R39" s="73">
        <f>P39*N39</f>
        <v>6.9296765755611878E-4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6.8262502864613653E-4</v>
      </c>
      <c r="W39" s="136">
        <f>C31</f>
        <v>0.47132046158431207</v>
      </c>
      <c r="X39" s="12">
        <v>0</v>
      </c>
      <c r="Y39" s="79">
        <f>V39</f>
        <v>6.8262502864613653E-4</v>
      </c>
      <c r="Z39" s="12">
        <v>0</v>
      </c>
      <c r="AA39" s="78">
        <f>((1-W39)^Z40)*V40</f>
        <v>3.8662460596260895E-3</v>
      </c>
      <c r="AB39" s="12">
        <v>0</v>
      </c>
      <c r="AC39" s="79">
        <f>(((1-$W$39)^AB41))*V41</f>
        <v>9.8569977987861459E-3</v>
      </c>
      <c r="AD39" s="12">
        <v>0</v>
      </c>
      <c r="AE39" s="79">
        <f>(((1-$W$39)^AB42))*V42</f>
        <v>1.4898478982510463E-2</v>
      </c>
      <c r="AF39" s="12">
        <v>0</v>
      </c>
      <c r="AG39" s="79">
        <f>(((1-$W$39)^AB43))*V43</f>
        <v>1.4786779671424973E-2</v>
      </c>
      <c r="AH39" s="12">
        <v>0</v>
      </c>
      <c r="AI39" s="79">
        <f>(((1-$W$39)^AB44))*V44</f>
        <v>1.007268218072394E-2</v>
      </c>
      <c r="AJ39" s="12">
        <v>0</v>
      </c>
      <c r="AK39" s="79">
        <f>(((1-$W$39)^AB45))*V45</f>
        <v>4.771848598726436E-3</v>
      </c>
      <c r="AL39" s="12">
        <v>0</v>
      </c>
      <c r="AM39" s="79">
        <f>(((1-$W$39)^AB46))*V46</f>
        <v>1.5540768093587423E-3</v>
      </c>
      <c r="AN39" s="12">
        <v>0</v>
      </c>
      <c r="AO39" s="79">
        <f>(((1-$W$39)^AB47))*V47</f>
        <v>3.338187502536082E-4</v>
      </c>
      <c r="AP39" s="12">
        <v>0</v>
      </c>
      <c r="AQ39" s="79">
        <f>(((1-$W$39)^AB48))*V48</f>
        <v>4.3020032355616712E-5</v>
      </c>
      <c r="AR39" s="12">
        <v>0</v>
      </c>
      <c r="AS39" s="79">
        <f>(((1-$W$39)^AB49))*V49</f>
        <v>2.6516292767214074E-6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>
        <f t="shared" si="34"/>
        <v>3.4355803963318438E-3</v>
      </c>
      <c r="BP39">
        <f t="shared" ref="BP39:BP46" si="36">BP31+1</f>
        <v>9</v>
      </c>
      <c r="BQ39">
        <v>0</v>
      </c>
      <c r="BR39" s="107">
        <f t="shared" ref="BR39:BR47" si="37">$H$34*H39</f>
        <v>9.18875891336584E-7</v>
      </c>
    </row>
    <row r="40" spans="1:70" x14ac:dyDescent="0.25">
      <c r="G40" s="91">
        <v>1</v>
      </c>
      <c r="H40" s="132">
        <f>L39*J40+L40*J39</f>
        <v>0.13753027724493669</v>
      </c>
      <c r="I40" s="93">
        <v>1</v>
      </c>
      <c r="J40" s="86">
        <f t="shared" si="35"/>
        <v>0.19646995085909633</v>
      </c>
      <c r="K40" s="95">
        <v>1</v>
      </c>
      <c r="L40" s="86">
        <f>AD20</f>
        <v>0.32505687260778882</v>
      </c>
      <c r="M40" s="85">
        <v>1</v>
      </c>
      <c r="N40" s="71">
        <f>(($C$24)^M26)*((1-($C$24))^($B$21-M26))*HLOOKUP($B$21,$AV$24:$BF$34,M26+1)</f>
        <v>0.14080876888666352</v>
      </c>
      <c r="O40" s="72">
        <v>1</v>
      </c>
      <c r="P40" s="71">
        <f t="shared" ref="P40:P44" si="38">N40</f>
        <v>0.14080876888666352</v>
      </c>
      <c r="Q40" s="28">
        <v>1</v>
      </c>
      <c r="R40" s="37">
        <f>P40*N39+P39*N40</f>
        <v>7.4133785965169443E-3</v>
      </c>
      <c r="S40" s="72">
        <v>1</v>
      </c>
      <c r="T40" s="135">
        <f t="shared" ref="T40:T49" si="39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7.3130238238691839E-3</v>
      </c>
      <c r="W40" s="137"/>
      <c r="X40" s="28">
        <v>1</v>
      </c>
      <c r="Y40" s="73"/>
      <c r="Z40" s="28">
        <v>1</v>
      </c>
      <c r="AA40" s="79">
        <f>(1-((1-W39)^Z40))*V40</f>
        <v>3.4467777642430944E-3</v>
      </c>
      <c r="AB40" s="28">
        <v>1</v>
      </c>
      <c r="AC40" s="79">
        <f>((($W$39)^M40)*((1-($W$39))^($U$27-M40))*HLOOKUP($U$27,$AV$24:$BF$34,M40+1))*V41</f>
        <v>1.7575126006509258E-2</v>
      </c>
      <c r="AD40" s="28">
        <v>1</v>
      </c>
      <c r="AE40" s="79">
        <f>((($W$39)^M40)*((1-($W$39))^($U$28-M40))*HLOOKUP($U$28,$AV$24:$BF$34,M40+1))*V42</f>
        <v>3.9846206335035841E-2</v>
      </c>
      <c r="AF40" s="28">
        <v>1</v>
      </c>
      <c r="AG40" s="79">
        <f>((($W$39)^M40)*((1-($W$39))^($U$29-M40))*HLOOKUP($U$29,$AV$24:$BF$34,M40+1))*V43</f>
        <v>5.2729953127875651E-2</v>
      </c>
      <c r="AH40" s="28">
        <v>1</v>
      </c>
      <c r="AI40" s="79">
        <f>((($W$39)^M40)*((1-($W$39))^($U$30-M40))*HLOOKUP($U$30,$AV$24:$BF$34,M40+1))*V44</f>
        <v>4.4899233560634494E-2</v>
      </c>
      <c r="AJ40" s="28">
        <v>1</v>
      </c>
      <c r="AK40" s="79">
        <f>((($W$39)^M40)*((1-($W$39))^($U$31-M40))*HLOOKUP($U$31,$AV$24:$BF$34,M40+1))*V45</f>
        <v>2.5524761834763578E-2</v>
      </c>
      <c r="AL40" s="28">
        <v>1</v>
      </c>
      <c r="AM40" s="79">
        <f>((($W$39)^Q40)*((1-($W$39))^($U$32-Q40))*HLOOKUP($U$32,$AV$24:$BF$34,Q40+1))*V46</f>
        <v>9.6982709208609588E-3</v>
      </c>
      <c r="AN40" s="28">
        <v>1</v>
      </c>
      <c r="AO40" s="79">
        <f>((($W$39)^Q40)*((1-($W$39))^($U$33-Q40))*HLOOKUP($U$33,$AV$24:$BF$34,Q40+1))*V47</f>
        <v>2.3808087285015311E-3</v>
      </c>
      <c r="AP40" s="28">
        <v>1</v>
      </c>
      <c r="AQ40" s="79">
        <f>((($W$39)^Q40)*((1-($W$39))^($U$34-Q40))*HLOOKUP($U$34,$AV$24:$BF$34,Q40+1))*V48</f>
        <v>3.4517317260254445E-4</v>
      </c>
      <c r="AR40" s="28">
        <v>1</v>
      </c>
      <c r="AS40" s="79">
        <f>((($W$39)^Q40)*((1-($W$39))^($U$35-Q40))*HLOOKUP($U$35,$AV$24:$BF$34,Q40+1))*V49</f>
        <v>2.3639408069395483E-5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>
        <f t="shared" si="34"/>
        <v>1.0139089083931394E-3</v>
      </c>
      <c r="BP40">
        <f t="shared" si="36"/>
        <v>9</v>
      </c>
      <c r="BQ40">
        <v>1</v>
      </c>
      <c r="BR40" s="107">
        <f t="shared" si="37"/>
        <v>3.4642847379687885E-6</v>
      </c>
    </row>
    <row r="41" spans="1:70" x14ac:dyDescent="0.25">
      <c r="G41" s="91">
        <v>2</v>
      </c>
      <c r="H41" s="132">
        <f>L39*J41+J40*L40+J39*L41</f>
        <v>0.2391154499656945</v>
      </c>
      <c r="I41" s="93">
        <v>2</v>
      </c>
      <c r="J41" s="86">
        <f t="shared" si="35"/>
        <v>0.28550785564311648</v>
      </c>
      <c r="K41" s="95">
        <v>2</v>
      </c>
      <c r="L41" s="86">
        <f>AE20</f>
        <v>6.8127449089396955E-2</v>
      </c>
      <c r="M41" s="85">
        <v>2</v>
      </c>
      <c r="N41" s="71">
        <f>(($C$24)^M27)*((1-($C$24))^($B$21-M27))*HLOOKUP($B$21,$AV$24:$BF$34,M27+1)</f>
        <v>0.30127487252368806</v>
      </c>
      <c r="O41" s="72">
        <v>2</v>
      </c>
      <c r="P41" s="71">
        <f t="shared" si="38"/>
        <v>0.30127487252368806</v>
      </c>
      <c r="Q41" s="28">
        <v>2</v>
      </c>
      <c r="R41" s="37">
        <f>P41*N39+P40*N40+P39*N41</f>
        <v>3.5688796911680074E-2</v>
      </c>
      <c r="S41" s="72">
        <v>2</v>
      </c>
      <c r="T41" s="135">
        <f t="shared" si="39"/>
        <v>7.4625000000000011E-5</v>
      </c>
      <c r="U41" s="93">
        <v>2</v>
      </c>
      <c r="V41" s="86">
        <f>R41*T39+T40*R40+R39*T41</f>
        <v>3.5266280321560331E-2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7.8341565162649267E-3</v>
      </c>
      <c r="AD41" s="28">
        <v>2</v>
      </c>
      <c r="AE41" s="79">
        <f>((($W$39)^M41)*((1-($W$39))^($U$28-M41))*HLOOKUP($U$28,$AV$24:$BF$34,M41+1))*V42</f>
        <v>3.5523092908971841E-2</v>
      </c>
      <c r="AF41" s="28">
        <v>2</v>
      </c>
      <c r="AG41" s="79">
        <f>((($W$39)^M41)*((1-($W$39))^($U$29-M41))*HLOOKUP($U$29,$AV$24:$BF$34,M41+1))*V43</f>
        <v>7.051352674446161E-2</v>
      </c>
      <c r="AH41" s="28">
        <v>2</v>
      </c>
      <c r="AI41" s="79">
        <f>((($W$39)^M41)*((1-($W$39))^($U$30-M41))*HLOOKUP($U$30,$AV$24:$BF$34,M41+1))*V44</f>
        <v>8.0055784076670536E-2</v>
      </c>
      <c r="AJ41" s="28">
        <v>2</v>
      </c>
      <c r="AK41" s="79">
        <f>((($W$39)^M41)*((1-($W$39))^($U$31-M41))*HLOOKUP($U$31,$AV$24:$BF$34,M41+1))*V45</f>
        <v>5.6888633168223908E-2</v>
      </c>
      <c r="AL41" s="28">
        <v>2</v>
      </c>
      <c r="AM41" s="79">
        <f>((($W$39)^Q41)*((1-($W$39))^($U$32-Q41))*HLOOKUP($U$32,$AV$24:$BF$34,Q41+1))*V46</f>
        <v>2.5938171585122915E-2</v>
      </c>
      <c r="AN41" s="28">
        <v>2</v>
      </c>
      <c r="AO41" s="79">
        <f>((($W$39)^Q41)*((1-($W$39))^($U$33-Q41))*HLOOKUP($U$33,$AV$24:$BF$34,Q41+1))*V47</f>
        <v>7.428760251974244E-3</v>
      </c>
      <c r="AP41" s="28">
        <v>2</v>
      </c>
      <c r="AQ41" s="79">
        <f>((($W$39)^Q41)*((1-($W$39))^($U$34-Q41))*HLOOKUP($U$34,$AV$24:$BF$34,Q41+1))*V48</f>
        <v>1.2308944622678828E-3</v>
      </c>
      <c r="AR41" s="28">
        <v>2</v>
      </c>
      <c r="AS41" s="79">
        <f>((($W$39)^Q41)*((1-($W$39))^($U$35-Q41))*HLOOKUP($U$35,$AV$24:$BF$34,Q41+1))*V49</f>
        <v>9.4835929158641096E-5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>
        <f t="shared" si="34"/>
        <v>2.2701604888802297E-4</v>
      </c>
      <c r="BP41">
        <f t="shared" si="36"/>
        <v>9</v>
      </c>
      <c r="BQ41">
        <v>2</v>
      </c>
      <c r="BR41" s="107">
        <f t="shared" si="37"/>
        <v>6.0231391990391121E-6</v>
      </c>
    </row>
    <row r="42" spans="1:70" ht="15" customHeight="1" x14ac:dyDescent="0.25">
      <c r="G42" s="91">
        <v>3</v>
      </c>
      <c r="H42" s="132">
        <f>J42*L39+J41*L40+L42*J39+L41*J40</f>
        <v>0.25409367854487153</v>
      </c>
      <c r="I42" s="93">
        <v>3</v>
      </c>
      <c r="J42" s="86">
        <f t="shared" si="35"/>
        <v>0.24602875859889847</v>
      </c>
      <c r="K42" s="95">
        <v>3</v>
      </c>
      <c r="L42" s="86">
        <f>AF20</f>
        <v>7.5163114660980884E-3</v>
      </c>
      <c r="M42" s="85">
        <v>3</v>
      </c>
      <c r="N42" s="71">
        <f>(($C$24)^M28)*((1-($C$24))^($B$21-M28))*HLOOKUP($B$21,$AV$24:$BF$34,M28+1)</f>
        <v>0.32230431929712483</v>
      </c>
      <c r="O42" s="72">
        <v>3</v>
      </c>
      <c r="P42" s="71">
        <f t="shared" si="38"/>
        <v>0.32230431929712483</v>
      </c>
      <c r="Q42" s="28">
        <v>3</v>
      </c>
      <c r="R42" s="37">
        <f>P42*N39+P41*N40+P40*N41+P39*N42</f>
        <v>0.10181314535171281</v>
      </c>
      <c r="S42" s="72">
        <v>3</v>
      </c>
      <c r="T42" s="135">
        <f t="shared" si="39"/>
        <v>1.2500000000000002E-7</v>
      </c>
      <c r="U42" s="93">
        <v>3</v>
      </c>
      <c r="V42" s="86">
        <f>R42*T39+R41*T40+R40*T41+R39*T42</f>
        <v>0.10082411675813134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1.0556338531613193E-2</v>
      </c>
      <c r="AF42" s="28">
        <v>3</v>
      </c>
      <c r="AG42" s="79">
        <f>((($W$39)^M42)*((1-($W$39))^($U$29-M42))*HLOOKUP($U$29,$AV$24:$BF$34,M42+1))*V43</f>
        <v>4.1908775301741703E-2</v>
      </c>
      <c r="AH42" s="28">
        <v>3</v>
      </c>
      <c r="AI42" s="79">
        <f>((($W$39)^M42)*((1-($W$39))^($U$30-M42))*HLOOKUP($U$30,$AV$24:$BF$34,M42+1))*V44</f>
        <v>7.1370133250443057E-2</v>
      </c>
      <c r="AJ42" s="28">
        <v>3</v>
      </c>
      <c r="AK42" s="79">
        <f>((($W$39)^M42)*((1-($W$39))^($U$31-M42))*HLOOKUP($U$31,$AV$24:$BF$34,M42+1))*V45</f>
        <v>6.7622002606969697E-2</v>
      </c>
      <c r="AL42" s="28">
        <v>3</v>
      </c>
      <c r="AM42" s="79">
        <f>((($W$39)^Q42)*((1-($W$39))^($U$32-Q42))*HLOOKUP($U$32,$AV$24:$BF$34,Q42+1))*V46</f>
        <v>3.8540016890600264E-2</v>
      </c>
      <c r="AN42" s="28">
        <v>3</v>
      </c>
      <c r="AO42" s="79">
        <f>((($W$39)^Q42)*((1-($W$39))^($U$33-Q42))*HLOOKUP($U$33,$AV$24:$BF$34,Q42+1))*V47</f>
        <v>1.3245554089164243E-2</v>
      </c>
      <c r="AP42" s="28">
        <v>3</v>
      </c>
      <c r="AQ42" s="79">
        <f>((($W$39)^Q42)*((1-($W$39))^($U$34-Q42))*HLOOKUP($U$34,$AV$24:$BF$34,Q42+1))*V48</f>
        <v>2.5604800436659619E-3</v>
      </c>
      <c r="AR42" s="28">
        <v>3</v>
      </c>
      <c r="AS42" s="79">
        <f>((($W$39)^Q42)*((1-($W$39))^($U$35-Q42))*HLOOKUP($U$35,$AV$24:$BF$34,Q42+1))*V49</f>
        <v>2.2545788470031681E-4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>
        <f t="shared" si="34"/>
        <v>3.8232011924151908E-5</v>
      </c>
      <c r="BP42">
        <f t="shared" si="36"/>
        <v>9</v>
      </c>
      <c r="BQ42">
        <v>3</v>
      </c>
      <c r="BR42" s="107">
        <f t="shared" si="37"/>
        <v>6.4004295652632605E-6</v>
      </c>
    </row>
    <row r="43" spans="1:70" ht="15" customHeight="1" x14ac:dyDescent="0.25">
      <c r="G43" s="91">
        <v>4</v>
      </c>
      <c r="H43" s="132">
        <f>J43*L39+J42*L40+J41*L41+J40*L42</f>
        <v>0.18436114854253791</v>
      </c>
      <c r="I43" s="93">
        <v>4</v>
      </c>
      <c r="J43" s="86">
        <f t="shared" si="35"/>
        <v>0.1392628844195116</v>
      </c>
      <c r="K43" s="95">
        <v>4</v>
      </c>
      <c r="L43" s="86"/>
      <c r="M43" s="85">
        <v>4</v>
      </c>
      <c r="N43" s="71">
        <f>(($C$24)^M29)*((1-($C$24))^($B$21-M29))*HLOOKUP($B$21,$AV$24:$BF$34,M29+1)</f>
        <v>0.17240082680545371</v>
      </c>
      <c r="O43" s="72">
        <v>4</v>
      </c>
      <c r="P43" s="71">
        <f t="shared" si="38"/>
        <v>0.17240082680545371</v>
      </c>
      <c r="Q43" s="28">
        <v>4</v>
      </c>
      <c r="R43" s="37">
        <f>P43*N39+P42*N40+P41*N41+P40*N42+P39*N43</f>
        <v>0.19060975250974546</v>
      </c>
      <c r="S43" s="72">
        <v>4</v>
      </c>
      <c r="T43" s="135">
        <f t="shared" si="39"/>
        <v>0</v>
      </c>
      <c r="U43" s="93">
        <v>4</v>
      </c>
      <c r="V43" s="86">
        <f>T43*R39+T42*R40+T41*R41+T40*R42+T39*R43</f>
        <v>0.18927950571886276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9.3404708733588401E-3</v>
      </c>
      <c r="AH43" s="28">
        <v>4</v>
      </c>
      <c r="AI43" s="79">
        <f>((($W$39)^M43)*((1-($W$39))^($U$30-M43))*HLOOKUP($U$30,$AV$24:$BF$34,M43+1))*V44</f>
        <v>3.181341597571323E-2</v>
      </c>
      <c r="AJ43" s="28">
        <v>4</v>
      </c>
      <c r="AK43" s="79">
        <f>((($W$39)^M43)*((1-($W$39))^($U$31-M43))*HLOOKUP($U$31,$AV$24:$BF$34,M43+1))*V45</f>
        <v>4.5214016005068962E-2</v>
      </c>
      <c r="AL43" s="28">
        <v>4</v>
      </c>
      <c r="AM43" s="79">
        <f>((($W$39)^Q43)*((1-($W$39))^($U$32-Q43))*HLOOKUP($U$32,$AV$24:$BF$34,Q43+1))*V46</f>
        <v>3.4358618464371958E-2</v>
      </c>
      <c r="AN43" s="28">
        <v>4</v>
      </c>
      <c r="AO43" s="79">
        <f>((($W$39)^Q43)*((1-($W$39))^($U$33-Q43))*HLOOKUP($U$33,$AV$24:$BF$34,Q43+1))*V47</f>
        <v>1.4760597426262179E-2</v>
      </c>
      <c r="AP43" s="28">
        <v>4</v>
      </c>
      <c r="AQ43" s="79">
        <f>((($W$39)^Q43)*((1-($W$39))^($U$34-Q43))*HLOOKUP($U$34,$AV$24:$BF$34,Q43+1))*V48</f>
        <v>3.4240212123809615E-3</v>
      </c>
      <c r="AR43" s="28">
        <v>4</v>
      </c>
      <c r="AS43" s="79">
        <f>((($W$39)^Q43)*((1-($W$39))^($U$35-Q43))*HLOOKUP($U$35,$AV$24:$BF$34,Q43+1))*V49</f>
        <v>3.5174446235545804E-4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>
        <f t="shared" si="34"/>
        <v>4.7268075878001894E-6</v>
      </c>
      <c r="BP43">
        <f t="shared" si="36"/>
        <v>9</v>
      </c>
      <c r="BQ43">
        <v>4</v>
      </c>
      <c r="BR43" s="107">
        <f t="shared" si="37"/>
        <v>4.643919331543589E-6</v>
      </c>
    </row>
    <row r="44" spans="1:70" ht="15" customHeight="1" thickBot="1" x14ac:dyDescent="0.3">
      <c r="G44" s="91">
        <v>5</v>
      </c>
      <c r="H44" s="132">
        <f>J44*L39+J43*L40+J42*L41+J41*L42</f>
        <v>9.6615979256906792E-2</v>
      </c>
      <c r="I44" s="93">
        <v>5</v>
      </c>
      <c r="J44" s="86">
        <f t="shared" si="35"/>
        <v>5.4130449116582484E-2</v>
      </c>
      <c r="K44" s="95">
        <v>5</v>
      </c>
      <c r="L44" s="86"/>
      <c r="M44" s="85">
        <v>5</v>
      </c>
      <c r="N44" s="71">
        <f>(($C$24)^M30)*((1-($C$24))^($B$21-M30))*HLOOKUP($B$21,$AV$24:$BF$34,M30+1)</f>
        <v>3.6886933625985933E-2</v>
      </c>
      <c r="O44" s="72">
        <v>5</v>
      </c>
      <c r="P44" s="71">
        <f t="shared" si="38"/>
        <v>3.6886933625985933E-2</v>
      </c>
      <c r="Q44" s="28">
        <v>5</v>
      </c>
      <c r="R44" s="37">
        <f>P44*N39+P43*N40+P42*N41+P41*N42+P40*N43+P39*N44</f>
        <v>0.24469752562938984</v>
      </c>
      <c r="S44" s="72">
        <v>5</v>
      </c>
      <c r="T44" s="135">
        <f t="shared" si="39"/>
        <v>0</v>
      </c>
      <c r="U44" s="93">
        <v>5</v>
      </c>
      <c r="V44" s="86">
        <f>T44*R39+T43*R40+T42*R41+T41*R42+T40*R43+T39*R44</f>
        <v>0.24388361304267889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5.6723639984936278E-3</v>
      </c>
      <c r="AJ44" s="28">
        <v>5</v>
      </c>
      <c r="AK44" s="79">
        <f>((($W$39)^M44)*((1-($W$39))^($U$31-M44))*HLOOKUP($U$31,$AV$24:$BF$34,M44+1))*V45</f>
        <v>1.6123408866891918E-2</v>
      </c>
      <c r="AL44" s="28">
        <v>5</v>
      </c>
      <c r="AM44" s="79">
        <f>((($W$39)^Q44)*((1-($W$39))^($U$32-Q44))*HLOOKUP($U$32,$AV$24:$BF$34,Q44+1))*V46</f>
        <v>1.8378528470259239E-2</v>
      </c>
      <c r="AN44" s="28">
        <v>5</v>
      </c>
      <c r="AO44" s="79">
        <f>((($W$39)^Q44)*((1-($W$39))^($U$33-Q44))*HLOOKUP($U$33,$AV$24:$BF$34,Q44+1))*V47</f>
        <v>1.0527317343212174E-2</v>
      </c>
      <c r="AP44" s="28">
        <v>5</v>
      </c>
      <c r="AQ44" s="79">
        <f>((($W$39)^Q44)*((1-($W$39))^($U$34-Q44))*HLOOKUP($U$34,$AV$24:$BF$34,Q44+1))*V48</f>
        <v>3.0525320936952358E-3</v>
      </c>
      <c r="AR44" s="28">
        <v>5</v>
      </c>
      <c r="AS44" s="79">
        <f>((($W$39)^Q44)*((1-($W$39))^($U$35-Q44))*HLOOKUP($U$35,$AV$24:$BF$34,Q44+1))*V49</f>
        <v>3.7629834403028761E-4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>
        <f>$H$30*H45</f>
        <v>1.1646424238591039E-3</v>
      </c>
      <c r="BP44">
        <f t="shared" si="36"/>
        <v>9</v>
      </c>
      <c r="BQ44">
        <v>5</v>
      </c>
      <c r="BR44" s="107">
        <f t="shared" si="37"/>
        <v>2.4336841973168766E-6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3.7708210518844508E-2</v>
      </c>
      <c r="I45" s="93">
        <v>6</v>
      </c>
      <c r="J45" s="86">
        <f t="shared" si="35"/>
        <v>1.4643569898789156E-2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0.21814815589892428</v>
      </c>
      <c r="S45" s="70">
        <v>6</v>
      </c>
      <c r="T45" s="135">
        <f t="shared" si="39"/>
        <v>0</v>
      </c>
      <c r="U45" s="93">
        <v>6</v>
      </c>
      <c r="V45" s="86">
        <f>T45*R39+T44*R40+T43*R41+T42*R42+T41*R43+T40*R44+T39*R45</f>
        <v>0.21854035440020611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2.3956833195616476E-3</v>
      </c>
      <c r="AL45" s="28">
        <v>6</v>
      </c>
      <c r="AM45" s="79">
        <f>((($W$39)^Q45)*((1-($W$39))^($U$32-Q45))*HLOOKUP($U$32,$AV$24:$BF$34,Q45+1))*V46</f>
        <v>5.4615167868997082E-3</v>
      </c>
      <c r="AN45" s="28">
        <v>6</v>
      </c>
      <c r="AO45" s="79">
        <f>((($W$39)^Q45)*((1-($W$39))^($U$33-Q45))*HLOOKUP($U$33,$AV$24:$BF$34,Q45+1))*V47</f>
        <v>4.6925781204965027E-3</v>
      </c>
      <c r="AP45" s="28">
        <v>6</v>
      </c>
      <c r="AQ45" s="79">
        <f>((($W$39)^Q45)*((1-($W$39))^($U$34-Q45))*HLOOKUP($U$34,$AV$24:$BF$34,Q45+1))*V48</f>
        <v>1.814231786755393E-3</v>
      </c>
      <c r="AR45" s="28">
        <v>6</v>
      </c>
      <c r="AS45" s="79">
        <f>((($W$39)^Q45)*((1-($W$39))^($U$35-Q45))*HLOOKUP($U$35,$AV$24:$BF$34,Q45+1))*V49</f>
        <v>2.795598850759062E-4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>
        <f>$H$30*H46</f>
        <v>3.4370941512651068E-4</v>
      </c>
      <c r="BP45">
        <f t="shared" si="36"/>
        <v>9</v>
      </c>
      <c r="BQ45">
        <v>6</v>
      </c>
      <c r="BR45" s="107">
        <f t="shared" si="37"/>
        <v>9.4984159716260958E-7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1.1128451718213675E-2</v>
      </c>
      <c r="I46" s="93">
        <v>7</v>
      </c>
      <c r="J46" s="86">
        <f t="shared" si="35"/>
        <v>2.7264271283711627E-3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0.13335727471150385</v>
      </c>
      <c r="S46" s="72">
        <v>7</v>
      </c>
      <c r="T46" s="135">
        <f t="shared" si="39"/>
        <v>0</v>
      </c>
      <c r="U46" s="93">
        <v>7</v>
      </c>
      <c r="V46" s="86">
        <f>T46*R39+T45*R40+T44*R41+T43*R42+T42*R43+T41*R44+T40*R45+T39*R46</f>
        <v>0.13462476701650197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6.9556708902820854E-4</v>
      </c>
      <c r="AN46" s="28">
        <v>7</v>
      </c>
      <c r="AO46" s="79">
        <f>((($W$39)^Q46)*((1-($W$39))^($U$33-Q46))*HLOOKUP($U$33,$AV$24:$BF$34,Q46+1))*V47</f>
        <v>1.1952734123752689E-3</v>
      </c>
      <c r="AP46" s="28">
        <v>7</v>
      </c>
      <c r="AQ46" s="79">
        <f>((($W$39)^Q46)*((1-($W$39))^($U$34-Q46))*HLOOKUP($U$34,$AV$24:$BF$34,Q46+1))*V48</f>
        <v>6.93170032414514E-4</v>
      </c>
      <c r="AR46" s="28">
        <v>7</v>
      </c>
      <c r="AS46" s="79">
        <f>((($W$39)^Q46)*((1-($W$39))^($U$35-Q46))*HLOOKUP($U$35,$AV$24:$BF$34,Q46+1))*V49</f>
        <v>1.4241659455317126E-4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>
        <f>$H$30*H47</f>
        <v>7.6957163253741568E-5</v>
      </c>
      <c r="BP46">
        <f t="shared" si="36"/>
        <v>9</v>
      </c>
      <c r="BQ46">
        <v>7</v>
      </c>
      <c r="BR46" s="107">
        <f t="shared" si="37"/>
        <v>2.8031736877815037E-7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2.4916805823451955E-3</v>
      </c>
      <c r="I47" s="93">
        <v>8</v>
      </c>
      <c r="J47" s="86">
        <f t="shared" si="35"/>
        <v>3.3530208706492471E-4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5.3499681149767289E-2</v>
      </c>
      <c r="S47" s="72">
        <v>8</v>
      </c>
      <c r="T47" s="135">
        <f t="shared" si="39"/>
        <v>0</v>
      </c>
      <c r="U47" s="93">
        <v>8</v>
      </c>
      <c r="V47" s="86">
        <f>T47*R39+T46*R40+T45*R41+T44*R42+T43*R43+T42*R44+T41*R45+T40*R46+T39*R47</f>
        <v>5.4697907152915386E-2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1.3319903067565234E-4</v>
      </c>
      <c r="AP47" s="28">
        <v>8</v>
      </c>
      <c r="AQ47" s="79">
        <f>((($W$39)^Q47)*((1-($W$39))^($U$34-Q47))*HLOOKUP($U$34,$AV$24:$BF$34,Q47+1))*V48</f>
        <v>1.5449114061283229E-4</v>
      </c>
      <c r="AR47" s="28">
        <v>8</v>
      </c>
      <c r="AS47" s="79">
        <f>((($W$39)^Q47)*((1-($W$39))^($U$35-Q47))*HLOOKUP($U$35,$AV$24:$BF$34,Q47+1))*V49</f>
        <v>4.7611915776440047E-5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>
        <f>$H$30*H48</f>
        <v>1.2960436927599E-5</v>
      </c>
      <c r="BP47">
        <f>BL12+1</f>
        <v>9</v>
      </c>
      <c r="BQ47">
        <v>8</v>
      </c>
      <c r="BR47" s="107">
        <f t="shared" si="37"/>
        <v>6.2763568766305506E-8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4.1962655152362298E-4</v>
      </c>
      <c r="I48" s="93">
        <v>9</v>
      </c>
      <c r="J48" s="86">
        <f t="shared" si="35"/>
        <v>2.4735794537453774E-5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1.2718675710875735E-2</v>
      </c>
      <c r="S48" s="72">
        <v>9</v>
      </c>
      <c r="T48" s="135">
        <f t="shared" si="39"/>
        <v>0</v>
      </c>
      <c r="U48" s="93">
        <v>9</v>
      </c>
      <c r="V48" s="86">
        <f>T48*R39+T47*R40+T46*R41+T45*R42+T44*R43+T43*R44+T42*R45+T41*R46+T40*R47+T39*R48</f>
        <v>1.333331726865576E-2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1.5303291904820007E-5</v>
      </c>
      <c r="AR48" s="28">
        <v>9</v>
      </c>
      <c r="AS48" s="79">
        <f>((($W$39)^Q48)*((1-($W$39))^($U$35-Q48))*HLOOKUP($U$35,$AV$24:$BF$34,Q48+1))*V49</f>
        <v>9.4325026326337654E-6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>
        <f>$H$30*H49</f>
        <v>1.6023611766002993E-6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5.1880449601222176E-5</v>
      </c>
      <c r="I49" s="94">
        <v>10</v>
      </c>
      <c r="J49" s="89">
        <f t="shared" si="35"/>
        <v>8.4091234323742901E-7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1.3606458723278917E-3</v>
      </c>
      <c r="S49" s="72">
        <v>10</v>
      </c>
      <c r="T49" s="135">
        <f t="shared" si="39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1.5544894679722088E-3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8.4091234323742901E-7</v>
      </c>
      <c r="BH49">
        <f>BP14+1</f>
        <v>6</v>
      </c>
      <c r="BI49">
        <v>0</v>
      </c>
      <c r="BJ49" s="107">
        <f>$H$31*H39</f>
        <v>2.871996195237637E-4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8.761470664104912E-5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1.96170921879522E-5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3.3037351593451358E-6</v>
      </c>
    </row>
    <row r="53" spans="1:62" x14ac:dyDescent="0.25">
      <c r="BH53">
        <f>BH48+1</f>
        <v>6</v>
      </c>
      <c r="BI53">
        <v>10</v>
      </c>
      <c r="BJ53" s="107">
        <f>$H$31*H49</f>
        <v>4.0845667369678364E-7</v>
      </c>
    </row>
    <row r="54" spans="1:62" x14ac:dyDescent="0.25">
      <c r="BH54">
        <f>BH51+1</f>
        <v>7</v>
      </c>
      <c r="BI54">
        <v>8</v>
      </c>
      <c r="BJ54" s="107">
        <f>$H$32*H47</f>
        <v>3.8099947156205405E-6</v>
      </c>
    </row>
    <row r="55" spans="1:62" x14ac:dyDescent="0.25">
      <c r="BH55">
        <f>BH52+1</f>
        <v>7</v>
      </c>
      <c r="BI55">
        <v>9</v>
      </c>
      <c r="BJ55" s="107">
        <f>$H$32*H48</f>
        <v>6.4164522337541777E-7</v>
      </c>
    </row>
    <row r="56" spans="1:62" x14ac:dyDescent="0.25">
      <c r="BH56">
        <f>BH53+1</f>
        <v>7</v>
      </c>
      <c r="BI56">
        <v>10</v>
      </c>
      <c r="BJ56" s="107">
        <f>$H$32*H49</f>
        <v>7.9329686246794374E-8</v>
      </c>
    </row>
    <row r="57" spans="1:62" x14ac:dyDescent="0.25">
      <c r="BH57">
        <f>BH55+1</f>
        <v>8</v>
      </c>
      <c r="BI57">
        <v>9</v>
      </c>
      <c r="BJ57" s="107">
        <f>$H$33*H48</f>
        <v>9.4954725059457955E-8</v>
      </c>
    </row>
    <row r="58" spans="1:62" x14ac:dyDescent="0.25">
      <c r="BH58">
        <f>BH56+1</f>
        <v>8</v>
      </c>
      <c r="BI58">
        <v>10</v>
      </c>
      <c r="BJ58" s="107">
        <f>$H$33*H49</f>
        <v>1.1739709534485427E-8</v>
      </c>
    </row>
    <row r="59" spans="1:62" x14ac:dyDescent="0.25">
      <c r="BH59">
        <f t="shared" ref="BH59" si="41">BH58+1</f>
        <v>9</v>
      </c>
      <c r="BI59">
        <v>10</v>
      </c>
      <c r="BJ59" s="107">
        <f>$H$34*H49</f>
        <v>1.3068296912714163E-9</v>
      </c>
    </row>
  </sheetData>
  <mergeCells count="2">
    <mergeCell ref="P1:Q1"/>
    <mergeCell ref="B3:C3"/>
  </mergeCells>
  <conditionalFormatting sqref="V25:V35 V39:V49">
    <cfRule type="cellIs" dxfId="97" priority="14" operator="greaterThan">
      <formula>0.15</formula>
    </cfRule>
  </conditionalFormatting>
  <conditionalFormatting sqref="V35">
    <cfRule type="cellIs" dxfId="96" priority="13" operator="greaterThan">
      <formula>0.15</formula>
    </cfRule>
  </conditionalFormatting>
  <conditionalFormatting sqref="V49">
    <cfRule type="cellIs" dxfId="95" priority="12" operator="greaterThan">
      <formula>0.15</formula>
    </cfRule>
  </conditionalFormatting>
  <conditionalFormatting sqref="V25:V35 V39:V49">
    <cfRule type="cellIs" dxfId="94" priority="11" operator="greaterThan">
      <formula>0.15</formula>
    </cfRule>
  </conditionalFormatting>
  <conditionalFormatting sqref="V35">
    <cfRule type="cellIs" dxfId="93" priority="10" operator="greaterThan">
      <formula>0.15</formula>
    </cfRule>
  </conditionalFormatting>
  <conditionalFormatting sqref="V49">
    <cfRule type="cellIs" dxfId="92" priority="9" operator="greaterThan">
      <formula>0.15</formula>
    </cfRule>
  </conditionalFormatting>
  <conditionalFormatting sqref="H25:H35">
    <cfRule type="cellIs" dxfId="91" priority="8" operator="greaterThan">
      <formula>0.15</formula>
    </cfRule>
  </conditionalFormatting>
  <conditionalFormatting sqref="H35">
    <cfRule type="cellIs" dxfId="90" priority="7" operator="greaterThan">
      <formula>0.15</formula>
    </cfRule>
  </conditionalFormatting>
  <conditionalFormatting sqref="H25:H35">
    <cfRule type="cellIs" dxfId="89" priority="6" operator="greaterThan">
      <formula>0.15</formula>
    </cfRule>
  </conditionalFormatting>
  <conditionalFormatting sqref="H35">
    <cfRule type="cellIs" dxfId="88" priority="5" operator="greaterThan">
      <formula>0.15</formula>
    </cfRule>
  </conditionalFormatting>
  <conditionalFormatting sqref="H39:H49">
    <cfRule type="cellIs" dxfId="87" priority="4" operator="greaterThan">
      <formula>0.15</formula>
    </cfRule>
  </conditionalFormatting>
  <conditionalFormatting sqref="H49">
    <cfRule type="cellIs" dxfId="86" priority="3" operator="greaterThan">
      <formula>0.15</formula>
    </cfRule>
  </conditionalFormatting>
  <conditionalFormatting sqref="H39:H49">
    <cfRule type="cellIs" dxfId="85" priority="2" operator="greaterThan">
      <formula>0.15</formula>
    </cfRule>
  </conditionalFormatting>
  <conditionalFormatting sqref="H49">
    <cfRule type="cellIs" dxfId="8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zoomScale="80" zoomScaleNormal="80" workbookViewId="0">
      <selection activeCell="D6" sqref="D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8" t="s">
        <v>142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7"/>
      <c r="Q1" s="217"/>
      <c r="R1" s="153"/>
      <c r="S1" s="153"/>
      <c r="AI1" s="160"/>
    </row>
    <row r="2" spans="1:70" x14ac:dyDescent="0.25">
      <c r="A2" s="208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2</v>
      </c>
      <c r="L2" s="13"/>
      <c r="M2" s="163"/>
      <c r="O2" t="s">
        <v>147</v>
      </c>
      <c r="P2" s="214">
        <v>0.45</v>
      </c>
      <c r="R2" s="153"/>
      <c r="S2" s="153"/>
      <c r="Y2" t="s">
        <v>147</v>
      </c>
      <c r="Z2" s="215">
        <v>0.55000000000000004</v>
      </c>
      <c r="AI2" s="13"/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4">
        <v>0.6</v>
      </c>
      <c r="Q3" t="s">
        <v>133</v>
      </c>
      <c r="R3" s="214">
        <v>0.72</v>
      </c>
      <c r="Y3" t="s">
        <v>132</v>
      </c>
      <c r="Z3" s="215">
        <v>0.7</v>
      </c>
      <c r="AA3" t="s">
        <v>133</v>
      </c>
      <c r="AB3" s="215">
        <v>0.72</v>
      </c>
      <c r="AI3" s="210">
        <f>SUM(AI5:AI19)</f>
        <v>3.6836999999999995</v>
      </c>
      <c r="AM3" s="210">
        <f>SUM(AM5:AM19)</f>
        <v>3.6837000000000009</v>
      </c>
      <c r="AN3" s="210">
        <f>SUM(AN5:AN19)</f>
        <v>3.0750000000000006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8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160</v>
      </c>
      <c r="AH4" s="8" t="s">
        <v>162</v>
      </c>
      <c r="AI4" s="208" t="s">
        <v>159</v>
      </c>
      <c r="AK4" s="9" t="s">
        <v>160</v>
      </c>
      <c r="AL4" s="9" t="s">
        <v>162</v>
      </c>
      <c r="AM4" s="13" t="s">
        <v>158</v>
      </c>
      <c r="AO4" t="s">
        <v>161</v>
      </c>
      <c r="BH4">
        <v>0</v>
      </c>
      <c r="BI4">
        <v>1</v>
      </c>
      <c r="BJ4" s="107">
        <f t="shared" ref="BJ4:BJ13" si="0">$H$25*H40</f>
        <v>5.2473908452529945E-3</v>
      </c>
      <c r="BL4">
        <v>0</v>
      </c>
      <c r="BM4">
        <v>0</v>
      </c>
      <c r="BN4" s="107">
        <f>H25*H39</f>
        <v>9.4304251093310773E-4</v>
      </c>
      <c r="BP4">
        <v>1</v>
      </c>
      <c r="BQ4">
        <v>0</v>
      </c>
      <c r="BR4" s="107">
        <f>$H$26*H39</f>
        <v>2.4867808311448089E-3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9.4458453658536584E-2</v>
      </c>
      <c r="P5" s="212">
        <f>P3</f>
        <v>0.6</v>
      </c>
      <c r="Q5" s="216">
        <f>P5*O5</f>
        <v>5.6675072195121946E-2</v>
      </c>
      <c r="R5" s="157">
        <f>Q5</f>
        <v>5.6675072195121946E-2</v>
      </c>
      <c r="S5" s="176">
        <f>(1-R5)</f>
        <v>0.94332492780487809</v>
      </c>
      <c r="T5" s="177">
        <f>R5*PRODUCT(S6:S19)</f>
        <v>4.7762809984585125E-2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8.3126004717890382E-3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0.7</v>
      </c>
      <c r="AA5" s="69">
        <f>Z5*Y5</f>
        <v>0</v>
      </c>
      <c r="AB5" s="157">
        <f>AA5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1</v>
      </c>
      <c r="AH5">
        <f>COUNTIF(F5:F10,"IMP")</f>
        <v>1</v>
      </c>
      <c r="AI5" s="209">
        <f>AN5*$AM$3/$AN$3</f>
        <v>0.56675072195121956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10">
        <v>0.47310000000000002</v>
      </c>
      <c r="AN5" s="211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1.3380888870094348E-2</v>
      </c>
      <c r="BL5">
        <v>1</v>
      </c>
      <c r="BM5">
        <v>1</v>
      </c>
      <c r="BN5" s="107">
        <f>$H$26*H40</f>
        <v>1.3837245740479145E-2</v>
      </c>
      <c r="BP5">
        <f>BP4+1</f>
        <v>2</v>
      </c>
      <c r="BQ5">
        <v>0</v>
      </c>
      <c r="BR5" s="107">
        <f>$H$27*H39</f>
        <v>3.0024521960659678E-3</v>
      </c>
    </row>
    <row r="6" spans="1:70" x14ac:dyDescent="0.25">
      <c r="A6" s="2" t="s">
        <v>1</v>
      </c>
      <c r="B6" s="168">
        <v>10.25</v>
      </c>
      <c r="C6" s="169">
        <v>10.75</v>
      </c>
      <c r="E6" s="192" t="s">
        <v>17</v>
      </c>
      <c r="F6" s="167" t="s">
        <v>146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0</v>
      </c>
      <c r="P6" s="212">
        <f>P3</f>
        <v>0.6</v>
      </c>
      <c r="Q6" s="216">
        <f t="shared" ref="Q6:Q19" si="2">P6*O6</f>
        <v>0</v>
      </c>
      <c r="R6" s="157">
        <f t="shared" ref="R6:R19" si="3">Q6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6.2188642682926835E-2</v>
      </c>
      <c r="Z6" s="69">
        <f>Z3</f>
        <v>0.7</v>
      </c>
      <c r="AA6" s="69">
        <f t="shared" ref="AA6:AA19" si="6">Z6*Y6</f>
        <v>4.3532049878048783E-2</v>
      </c>
      <c r="AB6" s="157">
        <f t="shared" ref="AB6:AB19" si="7">AA6</f>
        <v>4.3532049878048783E-2</v>
      </c>
      <c r="AC6" s="176">
        <f t="shared" ref="AC6:AC19" si="8">(1-AB6)</f>
        <v>0.95646795012195118</v>
      </c>
      <c r="AD6" s="177">
        <f>AB6*AC5*PRODUCT(AC7:AC19)</f>
        <v>2.7139481240313203E-2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1.3697410932544594E-2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9">
        <f t="shared" ref="AI6:AI19" si="9">AN6*$AM$3/$AN$3</f>
        <v>0.49750914146341468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10">
        <v>0.4153</v>
      </c>
      <c r="AN6" s="211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2.0700331234910448E-2</v>
      </c>
      <c r="BL6">
        <f>BH14+1</f>
        <v>2</v>
      </c>
      <c r="BM6">
        <v>2</v>
      </c>
      <c r="BN6" s="107">
        <f>$H$27*H41</f>
        <v>4.2601981042802835E-2</v>
      </c>
      <c r="BP6">
        <f>BL5+1</f>
        <v>2</v>
      </c>
      <c r="BQ6">
        <v>1</v>
      </c>
      <c r="BR6" s="107">
        <f>$H$27*H40</f>
        <v>1.6706606525465375E-2</v>
      </c>
    </row>
    <row r="7" spans="1:70" x14ac:dyDescent="0.25">
      <c r="A7" s="5" t="s">
        <v>2</v>
      </c>
      <c r="B7" s="168">
        <v>11.75</v>
      </c>
      <c r="C7" s="169">
        <v>14.5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4.6720097560975608E-3</v>
      </c>
      <c r="P7" s="212">
        <f>P2</f>
        <v>0.45</v>
      </c>
      <c r="Q7" s="216">
        <f t="shared" si="2"/>
        <v>2.1024043902439023E-3</v>
      </c>
      <c r="R7" s="157">
        <f t="shared" si="3"/>
        <v>2.1024043902439023E-3</v>
      </c>
      <c r="S7" s="176">
        <f t="shared" si="4"/>
        <v>0.99789759560975611</v>
      </c>
      <c r="T7" s="177">
        <f>R7*PRODUCT(S5:S6)*PRODUCT(S8:S19)</f>
        <v>1.6749019063508875E-3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2.8796982097996457E-4</v>
      </c>
      <c r="W7" s="187" t="s">
        <v>156</v>
      </c>
      <c r="X7" s="15" t="s">
        <v>157</v>
      </c>
      <c r="Y7" s="69">
        <f t="shared" si="5"/>
        <v>0</v>
      </c>
      <c r="Z7" s="69">
        <f>Z2</f>
        <v>0.55000000000000004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1</v>
      </c>
      <c r="AH7">
        <f>COUNTIF(J14:J18,"IMP")</f>
        <v>1</v>
      </c>
      <c r="AI7" s="209">
        <f t="shared" si="9"/>
        <v>4.6720097560975608E-3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10">
        <v>3.8999999999999998E-3</v>
      </c>
      <c r="AN7" s="211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2.1675335994259731E-2</v>
      </c>
      <c r="BL7">
        <f>BH23+1</f>
        <v>3</v>
      </c>
      <c r="BM7">
        <v>3</v>
      </c>
      <c r="BN7" s="107">
        <f>$H$28*H42</f>
        <v>4.8225719246641319E-2</v>
      </c>
      <c r="BP7">
        <f>BP5+1</f>
        <v>3</v>
      </c>
      <c r="BQ7">
        <v>0</v>
      </c>
      <c r="BR7" s="107">
        <f>$H$28*H39</f>
        <v>2.1970133160579097E-3</v>
      </c>
    </row>
    <row r="8" spans="1:70" x14ac:dyDescent="0.25">
      <c r="A8" s="5" t="s">
        <v>3</v>
      </c>
      <c r="B8" s="168">
        <v>10.5</v>
      </c>
      <c r="C8" s="169">
        <v>14.25</v>
      </c>
      <c r="E8" s="192" t="s">
        <v>18</v>
      </c>
      <c r="F8" s="167" t="s">
        <v>21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2.1194521575984993E-2</v>
      </c>
      <c r="P8" s="212">
        <f>P2</f>
        <v>0.45</v>
      </c>
      <c r="Q8" s="216">
        <f t="shared" si="2"/>
        <v>9.5375347091932478E-3</v>
      </c>
      <c r="R8" s="157">
        <f t="shared" si="3"/>
        <v>9.5375347091932478E-3</v>
      </c>
      <c r="S8" s="176">
        <f t="shared" si="4"/>
        <v>0.99046246529080673</v>
      </c>
      <c r="T8" s="177">
        <f>R8*PRODUCT(S5:S7)*PRODUCT(S9:S19)</f>
        <v>7.6552117412354371E-3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1.2424636391751304E-3</v>
      </c>
      <c r="W8" s="186" t="s">
        <v>42</v>
      </c>
      <c r="X8" s="15" t="s">
        <v>43</v>
      </c>
      <c r="Y8" s="69">
        <f t="shared" si="5"/>
        <v>2.1194521575984993E-2</v>
      </c>
      <c r="Z8" s="69">
        <f>Z2</f>
        <v>0.55000000000000004</v>
      </c>
      <c r="AA8" s="69">
        <f t="shared" si="6"/>
        <v>1.1656986866791747E-2</v>
      </c>
      <c r="AB8" s="157">
        <f t="shared" si="7"/>
        <v>1.1656986866791747E-2</v>
      </c>
      <c r="AC8" s="176">
        <f t="shared" si="8"/>
        <v>0.98834301313320827</v>
      </c>
      <c r="AD8" s="177">
        <f>AB8*PRODUCT(AC5:AC7)*PRODUCT(AC9:AC19)</f>
        <v>7.0330135910186805E-3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3.4666409939088151E-3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9">
        <f t="shared" si="9"/>
        <v>0.55105756097560976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10">
        <v>0.46</v>
      </c>
      <c r="AN8" s="211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1.6227992369823949E-2</v>
      </c>
      <c r="BL8">
        <f>BH31+1</f>
        <v>4</v>
      </c>
      <c r="BM8">
        <v>4</v>
      </c>
      <c r="BN8" s="107">
        <f>$H$29*H43</f>
        <v>2.4983551727644736E-2</v>
      </c>
      <c r="BP8">
        <f>BP6+1</f>
        <v>3</v>
      </c>
      <c r="BQ8">
        <v>1</v>
      </c>
      <c r="BR8" s="107">
        <f>$H$28*H40</f>
        <v>1.2224886394754424E-2</v>
      </c>
    </row>
    <row r="9" spans="1:70" x14ac:dyDescent="0.25">
      <c r="A9" s="5" t="s">
        <v>4</v>
      </c>
      <c r="B9" s="168">
        <v>11.25</v>
      </c>
      <c r="C9" s="169">
        <v>16.5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2">
        <f>P2</f>
        <v>0.45</v>
      </c>
      <c r="Q9" s="216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1.3776439024390243E-2</v>
      </c>
      <c r="Z9" s="69">
        <f>Z2</f>
        <v>0.55000000000000004</v>
      </c>
      <c r="AA9" s="69">
        <f t="shared" si="6"/>
        <v>7.5770414634146344E-3</v>
      </c>
      <c r="AB9" s="157">
        <f t="shared" si="7"/>
        <v>7.5770414634146344E-3</v>
      </c>
      <c r="AC9" s="176">
        <f t="shared" si="8"/>
        <v>0.99242295853658535</v>
      </c>
      <c r="AD9" s="177">
        <f>AB9*PRODUCT(AC5:AC8)*PRODUCT(AC10:AC19)</f>
        <v>4.5526651310371456E-3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2.2092939428339227E-3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9">
        <f t="shared" si="9"/>
        <v>1.3776439024390243E-2</v>
      </c>
      <c r="AK9" s="203">
        <f>IF(COUNTIF(J6:J13,"IMP")+COUNTIF(F6:F13,"IMP")=0,0,COUNTIF(F6:F13,"IMP")/(COUNTIF(J6:J13,"IMP")+COUNTIF(F6:F13,"IMP")))</f>
        <v>1</v>
      </c>
      <c r="AL9">
        <f>COUNTIF(F6:F13,"IMP")</f>
        <v>1</v>
      </c>
      <c r="AM9" s="210">
        <v>1.15E-2</v>
      </c>
      <c r="AN9" s="211">
        <f t="shared" si="10"/>
        <v>1.15E-2</v>
      </c>
      <c r="AO9">
        <v>1</v>
      </c>
      <c r="BH9">
        <v>0</v>
      </c>
      <c r="BI9">
        <v>6</v>
      </c>
      <c r="BJ9" s="107">
        <f t="shared" si="0"/>
        <v>8.9456882511016727E-3</v>
      </c>
      <c r="BL9">
        <f>BH38+1</f>
        <v>5</v>
      </c>
      <c r="BM9">
        <v>5</v>
      </c>
      <c r="BN9" s="107">
        <f>$H$30*H44</f>
        <v>6.6093560837471562E-3</v>
      </c>
      <c r="BP9">
        <f>BL6+1</f>
        <v>3</v>
      </c>
      <c r="BQ9">
        <v>2</v>
      </c>
      <c r="BR9" s="107">
        <f>$H$28*H41</f>
        <v>3.1173558654529868E-2</v>
      </c>
    </row>
    <row r="10" spans="1:70" x14ac:dyDescent="0.25">
      <c r="A10" s="6" t="s">
        <v>5</v>
      </c>
      <c r="B10" s="168">
        <v>11.5</v>
      </c>
      <c r="C10" s="169">
        <v>16.25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 t="shared" si="1"/>
        <v>3.7435975609756096E-2</v>
      </c>
      <c r="P10" s="212">
        <f>P3</f>
        <v>0.6</v>
      </c>
      <c r="Q10" s="216">
        <f t="shared" si="2"/>
        <v>2.2461585365853656E-2</v>
      </c>
      <c r="R10" s="157">
        <f t="shared" si="3"/>
        <v>2.2461585365853656E-2</v>
      </c>
      <c r="S10" s="176">
        <f t="shared" si="4"/>
        <v>0.97753841463414637</v>
      </c>
      <c r="T10" s="177">
        <f>R10*PRODUCT(S5:S9)*PRODUCT(S11:S19)</f>
        <v>1.8266934492555488E-2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2.545045652465017E-3</v>
      </c>
      <c r="W10" s="186" t="s">
        <v>46</v>
      </c>
      <c r="X10" s="15" t="s">
        <v>47</v>
      </c>
      <c r="Y10" s="69">
        <f t="shared" si="5"/>
        <v>3.7435975609756096E-2</v>
      </c>
      <c r="Z10" s="69">
        <f>Z3</f>
        <v>0.7</v>
      </c>
      <c r="AA10" s="69">
        <f t="shared" si="6"/>
        <v>2.6205182926829267E-2</v>
      </c>
      <c r="AB10" s="157">
        <f t="shared" si="7"/>
        <v>2.6205182926829267E-2</v>
      </c>
      <c r="AC10" s="176">
        <f t="shared" si="8"/>
        <v>0.97379481707317073</v>
      </c>
      <c r="AD10" s="177">
        <f>AB10*PRODUCT(AC5:AC9)*PRODUCT(AC11:AC19)</f>
        <v>1.6046583594203381E-2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7.3551840687313078E-3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9">
        <f t="shared" si="9"/>
        <v>0.59897560975609754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10">
        <v>0.5</v>
      </c>
      <c r="AN10" s="211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3.6831830287807656E-3</v>
      </c>
      <c r="BL10">
        <f>BH44+1</f>
        <v>6</v>
      </c>
      <c r="BM10">
        <v>6</v>
      </c>
      <c r="BN10" s="107">
        <f>$H$31*H45</f>
        <v>9.4680965415968861E-4</v>
      </c>
      <c r="BP10">
        <f>BP7+1</f>
        <v>4</v>
      </c>
      <c r="BQ10">
        <v>0</v>
      </c>
      <c r="BR10" s="107">
        <f>$H$29*H39</f>
        <v>1.0869751389092563E-3</v>
      </c>
    </row>
    <row r="11" spans="1:70" x14ac:dyDescent="0.25">
      <c r="A11" s="6" t="s">
        <v>6</v>
      </c>
      <c r="B11" s="168">
        <v>17.5</v>
      </c>
      <c r="C11" s="169">
        <v>10.5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3.7435975609756096E-2</v>
      </c>
      <c r="P11" s="212">
        <f>P3</f>
        <v>0.6</v>
      </c>
      <c r="Q11" s="216">
        <f t="shared" si="2"/>
        <v>2.2461585365853656E-2</v>
      </c>
      <c r="R11" s="157">
        <f t="shared" si="3"/>
        <v>2.2461585365853656E-2</v>
      </c>
      <c r="S11" s="176">
        <f t="shared" si="4"/>
        <v>0.97753841463414637</v>
      </c>
      <c r="T11" s="177">
        <f>R11*PRODUCT(S5:S10)*PRODUCT(S12:S19)</f>
        <v>1.8266934492555488E-2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2.1253134942863005E-3</v>
      </c>
      <c r="W11" s="186" t="s">
        <v>48</v>
      </c>
      <c r="X11" s="15" t="s">
        <v>49</v>
      </c>
      <c r="Y11" s="69">
        <f t="shared" si="5"/>
        <v>3.7435975609756096E-2</v>
      </c>
      <c r="Z11" s="69">
        <f>Z3</f>
        <v>0.7</v>
      </c>
      <c r="AA11" s="69">
        <f t="shared" si="6"/>
        <v>2.6205182926829267E-2</v>
      </c>
      <c r="AB11" s="157">
        <f t="shared" si="7"/>
        <v>2.6205182926829267E-2</v>
      </c>
      <c r="AC11" s="176">
        <f t="shared" si="8"/>
        <v>0.97379481707317073</v>
      </c>
      <c r="AD11" s="177">
        <f>AB11*PRODUCT(AC5:AC10)*PRODUCT(AC12:AC19)</f>
        <v>1.6046583594203377E-2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6.9233644994912292E-3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9">
        <f t="shared" si="9"/>
        <v>0.59897560975609754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10">
        <v>0.5</v>
      </c>
      <c r="AN11" s="211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1.136408085007779E-3</v>
      </c>
      <c r="BL11">
        <f>BH50+1</f>
        <v>7</v>
      </c>
      <c r="BM11">
        <v>7</v>
      </c>
      <c r="BN11" s="107">
        <f>$H$32*H46</f>
        <v>7.5578987728783137E-5</v>
      </c>
      <c r="BP11">
        <f>BP8+1</f>
        <v>4</v>
      </c>
      <c r="BQ11">
        <v>1</v>
      </c>
      <c r="BR11" s="107">
        <f>$H$29*H40</f>
        <v>6.0482781282959752E-3</v>
      </c>
    </row>
    <row r="12" spans="1:70" x14ac:dyDescent="0.25">
      <c r="A12" s="6" t="s">
        <v>7</v>
      </c>
      <c r="B12" s="168">
        <v>12</v>
      </c>
      <c r="C12" s="169">
        <v>17.5</v>
      </c>
      <c r="E12" s="192" t="s">
        <v>19</v>
      </c>
      <c r="F12" s="167"/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3.4441097560975603E-3</v>
      </c>
      <c r="P12" s="212">
        <f>P2</f>
        <v>0.45</v>
      </c>
      <c r="Q12" s="216">
        <f t="shared" si="2"/>
        <v>1.5498493902439021E-3</v>
      </c>
      <c r="R12" s="157">
        <f t="shared" si="3"/>
        <v>1.5498493902439021E-3</v>
      </c>
      <c r="S12" s="176">
        <f t="shared" si="4"/>
        <v>0.99845015060975606</v>
      </c>
      <c r="T12" s="177">
        <f>R12*PRODUCT(S5:S11)*PRODUCT(S13:S19)</f>
        <v>1.2340200278891892E-3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1.4165972132750671E-4</v>
      </c>
      <c r="W12" s="187" t="s">
        <v>50</v>
      </c>
      <c r="X12" s="15" t="s">
        <v>51</v>
      </c>
      <c r="Y12" s="69">
        <f t="shared" si="5"/>
        <v>3.4441097560975607E-3</v>
      </c>
      <c r="Z12" s="69">
        <f>Z2</f>
        <v>0.55000000000000004</v>
      </c>
      <c r="AA12" s="69">
        <f t="shared" si="6"/>
        <v>1.8942603658536586E-3</v>
      </c>
      <c r="AB12" s="157">
        <f t="shared" si="7"/>
        <v>1.8942603658536586E-3</v>
      </c>
      <c r="AC12" s="176">
        <f t="shared" si="8"/>
        <v>0.99810573963414639</v>
      </c>
      <c r="AD12" s="177">
        <f>AB12*PRODUCT(AC5:AC11)*PRODUCT(AC13:AC19)</f>
        <v>1.1316860576882266E-3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4.8612282829724787E-4</v>
      </c>
      <c r="AG12" s="203">
        <f>IF(COUNTA(F6:F10)+COUNTA(J6:J10)=0,0,COUNTA(F6:F10)/(COUNTA(F6:F10)+COUNTA(J6:J10)))</f>
        <v>0.5</v>
      </c>
      <c r="AH12">
        <f>COUNTA(J6:J10)</f>
        <v>3</v>
      </c>
      <c r="AI12" s="209">
        <f t="shared" si="9"/>
        <v>1.3776439024390243E-2</v>
      </c>
      <c r="AK12" s="203">
        <f>IF(COUNTA(J6:J10)+COUNTA(F6:F10)=0,0,COUNTA(J6:J10)/(COUNTA(J6:J10)+COUNTA(F6:F10)))</f>
        <v>0.5</v>
      </c>
      <c r="AL12">
        <f>COUNTA(F6:F10)</f>
        <v>3</v>
      </c>
      <c r="AM12" s="210">
        <v>1.15E-2</v>
      </c>
      <c r="AN12" s="211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2.6090319887714375E-4</v>
      </c>
      <c r="BL12">
        <f>BH54+1</f>
        <v>8</v>
      </c>
      <c r="BM12">
        <v>8</v>
      </c>
      <c r="BN12" s="107">
        <f>$H$33*H47</f>
        <v>3.384592880663401E-6</v>
      </c>
      <c r="BP12">
        <f>BP9+1</f>
        <v>4</v>
      </c>
      <c r="BQ12">
        <v>2</v>
      </c>
      <c r="BR12" s="107">
        <f>$H$29*H41</f>
        <v>1.542315788490665E-2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8.6128414285714272E-2</v>
      </c>
      <c r="P13" s="212">
        <f>P3</f>
        <v>0.6</v>
      </c>
      <c r="Q13" s="216">
        <f t="shared" si="2"/>
        <v>5.167704857142856E-2</v>
      </c>
      <c r="R13" s="157">
        <f t="shared" si="3"/>
        <v>5.167704857142856E-2</v>
      </c>
      <c r="S13" s="176">
        <f t="shared" si="4"/>
        <v>0.94832295142857148</v>
      </c>
      <c r="T13" s="177">
        <f>R13*PRODUCT(S5:S12)*PRODUCT(S14:S19)</f>
        <v>4.3321206038412385E-2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2.6123652082217369E-3</v>
      </c>
      <c r="W13" s="186" t="s">
        <v>52</v>
      </c>
      <c r="X13" s="15" t="s">
        <v>53</v>
      </c>
      <c r="Y13" s="69">
        <f t="shared" si="5"/>
        <v>9.0329800348432035E-2</v>
      </c>
      <c r="Z13" s="69">
        <f>Z3</f>
        <v>0.7</v>
      </c>
      <c r="AA13" s="69">
        <f t="shared" si="6"/>
        <v>6.3230860243902426E-2</v>
      </c>
      <c r="AB13" s="157">
        <f t="shared" si="7"/>
        <v>6.3230860243902426E-2</v>
      </c>
      <c r="AC13" s="176">
        <f t="shared" si="8"/>
        <v>0.93676913975609755</v>
      </c>
      <c r="AD13" s="177">
        <f>AB13*PRODUCT(AC5:AC12)*PRODUCT(AC14:AC19)</f>
        <v>4.0249395402309651E-2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1.4572590892522583E-2</v>
      </c>
      <c r="AG13" s="203">
        <f>B22</f>
        <v>0.48809523809523808</v>
      </c>
      <c r="AH13">
        <v>1</v>
      </c>
      <c r="AI13" s="209">
        <f t="shared" si="9"/>
        <v>0.17645821463414632</v>
      </c>
      <c r="AK13" s="203">
        <f>C22</f>
        <v>0.51190476190476186</v>
      </c>
      <c r="AL13">
        <v>1</v>
      </c>
      <c r="AM13" s="210">
        <v>0.14729999999999999</v>
      </c>
      <c r="AN13" s="211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4.3668701418562517E-5</v>
      </c>
      <c r="BL13">
        <f>BH57+1</f>
        <v>9</v>
      </c>
      <c r="BM13">
        <v>9</v>
      </c>
      <c r="BN13" s="107">
        <f>$H$34*H48</f>
        <v>8.3855658586431241E-8</v>
      </c>
      <c r="BP13">
        <f>BL7+1</f>
        <v>4</v>
      </c>
      <c r="BQ13">
        <v>3</v>
      </c>
      <c r="BR13" s="107">
        <f>$H$29*H42</f>
        <v>2.3859736076235521E-2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</v>
      </c>
      <c r="P14" s="212">
        <f>IF(COUNTIF(F6:F18,"CAB")-COUNTIF(J6:J18,"CAB")&gt;2,0.8,IF(COUNTIF(F6:F18,"CAB")-COUNTIF(J6:J18,"CAB")&gt;0,0.6,IF(COUNTIF(F6:F18,"CAB")-COUNTIF(J6:J18,"CAB")=0,0.5,0.15)))</f>
        <v>0.15</v>
      </c>
      <c r="Q14" s="216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0.25073119024390245</v>
      </c>
      <c r="Z14" s="213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0.20058495219512196</v>
      </c>
      <c r="AB14" s="157">
        <f t="shared" si="7"/>
        <v>0.20058495219512196</v>
      </c>
      <c r="AC14" s="176">
        <f t="shared" si="8"/>
        <v>0.79941504780487804</v>
      </c>
      <c r="AD14" s="177">
        <f>AB14*PRODUCT(AC5:AC13)*PRODUCT(AC15:AC19)</f>
        <v>0.14961973331471007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1.662914555265713E-2</v>
      </c>
      <c r="AG14" s="203">
        <f>IF(AL14=0,1,B22)</f>
        <v>0.48809523809523808</v>
      </c>
      <c r="AH14">
        <f>IF(COUNTIF(F6:F18,"CAB")&gt;0,1,0)</f>
        <v>0</v>
      </c>
      <c r="AI14" s="209">
        <f t="shared" si="9"/>
        <v>0.25073119024390245</v>
      </c>
      <c r="AK14" s="203">
        <f>IF(AH14=0,1,C22)</f>
        <v>1</v>
      </c>
      <c r="AL14">
        <f>IF(COUNTIF(J6:J18,"CAB")&gt;0,1,0)</f>
        <v>1</v>
      </c>
      <c r="AM14" s="210">
        <v>0.20930000000000001</v>
      </c>
      <c r="AN14" s="211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3.5285087957386732E-2</v>
      </c>
      <c r="BL14">
        <f>BP39+1</f>
        <v>10</v>
      </c>
      <c r="BM14">
        <v>10</v>
      </c>
      <c r="BN14" s="107">
        <f>$H$35*H49</f>
        <v>1.1035985676699346E-9</v>
      </c>
      <c r="BP14">
        <f>BP10+1</f>
        <v>5</v>
      </c>
      <c r="BQ14">
        <v>0</v>
      </c>
      <c r="BR14" s="107">
        <f>$H$30*H39</f>
        <v>3.8408347840106531E-4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2.2803857142857143E-2</v>
      </c>
      <c r="P15" s="212">
        <f>R3</f>
        <v>0.72</v>
      </c>
      <c r="Q15" s="216">
        <f t="shared" si="2"/>
        <v>1.6418777142857142E-2</v>
      </c>
      <c r="R15" s="157">
        <f t="shared" si="3"/>
        <v>1.6418777142857142E-2</v>
      </c>
      <c r="S15" s="176">
        <f t="shared" si="4"/>
        <v>0.98358122285714289</v>
      </c>
      <c r="T15" s="177">
        <f>R15*PRODUCT(S5:S14)*PRODUCT(S16:S19)</f>
        <v>1.3270573056703573E-2</v>
      </c>
      <c r="U15" s="177">
        <f>R15*R16*PRODUCT(S5:S14)*PRODUCT(S17:S19)+R15*R17*PRODUCT(S5:S14)*S16*PRODUCT(S18:S19)+R15*R18*PRODUCT(S5:S14)*S16*S17*S19+R15*R19*PRODUCT(S5:S14)*S16*S17*S18</f>
        <v>5.7872138093228629E-4</v>
      </c>
      <c r="W15" s="186" t="s">
        <v>56</v>
      </c>
      <c r="X15" s="15" t="s">
        <v>57</v>
      </c>
      <c r="Y15" s="69">
        <f t="shared" si="5"/>
        <v>2.3916240418118465E-2</v>
      </c>
      <c r="Z15" s="69">
        <f>AB3</f>
        <v>0.72</v>
      </c>
      <c r="AA15" s="69">
        <f t="shared" si="6"/>
        <v>1.7219693101045295E-2</v>
      </c>
      <c r="AB15" s="157">
        <f t="shared" si="7"/>
        <v>1.7219693101045295E-2</v>
      </c>
      <c r="AC15" s="176">
        <f t="shared" si="8"/>
        <v>0.98278030689895468</v>
      </c>
      <c r="AD15" s="177">
        <f>AB15*PRODUCT(AC5:AC14)*PRODUCT(AC16:AC19)</f>
        <v>1.0447967367180087E-2</v>
      </c>
      <c r="AE15" s="177">
        <f>AB15*AB16*PRODUCT(AC5:AC14)*PRODUCT(AC17:AC19)+AB15*AB17*PRODUCT(AC5:AC14)*AC16*PRODUCT(AC18:AC19)+AB15*AB18*PRODUCT(AC5:AC14)*AC16*AC17*AC19+AB15*AB19*PRODUCT(AC5:AC14)*AC16*AC17*AC18</f>
        <v>9.7815252958715661E-4</v>
      </c>
      <c r="AG15" s="203">
        <f>B22</f>
        <v>0.48809523809523808</v>
      </c>
      <c r="AH15">
        <v>1</v>
      </c>
      <c r="AI15" s="209">
        <f t="shared" si="9"/>
        <v>4.6720097560975608E-2</v>
      </c>
      <c r="AK15" s="203">
        <f>C22</f>
        <v>0.51190476190476186</v>
      </c>
      <c r="AL15">
        <v>1</v>
      </c>
      <c r="AM15" s="210">
        <v>3.9E-2</v>
      </c>
      <c r="AN15" s="211">
        <f t="shared" si="10"/>
        <v>3.9E-2</v>
      </c>
      <c r="AO15">
        <v>1</v>
      </c>
      <c r="BH15">
        <v>1</v>
      </c>
      <c r="BI15">
        <v>3</v>
      </c>
      <c r="BJ15" s="107">
        <f t="shared" si="11"/>
        <v>5.4586284622936632E-2</v>
      </c>
      <c r="BP15">
        <f>BP11+1</f>
        <v>5</v>
      </c>
      <c r="BQ15">
        <v>1</v>
      </c>
      <c r="BR15" s="107">
        <f>$H$30*H40</f>
        <v>2.1371636008014872E-3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1.913299233449477E-2</v>
      </c>
      <c r="P16" s="212">
        <v>0.15</v>
      </c>
      <c r="Q16" s="216">
        <f t="shared" si="2"/>
        <v>2.8699488501742155E-3</v>
      </c>
      <c r="R16" s="157">
        <f t="shared" si="3"/>
        <v>2.8699488501742155E-3</v>
      </c>
      <c r="S16" s="176">
        <f t="shared" si="4"/>
        <v>0.99713005114982578</v>
      </c>
      <c r="T16" s="177">
        <f>R16*PRODUCT(S5:S15)*PRODUCT(S17:S19)</f>
        <v>2.2881339755636146E-3</v>
      </c>
      <c r="U16" s="177">
        <f>R16*R17*PRODUCT(S5:S15)*PRODUCT(S18:S19)+R16*R18*PRODUCT(S5:S15)*S17*S19+R16*R19*PRODUCT(S5:S15)*S17*S18</f>
        <v>9.3198361663114629E-5</v>
      </c>
      <c r="W16" s="187" t="s">
        <v>58</v>
      </c>
      <c r="X16" s="15" t="s">
        <v>59</v>
      </c>
      <c r="Y16" s="69">
        <f t="shared" si="5"/>
        <v>1.8243085714285713E-2</v>
      </c>
      <c r="Z16" s="69">
        <v>0.15</v>
      </c>
      <c r="AA16" s="69">
        <f t="shared" si="6"/>
        <v>2.736462857142857E-3</v>
      </c>
      <c r="AB16" s="157">
        <f t="shared" si="7"/>
        <v>2.736462857142857E-3</v>
      </c>
      <c r="AC16" s="176">
        <f t="shared" si="8"/>
        <v>0.99726353714285709</v>
      </c>
      <c r="AD16" s="177">
        <f>AB16*PRODUCT(AC5:AC15)*PRODUCT(AC17:AC19)</f>
        <v>1.6362228879615805E-3</v>
      </c>
      <c r="AE16" s="177">
        <f>AB16*AB17*PRODUCT(AC5:AC15)*PRODUCT(AC18:AC19)+AB16*AB18*PRODUCT(AC5:AC15)*AC17*AC19+AB16*AB19*PRODUCT(AC5:AC15)*AC17*AC18</f>
        <v>1.4869560261795685E-4</v>
      </c>
      <c r="AG16" s="203">
        <f>C22</f>
        <v>0.51190476190476186</v>
      </c>
      <c r="AH16">
        <v>1</v>
      </c>
      <c r="AI16" s="209">
        <f t="shared" si="9"/>
        <v>3.7376078048780487E-2</v>
      </c>
      <c r="AK16" s="203">
        <f>B22</f>
        <v>0.48809523809523808</v>
      </c>
      <c r="AL16">
        <v>1</v>
      </c>
      <c r="AM16" s="210">
        <v>3.1199999999999999E-2</v>
      </c>
      <c r="AN16" s="211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5.7157349148358363E-2</v>
      </c>
      <c r="BP16">
        <f>BP12+1</f>
        <v>5</v>
      </c>
      <c r="BQ16">
        <v>2</v>
      </c>
      <c r="BR16" s="107">
        <f>$H$30*H41</f>
        <v>5.4497843752968267E-3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 t="shared" si="1"/>
        <v>6.5228443902439023E-2</v>
      </c>
      <c r="P17" s="212">
        <f>P3</f>
        <v>0.6</v>
      </c>
      <c r="Q17" s="216">
        <f t="shared" si="2"/>
        <v>3.9137066341463411E-2</v>
      </c>
      <c r="R17" s="157">
        <f t="shared" si="3"/>
        <v>3.9137066341463411E-2</v>
      </c>
      <c r="S17" s="176">
        <f t="shared" si="4"/>
        <v>0.96086293365853659</v>
      </c>
      <c r="T17" s="177">
        <f>R17*PRODUCT(S5:S16)*PRODUCT(S18:S19)</f>
        <v>3.238067714223556E-2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6.5228443902439023E-2</v>
      </c>
      <c r="Z17" s="69">
        <f>Z3</f>
        <v>0.7</v>
      </c>
      <c r="AA17" s="69">
        <f t="shared" si="6"/>
        <v>4.5659910731707311E-2</v>
      </c>
      <c r="AB17" s="157">
        <f t="shared" si="7"/>
        <v>4.5659910731707311E-2</v>
      </c>
      <c r="AC17" s="176">
        <f t="shared" si="8"/>
        <v>0.95434008926829272</v>
      </c>
      <c r="AD17" s="177">
        <f>AB17*PRODUCT(AC5:AC16)*PRODUCT(AC18:AC19)</f>
        <v>2.8529537830643829E-2</v>
      </c>
      <c r="AE17" s="177">
        <f>AB17*AB18*PRODUCT(AC5:AC16)*AC19+AB17*AB19*PRODUCT(AC5:AC16)*AC18</f>
        <v>1.2277077751461436E-3</v>
      </c>
      <c r="AG17" s="203">
        <f>COUNTA(F14:F15)/(COUNTA(F14:F15)+COUNTA(J14:J15))</f>
        <v>0.5</v>
      </c>
      <c r="AH17">
        <f>COUNTA(F14:F15)</f>
        <v>2</v>
      </c>
      <c r="AI17" s="209">
        <f t="shared" si="9"/>
        <v>0.13045688780487805</v>
      </c>
      <c r="AK17" s="203">
        <f>COUNTA(J14:J15)/(COUNTA(F14:F15)+COUNTA(J14:J15))</f>
        <v>0.5</v>
      </c>
      <c r="AL17">
        <f>COUNTA(J14:J15)</f>
        <v>2</v>
      </c>
      <c r="AM17" s="210">
        <v>0.1089</v>
      </c>
      <c r="AN17" s="211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4.2792832651109329E-2</v>
      </c>
      <c r="BP17">
        <f>BP13+1</f>
        <v>5</v>
      </c>
      <c r="BQ17">
        <v>3</v>
      </c>
      <c r="BR17" s="107">
        <f>$H$30*H42</f>
        <v>8.4308555898415741E-3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2">
        <f>P17*1.2</f>
        <v>0.72</v>
      </c>
      <c r="Q18" s="216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4.9116000000000007E-2</v>
      </c>
      <c r="Z18" s="69">
        <f>Z17*1.2</f>
        <v>0.84</v>
      </c>
      <c r="AA18" s="69">
        <f t="shared" si="6"/>
        <v>4.1257440000000006E-2</v>
      </c>
      <c r="AB18" s="157">
        <f t="shared" si="7"/>
        <v>4.1257440000000006E-2</v>
      </c>
      <c r="AC18" s="176">
        <f t="shared" si="8"/>
        <v>0.95874256000000002</v>
      </c>
      <c r="AD18" s="177">
        <f>AB18*PRODUCT(AC5:AC17)*PRODUCT(AC19:AC19)</f>
        <v>2.5660381918239845E-2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9">
        <f t="shared" si="9"/>
        <v>0.19646400000000003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210">
        <v>0.16400000000000001</v>
      </c>
      <c r="AN18" s="211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2.3589568663479825E-2</v>
      </c>
      <c r="BP18">
        <f>BL8+1</f>
        <v>5</v>
      </c>
      <c r="BQ18">
        <v>4</v>
      </c>
      <c r="BR18" s="107">
        <f>$H$30*H43</f>
        <v>8.8279566908915433E-3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2">
        <f>P3</f>
        <v>0.6</v>
      </c>
      <c r="Q19" s="216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0.7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9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2</v>
      </c>
      <c r="AM19" s="210">
        <v>0.60870000000000002</v>
      </c>
      <c r="AN19" s="211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9.7124666676024051E-3</v>
      </c>
      <c r="BP19">
        <f>BP15+1</f>
        <v>6</v>
      </c>
      <c r="BQ19">
        <v>1</v>
      </c>
      <c r="BR19" s="107">
        <f>$H$31*H40</f>
        <v>5.553826795632917E-4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0.79498530015714475</v>
      </c>
      <c r="T20" s="181">
        <f>SUM(T5:T19)</f>
        <v>0.18612140285808676</v>
      </c>
      <c r="U20" s="181">
        <f>SUM(U5:U19)</f>
        <v>1.7939337750840098E-2</v>
      </c>
      <c r="V20" s="181">
        <f>1-S20-T20-U20</f>
        <v>9.5395923392839477E-4</v>
      </c>
      <c r="W20" s="21"/>
      <c r="X20" s="22"/>
      <c r="Y20" s="22"/>
      <c r="Z20" s="22"/>
      <c r="AA20" s="22"/>
      <c r="AB20" s="23"/>
      <c r="AC20" s="184">
        <f>PRODUCT(AC5:AC19)</f>
        <v>0.59629730421642679</v>
      </c>
      <c r="AD20" s="181">
        <f>SUM(AD5:AD19)</f>
        <v>0.328093251929509</v>
      </c>
      <c r="AE20" s="181">
        <f>SUM(AE5:AE19)</f>
        <v>6.7694309618338097E-2</v>
      </c>
      <c r="AF20" s="181">
        <f>1-AC20-AD20-AE20</f>
        <v>7.9151342357261095E-3</v>
      </c>
      <c r="BH20">
        <v>1</v>
      </c>
      <c r="BI20">
        <v>8</v>
      </c>
      <c r="BJ20" s="107">
        <f t="shared" si="11"/>
        <v>2.9966812836031099E-3</v>
      </c>
      <c r="BP20">
        <f>BP16+1</f>
        <v>6</v>
      </c>
      <c r="BQ20">
        <v>2</v>
      </c>
      <c r="BR20" s="107">
        <f>$H$31*H41</f>
        <v>1.4162303008807659E-3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6.8799557414444537E-4</v>
      </c>
      <c r="BP21">
        <f>BP17+1</f>
        <v>6</v>
      </c>
      <c r="BQ21">
        <v>3</v>
      </c>
      <c r="BR21" s="107">
        <f>$H$31*H42</f>
        <v>2.1909184522613881E-3</v>
      </c>
    </row>
    <row r="22" spans="1:70" x14ac:dyDescent="0.25">
      <c r="A22" s="26" t="s">
        <v>77</v>
      </c>
      <c r="B22" s="62">
        <f>(B6)/((B6)+(C6))</f>
        <v>0.48809523809523808</v>
      </c>
      <c r="C22" s="63">
        <f>1-B22</f>
        <v>0.51190476190476186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1.1515333439339539E-4</v>
      </c>
      <c r="BP22">
        <f>BP18+1</f>
        <v>6</v>
      </c>
      <c r="BQ22">
        <v>4</v>
      </c>
      <c r="BR22" s="107">
        <f>$H$31*H43</f>
        <v>2.2941127390609375E-3</v>
      </c>
    </row>
    <row r="23" spans="1:70" ht="15.75" thickBot="1" x14ac:dyDescent="0.3">
      <c r="A23" s="40" t="s">
        <v>67</v>
      </c>
      <c r="B23" s="56">
        <f>((B22^2.8)/((B22^2.8)+(C22^2.8)))*B21</f>
        <v>2.3335484435824116</v>
      </c>
      <c r="C23" s="57">
        <f>B21-B23</f>
        <v>2.6664515564175884</v>
      </c>
      <c r="D23" s="151">
        <f>SUM(D25:D30)</f>
        <v>1</v>
      </c>
      <c r="E23" s="151">
        <f>SUM(E25:E30)</f>
        <v>1</v>
      </c>
      <c r="H23" s="59">
        <f>SUM(H25:H35)</f>
        <v>0.99999986762911153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0.99948168021131423</v>
      </c>
      <c r="Y23" s="80">
        <f>SUM(Y25:Y35)</f>
        <v>1.8512284522490582E-3</v>
      </c>
      <c r="Z23" s="81"/>
      <c r="AA23" s="80">
        <f>SUM(AA25:AA35)</f>
        <v>1.6210351810413328E-2</v>
      </c>
      <c r="AB23" s="81"/>
      <c r="AC23" s="80">
        <f>SUM(AC25:AC35)</f>
        <v>6.3884071039084084E-2</v>
      </c>
      <c r="AD23" s="81"/>
      <c r="AE23" s="80">
        <f>SUM(AE25:AE35)</f>
        <v>0.14921922246157651</v>
      </c>
      <c r="AF23" s="81"/>
      <c r="AG23" s="80">
        <f>SUM(AG25:AG35)</f>
        <v>0.22878863939198046</v>
      </c>
      <c r="AH23" s="81"/>
      <c r="AI23" s="80">
        <f>SUM(AI25:AI35)</f>
        <v>0.24062974964110617</v>
      </c>
      <c r="AJ23" s="81"/>
      <c r="AK23" s="80">
        <f>SUM(AK25:AK35)</f>
        <v>0.1758572407849438</v>
      </c>
      <c r="AL23" s="81"/>
      <c r="AM23" s="80">
        <f>SUM(AM25:AM35)</f>
        <v>8.8219655802101921E-2</v>
      </c>
      <c r="AN23" s="81"/>
      <c r="AO23" s="80">
        <f>SUM(AO25:AO35)</f>
        <v>2.9102952079322307E-2</v>
      </c>
      <c r="AP23" s="81"/>
      <c r="AQ23" s="80">
        <f>SUM(AQ25:AQ35)</f>
        <v>5.7185687485366106E-3</v>
      </c>
      <c r="AR23" s="81"/>
      <c r="AS23" s="80">
        <f>SUM(AS25:AS35)</f>
        <v>5.1831978868577288E-4</v>
      </c>
      <c r="BH23">
        <f t="shared" ref="BH23:BH30" si="12">BH15+1</f>
        <v>2</v>
      </c>
      <c r="BI23">
        <v>3</v>
      </c>
      <c r="BJ23" s="107">
        <f t="shared" ref="BJ23:BJ30" si="13">$H$27*H42</f>
        <v>6.5905570804069932E-2</v>
      </c>
      <c r="BP23">
        <f>BL9+1</f>
        <v>6</v>
      </c>
      <c r="BQ23">
        <v>5</v>
      </c>
      <c r="BR23" s="107">
        <f>$H$31*H44</f>
        <v>1.7175671018366733E-3</v>
      </c>
    </row>
    <row r="24" spans="1:70" ht="15.75" thickBot="1" x14ac:dyDescent="0.3">
      <c r="A24" s="26" t="s">
        <v>76</v>
      </c>
      <c r="B24" s="64">
        <f>B23/B21</f>
        <v>0.46670968871648233</v>
      </c>
      <c r="C24" s="65">
        <f>C23/B21</f>
        <v>0.53329031128351767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6.9009784184637948E-2</v>
      </c>
      <c r="BP24">
        <f>BH49+1</f>
        <v>7</v>
      </c>
      <c r="BQ24">
        <v>0</v>
      </c>
      <c r="BR24" s="107">
        <f t="shared" ref="BR24:BR30" si="14">$H$32*H39</f>
        <v>1.9351250753652581E-5</v>
      </c>
    </row>
    <row r="25" spans="1:70" x14ac:dyDescent="0.25">
      <c r="A25" s="26" t="s">
        <v>69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9.2250324339872736E-2</v>
      </c>
      <c r="I25" s="97">
        <v>0</v>
      </c>
      <c r="J25" s="98">
        <f t="shared" ref="J25:J35" si="15">Y25+AA25+AC25+AE25+AG25+AI25+AK25+AM25+AO25+AQ25+AS25</f>
        <v>0.11604028945143717</v>
      </c>
      <c r="K25" s="97">
        <v>0</v>
      </c>
      <c r="L25" s="98">
        <f>S20</f>
        <v>0.79498530015714475</v>
      </c>
      <c r="M25" s="84">
        <v>0</v>
      </c>
      <c r="N25" s="71">
        <f>(1-$B$24)^$B$21</f>
        <v>4.3133874249689168E-2</v>
      </c>
      <c r="O25" s="70">
        <v>0</v>
      </c>
      <c r="P25" s="71">
        <f>N25</f>
        <v>4.3133874249689168E-2</v>
      </c>
      <c r="Q25" s="12">
        <v>0</v>
      </c>
      <c r="R25" s="73">
        <f>P25*N25</f>
        <v>1.8605311077879983E-3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1.8512284522490582E-3</v>
      </c>
      <c r="W25" s="136">
        <f>B31</f>
        <v>0.41481679477751243</v>
      </c>
      <c r="X25" s="12">
        <v>0</v>
      </c>
      <c r="Y25" s="79">
        <f>V25</f>
        <v>1.8512284522490582E-3</v>
      </c>
      <c r="Z25" s="12">
        <v>0</v>
      </c>
      <c r="AA25" s="78">
        <f>((1-W25)^Z26)*V26</f>
        <v>9.4860256302018251E-3</v>
      </c>
      <c r="AB25" s="12">
        <v>0</v>
      </c>
      <c r="AC25" s="79">
        <f>(((1-$W$25)^AB27))*V27</f>
        <v>2.187642191323963E-2</v>
      </c>
      <c r="AD25" s="12">
        <v>0</v>
      </c>
      <c r="AE25" s="79">
        <f>(((1-$W$25)^AB28))*V28</f>
        <v>2.9902006583821021E-2</v>
      </c>
      <c r="AF25" s="12">
        <v>0</v>
      </c>
      <c r="AG25" s="79">
        <f>(((1-$W$25)^AB29))*V29</f>
        <v>2.6828838366571153E-2</v>
      </c>
      <c r="AH25" s="12">
        <v>0</v>
      </c>
      <c r="AI25" s="79">
        <f>(((1-$W$25)^AB30))*V30</f>
        <v>1.6512338615516133E-2</v>
      </c>
      <c r="AJ25" s="12">
        <v>0</v>
      </c>
      <c r="AK25" s="79">
        <f>(((1-$W$25)^AB31))*V31</f>
        <v>7.0617343306971772E-3</v>
      </c>
      <c r="AL25" s="12">
        <v>0</v>
      </c>
      <c r="AM25" s="79">
        <f>(((1-$W$25)^AB32))*V32</f>
        <v>2.0730431052200741E-3</v>
      </c>
      <c r="AN25" s="12">
        <v>0</v>
      </c>
      <c r="AO25" s="79">
        <f>(((1-$W$25)^AB33))*V33</f>
        <v>4.0019519611925533E-4</v>
      </c>
      <c r="AP25" s="12">
        <v>0</v>
      </c>
      <c r="AQ25" s="79">
        <f>(((1-$W$25)^AB34))*V34</f>
        <v>4.6016546998148478E-5</v>
      </c>
      <c r="AR25" s="12">
        <v>0</v>
      </c>
      <c r="AS25" s="79">
        <f>(((1-$W$25)^AB35))*V35</f>
        <v>2.4407108037012595E-6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5.1666569389654783E-2</v>
      </c>
      <c r="BP25">
        <f>BP19+1</f>
        <v>7</v>
      </c>
      <c r="BQ25">
        <v>1</v>
      </c>
      <c r="BR25" s="107">
        <f t="shared" si="14"/>
        <v>1.0767656269115359E-4</v>
      </c>
    </row>
    <row r="26" spans="1:70" x14ac:dyDescent="0.25">
      <c r="A26" s="40" t="s">
        <v>24</v>
      </c>
      <c r="B26" s="119">
        <f>1/(1+EXP(-3.1416*4*((B10/(B10+C9))-(3.1416/6))))</f>
        <v>0.1948863248060955</v>
      </c>
      <c r="C26" s="120">
        <f>1/(1+EXP(-3.1416*4*((C10/(C10+B9))-(3.1416/6))))</f>
        <v>0.69969228081812651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0.24326192676966102</v>
      </c>
      <c r="I26" s="93">
        <v>1</v>
      </c>
      <c r="J26" s="86">
        <f t="shared" si="15"/>
        <v>0.27882823149696567</v>
      </c>
      <c r="K26" s="93">
        <v>1</v>
      </c>
      <c r="L26" s="86">
        <f>T20</f>
        <v>0.18612140285808676</v>
      </c>
      <c r="M26" s="85">
        <v>1</v>
      </c>
      <c r="N26" s="71">
        <f>(($B$24)^M26)*((1-($B$24))^($B$21-M26))*HLOOKUP($B$21,$AV$24:$BF$34,M26+1)</f>
        <v>0.18874332233560787</v>
      </c>
      <c r="O26" s="72">
        <v>1</v>
      </c>
      <c r="P26" s="71">
        <f t="shared" ref="P26:P30" si="16">N26</f>
        <v>0.18874332233560787</v>
      </c>
      <c r="Q26" s="28">
        <v>1</v>
      </c>
      <c r="R26" s="37">
        <f>N26*P25+P26*N25</f>
        <v>1.6282461462185316E-2</v>
      </c>
      <c r="S26" s="72">
        <v>1</v>
      </c>
      <c r="T26" s="135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1.6210351810413328E-2</v>
      </c>
      <c r="W26" s="137"/>
      <c r="X26" s="28">
        <v>1</v>
      </c>
      <c r="Y26" s="73"/>
      <c r="Z26" s="28">
        <v>1</v>
      </c>
      <c r="AA26" s="79">
        <f>(1-((1-W25)^Z26))*V26</f>
        <v>6.7243261802115029E-3</v>
      </c>
      <c r="AB26" s="28">
        <v>1</v>
      </c>
      <c r="AC26" s="79">
        <f>((($W$25)^M26)*((1-($W$25))^($U$27-M26))*HLOOKUP($U$27,$AV$24:$BF$34,M26+1))*V27</f>
        <v>3.1014927080145374E-2</v>
      </c>
      <c r="AD26" s="28">
        <v>1</v>
      </c>
      <c r="AE26" s="79">
        <f>((($W$25)^M26)*((1-($W$25))^($U$28-M26))*HLOOKUP($U$28,$AV$24:$BF$34,M26+1))*V28</f>
        <v>6.3589595964911941E-2</v>
      </c>
      <c r="AF26" s="28">
        <v>1</v>
      </c>
      <c r="AG26" s="79">
        <f>((($W$25)^M26)*((1-($W$25))^($U$29-M26))*HLOOKUP($U$29,$AV$24:$BF$34,M26+1))*V29</f>
        <v>7.6072263451878896E-2</v>
      </c>
      <c r="AH26" s="28">
        <v>1</v>
      </c>
      <c r="AI26" s="79">
        <f>((($W$25)^M26)*((1-($W$25))^($U$30-M26))*HLOOKUP($U$30,$AV$24:$BF$34,M26+1))*V30</f>
        <v>5.8525221824890908E-2</v>
      </c>
      <c r="AJ26" s="28">
        <v>1</v>
      </c>
      <c r="AK26" s="79">
        <f>((($W$25)^M26)*((1-($W$25))^($U$31-M26))*HLOOKUP($U$31,$AV$24:$BF$34,M26+1))*V31</f>
        <v>3.0034963148162026E-2</v>
      </c>
      <c r="AL26" s="28">
        <v>1</v>
      </c>
      <c r="AM26" s="79">
        <f>((($W$25)^Q26)*((1-($W$25))^($U$32-Q26))*HLOOKUP($U$32,$AV$24:$BF$34,Q26+1))*V32</f>
        <v>1.0286576273344091E-2</v>
      </c>
      <c r="AN26" s="28">
        <v>1</v>
      </c>
      <c r="AO26" s="79">
        <f>((($W$25)^Q26)*((1-($W$25))^($U$33-Q26))*HLOOKUP($U$33,$AV$24:$BF$34,Q26+1))*V33</f>
        <v>2.2694798764968807E-3</v>
      </c>
      <c r="AP26" s="28">
        <v>1</v>
      </c>
      <c r="AQ26" s="79">
        <f>((($W$25)^Q26)*((1-($W$25))^($U$34-Q26))*HLOOKUP($U$34,$AV$24:$BF$34,Q26+1))*V34</f>
        <v>2.935763146640364E-4</v>
      </c>
      <c r="AR26" s="28">
        <v>1</v>
      </c>
      <c r="AS26" s="79">
        <f>((($W$25)^Q26)*((1-($W$25))^($U$35-Q26))*HLOOKUP($U$35,$AV$24:$BF$34,Q26+1))*V35</f>
        <v>1.7301382260026901E-5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2.8481220118344079E-2</v>
      </c>
      <c r="BP26">
        <f>BP20+1</f>
        <v>7</v>
      </c>
      <c r="BQ26">
        <v>2</v>
      </c>
      <c r="BR26" s="107">
        <f t="shared" si="14"/>
        <v>2.7457610110889443E-4</v>
      </c>
    </row>
    <row r="27" spans="1:70" x14ac:dyDescent="0.25">
      <c r="A27" s="26" t="s">
        <v>25</v>
      </c>
      <c r="B27" s="119">
        <f>1/(1+EXP(-3.1416*4*((B12/(B12+C7))-(3.1416/6))))</f>
        <v>0.29124981281132378</v>
      </c>
      <c r="C27" s="120">
        <f>1/(1+EXP(-3.1416*4*((C12/(C12+B7))-(3.1416/6))))</f>
        <v>0.71881514699194859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0.29370594187529192</v>
      </c>
      <c r="I27" s="93">
        <v>2</v>
      </c>
      <c r="J27" s="86">
        <f t="shared" si="15"/>
        <v>0.30155067556604576</v>
      </c>
      <c r="K27" s="93">
        <v>2</v>
      </c>
      <c r="L27" s="86">
        <f>U20</f>
        <v>1.7939337750840098E-2</v>
      </c>
      <c r="M27" s="85">
        <v>2</v>
      </c>
      <c r="N27" s="71">
        <f>(($B$24)^M27)*((1-($B$24))^($B$21-M27))*HLOOKUP($B$21,$AV$24:$BF$34,M27+1)</f>
        <v>0.33035791331950554</v>
      </c>
      <c r="O27" s="72">
        <v>2</v>
      </c>
      <c r="P27" s="71">
        <f t="shared" si="16"/>
        <v>0.33035791331950554</v>
      </c>
      <c r="Q27" s="28">
        <v>2</v>
      </c>
      <c r="R27" s="37">
        <f>P25*N27+P26*N26+P27*N25</f>
        <v>6.4123275107309696E-2</v>
      </c>
      <c r="S27" s="72">
        <v>2</v>
      </c>
      <c r="T27" s="135">
        <f t="shared" si="17"/>
        <v>0</v>
      </c>
      <c r="U27" s="93">
        <v>2</v>
      </c>
      <c r="V27" s="86">
        <f>R27*T25+T26*R26+R25*T27</f>
        <v>6.3884071039084084E-2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1.099272204569908E-2</v>
      </c>
      <c r="AD27" s="28">
        <v>2</v>
      </c>
      <c r="AE27" s="79">
        <f>((($W$25)^M27)*((1-($W$25))^($U$28-M27))*HLOOKUP($U$28,$AV$24:$BF$34,M27+1))*V28</f>
        <v>4.5076536961331341E-2</v>
      </c>
      <c r="AF27" s="28">
        <v>2</v>
      </c>
      <c r="AG27" s="79">
        <f>((($W$25)^M27)*((1-($W$25))^($U$29-M27))*HLOOKUP($U$29,$AV$24:$BF$34,M27+1))*V29</f>
        <v>8.0887623435590347E-2</v>
      </c>
      <c r="AH27" s="28">
        <v>2</v>
      </c>
      <c r="AI27" s="79">
        <f>((($W$25)^M27)*((1-($W$25))^($U$30-M27))*HLOOKUP($U$30,$AV$24:$BF$34,M27+1))*V30</f>
        <v>8.2973143160572804E-2</v>
      </c>
      <c r="AJ27" s="28">
        <v>2</v>
      </c>
      <c r="AK27" s="79">
        <f>((($W$25)^M27)*((1-($W$25))^($U$31-M27))*HLOOKUP($U$31,$AV$24:$BF$34,M27+1))*V31</f>
        <v>5.3226951120565483E-2</v>
      </c>
      <c r="AL27" s="28">
        <v>2</v>
      </c>
      <c r="AM27" s="79">
        <f>((($W$25)^Q27)*((1-($W$25))^($U$32-Q27))*HLOOKUP($U$32,$AV$24:$BF$34,Q27+1))*V32</f>
        <v>2.1875429237518881E-2</v>
      </c>
      <c r="AN27" s="28">
        <v>2</v>
      </c>
      <c r="AO27" s="79">
        <f>((($W$25)^Q27)*((1-($W$25))^($U$33-Q27))*HLOOKUP($U$33,$AV$24:$BF$34,Q27+1))*V33</f>
        <v>5.6306542279848963E-3</v>
      </c>
      <c r="AP27" s="28">
        <v>2</v>
      </c>
      <c r="AQ27" s="79">
        <f>((($W$25)^Q27)*((1-($W$25))^($U$34-Q27))*HLOOKUP($U$34,$AV$24:$BF$34,Q27+1))*V34</f>
        <v>8.3242570726361771E-4</v>
      </c>
      <c r="AR27" s="28">
        <v>2</v>
      </c>
      <c r="AS27" s="79">
        <f>((($W$25)^Q27)*((1-($W$25))^($U$35-Q27))*HLOOKUP($U$35,$AV$24:$BF$34,Q27+1))*V35</f>
        <v>5.5189669519279708E-5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1.1726492544152258E-2</v>
      </c>
      <c r="BP27">
        <f>BP21+1</f>
        <v>7</v>
      </c>
      <c r="BQ27">
        <v>3</v>
      </c>
      <c r="BR27" s="107">
        <f t="shared" si="14"/>
        <v>4.2477120147432334E-4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0.21491628281403927</v>
      </c>
      <c r="I28" s="93">
        <v>3</v>
      </c>
      <c r="J28" s="86">
        <f t="shared" si="15"/>
        <v>0.19330993477436875</v>
      </c>
      <c r="K28" s="93">
        <v>3</v>
      </c>
      <c r="L28" s="86">
        <f>V20</f>
        <v>9.5395923392839477E-4</v>
      </c>
      <c r="M28" s="85">
        <v>3</v>
      </c>
      <c r="N28" s="71">
        <f>(($B$24)^M28)*((1-($B$24))^($B$21-M28))*HLOOKUP($B$21,$AV$24:$BF$34,M28+1)</f>
        <v>0.28911314461965615</v>
      </c>
      <c r="O28" s="72">
        <v>3</v>
      </c>
      <c r="P28" s="71">
        <f t="shared" si="16"/>
        <v>0.28911314461965615</v>
      </c>
      <c r="Q28" s="28">
        <v>3</v>
      </c>
      <c r="R28" s="37">
        <f>P25*N28+P26*N27+P27*N26+P28*N25</f>
        <v>0.14964684028747735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0.14921922246157651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1.0651082951512217E-2</v>
      </c>
      <c r="AF28" s="28">
        <v>3</v>
      </c>
      <c r="AG28" s="79">
        <f>((($W$25)^M28)*((1-($W$25))^($U$29-M28))*HLOOKUP($U$29,$AV$24:$BF$34,M28+1))*V29</f>
        <v>3.8225686578462065E-2</v>
      </c>
      <c r="AH28" s="28">
        <v>3</v>
      </c>
      <c r="AI28" s="79">
        <f>((($W$25)^M28)*((1-($W$25))^($U$30-M28))*HLOOKUP($U$30,$AV$24:$BF$34,M28+1))*V30</f>
        <v>5.8816885022184573E-2</v>
      </c>
      <c r="AJ28" s="28">
        <v>3</v>
      </c>
      <c r="AK28" s="79">
        <f>((($W$25)^M28)*((1-($W$25))^($U$31-M28))*HLOOKUP($U$31,$AV$24:$BF$34,M28+1))*V31</f>
        <v>5.0307739667540326E-2</v>
      </c>
      <c r="AL28" s="28">
        <v>3</v>
      </c>
      <c r="AM28" s="79">
        <f>((($W$25)^Q28)*((1-($W$25))^($U$32-Q28))*HLOOKUP($U$32,$AV$24:$BF$34,Q28+1))*V32</f>
        <v>2.5844599775779624E-2</v>
      </c>
      <c r="AN28" s="28">
        <v>3</v>
      </c>
      <c r="AO28" s="79">
        <f>((($W$25)^Q28)*((1-($W$25))^($U$33-Q28))*HLOOKUP($U$33,$AV$24:$BF$34,Q28+1))*V33</f>
        <v>7.9827647769389089E-3</v>
      </c>
      <c r="AP28" s="28">
        <v>3</v>
      </c>
      <c r="AQ28" s="79">
        <f>((($W$25)^Q28)*((1-($W$25))^($U$34-Q28))*HLOOKUP($U$34,$AV$24:$BF$34,Q28+1))*V34</f>
        <v>1.3768503748744739E-3</v>
      </c>
      <c r="AR28" s="28">
        <v>3</v>
      </c>
      <c r="AS28" s="79">
        <f>((($W$25)^Q28)*((1-($W$25))^($U$35-Q28))*HLOOKUP($U$35,$AV$24:$BF$34,Q28+1))*V35</f>
        <v>1.0432562707657159E-4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3.6180881677143708E-3</v>
      </c>
      <c r="BP28">
        <f>BP22+1</f>
        <v>7</v>
      </c>
      <c r="BQ28">
        <v>4</v>
      </c>
      <c r="BR28" s="107">
        <f t="shared" si="14"/>
        <v>4.4477831819009456E-4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0.10633010490114563</v>
      </c>
      <c r="I29" s="93">
        <v>4</v>
      </c>
      <c r="J29" s="86">
        <f t="shared" si="15"/>
        <v>8.1354181590100771E-2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0.12650886662888206</v>
      </c>
      <c r="O29" s="72">
        <v>4</v>
      </c>
      <c r="P29" s="71">
        <f t="shared" si="16"/>
        <v>0.12650886662888206</v>
      </c>
      <c r="Q29" s="28">
        <v>4</v>
      </c>
      <c r="R29" s="37">
        <f>P25*N29+P26*N28+P27*N27+P28*N26+P29*N25</f>
        <v>0.22918633687491768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0.22878863939198046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6.7742275594780115E-3</v>
      </c>
      <c r="AH29" s="28">
        <v>4</v>
      </c>
      <c r="AI29" s="79">
        <f>((($W$25)^M29)*((1-($W$25))^($U$30-M29))*HLOOKUP($U$30,$AV$24:$BF$34,M29+1))*V30</f>
        <v>2.0846660931104335E-2</v>
      </c>
      <c r="AJ29" s="28">
        <v>4</v>
      </c>
      <c r="AK29" s="79">
        <f>((($W$25)^M29)*((1-($W$25))^($U$31-M29))*HLOOKUP($U$31,$AV$24:$BF$34,M29+1))*V31</f>
        <v>2.6746105068227773E-2</v>
      </c>
      <c r="AL29" s="28">
        <v>4</v>
      </c>
      <c r="AM29" s="79">
        <f>((($W$25)^Q29)*((1-($W$25))^($U$32-Q29))*HLOOKUP($U$32,$AV$24:$BF$34,Q29+1))*V32</f>
        <v>1.8320372057192696E-2</v>
      </c>
      <c r="AN29" s="28">
        <v>4</v>
      </c>
      <c r="AO29" s="79">
        <f>((($W$25)^Q29)*((1-($W$25))^($U$33-Q29))*HLOOKUP($U$33,$AV$24:$BF$34,Q29+1))*V33</f>
        <v>7.0733935729017285E-3</v>
      </c>
      <c r="AP29" s="28">
        <v>4</v>
      </c>
      <c r="AQ29" s="79">
        <f>((($W$25)^Q29)*((1-($W$25))^($U$34-Q29))*HLOOKUP($U$34,$AV$24:$BF$34,Q29+1))*V34</f>
        <v>1.4640047449153051E-3</v>
      </c>
      <c r="AR29" s="28">
        <v>4</v>
      </c>
      <c r="AS29" s="79">
        <f>((($W$25)^Q29)*((1-($W$25))^($U$35-Q29))*HLOOKUP($U$35,$AV$24:$BF$34,Q29+1))*V35</f>
        <v>1.2941765628091936E-4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8.3066179238751303E-4</v>
      </c>
      <c r="BP29">
        <f>BP23+1</f>
        <v>7</v>
      </c>
      <c r="BQ29">
        <v>5</v>
      </c>
      <c r="BR29" s="107">
        <f t="shared" si="14"/>
        <v>3.3299872056255487E-4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3.7571822102723897E-2</v>
      </c>
      <c r="I30" s="93">
        <v>5</v>
      </c>
      <c r="J30" s="86">
        <f t="shared" si="15"/>
        <v>2.3490432377991852E-2</v>
      </c>
      <c r="K30" s="93">
        <v>5</v>
      </c>
      <c r="L30" s="86"/>
      <c r="M30" s="85">
        <v>5</v>
      </c>
      <c r="N30" s="71">
        <f>(($B$24)^M30)*((1-($B$24))^($B$21-M30))*HLOOKUP($B$21,$AV$24:$BF$34,M30+1)</f>
        <v>2.2142878846659206E-2</v>
      </c>
      <c r="O30" s="72">
        <v>5</v>
      </c>
      <c r="P30" s="71">
        <f t="shared" si="16"/>
        <v>2.2142878846659206E-2</v>
      </c>
      <c r="Q30" s="28">
        <v>5</v>
      </c>
      <c r="R30" s="37">
        <f>P25*N30+P26*N29+P27*N28+P28*N27+P29*N26+P30*N25</f>
        <v>0.24068725422787091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0.24062974964110614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2.9555000868374142E-3</v>
      </c>
      <c r="AJ30" s="28">
        <v>5</v>
      </c>
      <c r="AK30" s="79">
        <f>((($W$25)^M30)*((1-($W$25))^($U$31-M30))*HLOOKUP($U$31,$AV$24:$BF$34,M30+1))*V31</f>
        <v>7.5837675983654292E-3</v>
      </c>
      <c r="AL30" s="28">
        <v>5</v>
      </c>
      <c r="AM30" s="79">
        <f>((($W$25)^Q30)*((1-($W$25))^($U$32-Q30))*HLOOKUP($U$32,$AV$24:$BF$34,Q30+1))*V32</f>
        <v>7.7920192665202649E-3</v>
      </c>
      <c r="AN30" s="28">
        <v>5</v>
      </c>
      <c r="AO30" s="79">
        <f>((($W$25)^Q30)*((1-($W$25))^($U$33-Q30))*HLOOKUP($U$33,$AV$24:$BF$34,Q30+1))*V33</f>
        <v>4.0112736304458744E-3</v>
      </c>
      <c r="AP30" s="28">
        <v>5</v>
      </c>
      <c r="AQ30" s="79">
        <f>((($W$25)^Q30)*((1-($W$25))^($U$34-Q30))*HLOOKUP($U$34,$AV$24:$BF$34,Q30+1))*V34</f>
        <v>1.0377839801365154E-3</v>
      </c>
      <c r="AR30" s="28">
        <v>5</v>
      </c>
      <c r="AS30" s="79">
        <f>((($W$25)^Q30)*((1-($W$25))^($U$35-Q30))*HLOOKUP($U$35,$AV$24:$BF$34,Q30+1))*V35</f>
        <v>1.1008781568635305E-4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1.3903210825965857E-4</v>
      </c>
      <c r="BP30">
        <f>BL10+1</f>
        <v>7</v>
      </c>
      <c r="BQ30">
        <v>6</v>
      </c>
      <c r="BR30" s="107">
        <f t="shared" si="14"/>
        <v>1.8356569773274136E-4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8">
        <f>J31*L25+J30*L26+J29*L27+J28*L28</f>
        <v>9.7637538032467816E-3</v>
      </c>
      <c r="I31" s="93">
        <v>6</v>
      </c>
      <c r="J31" s="86">
        <f t="shared" si="15"/>
        <v>4.7143408013896361E-3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0.17553146182291901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0.17585724078494377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8.95979851385583E-4</v>
      </c>
      <c r="AL31" s="28">
        <v>6</v>
      </c>
      <c r="AM31" s="79">
        <f>((($W$25)^Q31)*((1-($W$25))^($U$32-Q31))*HLOOKUP($U$32,$AV$24:$BF$34,Q31+1))*V32</f>
        <v>1.8411672493537866E-3</v>
      </c>
      <c r="AN31" s="28">
        <v>6</v>
      </c>
      <c r="AO31" s="79">
        <f>((($W$25)^Q31)*((1-($W$25))^($U$33-Q31))*HLOOKUP($U$33,$AV$24:$BF$34,Q31+1))*V33</f>
        <v>1.4217288325324372E-3</v>
      </c>
      <c r="AP31" s="28">
        <v>6</v>
      </c>
      <c r="AQ31" s="79">
        <f>((($W$25)^Q31)*((1-($W$25))^($U$34-Q31))*HLOOKUP($U$34,$AV$24:$BF$34,Q31+1))*V34</f>
        <v>4.9043356048698839E-4</v>
      </c>
      <c r="AR31" s="28">
        <v>6</v>
      </c>
      <c r="AS31" s="79">
        <f>((($W$25)^Q31)*((1-($W$25))^($U$35-Q31))*HLOOKUP($U$35,$AV$24:$BF$34,Q31+1))*V35</f>
        <v>6.503130763084149E-5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5.0497195256127544E-2</v>
      </c>
      <c r="BP31">
        <f t="shared" ref="BP31:BP37" si="21">BP24+1</f>
        <v>8</v>
      </c>
      <c r="BQ31">
        <v>0</v>
      </c>
      <c r="BR31" s="107">
        <f t="shared" ref="BR31:BR38" si="22">$H$33*H39</f>
        <v>2.8086873111654121E-6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1.8929784582460705E-3</v>
      </c>
      <c r="I32" s="93">
        <v>7</v>
      </c>
      <c r="J32" s="86">
        <f t="shared" si="15"/>
        <v>6.4973196554651098E-4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8.7780903008027447E-2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8.8219655802101907E-2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1.8644883717250051E-4</v>
      </c>
      <c r="AN32" s="28">
        <v>7</v>
      </c>
      <c r="AO32" s="79">
        <f>((($W$25)^Q32)*((1-($W$25))^($U$33-Q32))*HLOOKUP($U$33,$AV$24:$BF$34,Q32+1))*V33</f>
        <v>2.8794742866877234E-4</v>
      </c>
      <c r="AP32" s="28">
        <v>7</v>
      </c>
      <c r="AQ32" s="79">
        <f>((($W$25)^Q32)*((1-($W$25))^($U$34-Q32))*HLOOKUP($U$34,$AV$24:$BF$34,Q32+1))*V34</f>
        <v>1.4899368934885533E-4</v>
      </c>
      <c r="AR32" s="28">
        <v>7</v>
      </c>
      <c r="AS32" s="79">
        <f>((($W$25)^Q32)*((1-($W$25))^($U$35-Q32))*HLOOKUP($U$35,$AV$24:$BF$34,Q32+1))*V35</f>
        <v>2.634201035638277E-5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3.7806477349692176E-2</v>
      </c>
      <c r="BP32">
        <f t="shared" si="21"/>
        <v>8</v>
      </c>
      <c r="BQ32">
        <v>1</v>
      </c>
      <c r="BR32" s="107">
        <f t="shared" si="22"/>
        <v>1.5628436589994887E-5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2.7475146922901876E-4</v>
      </c>
      <c r="I33" s="93">
        <v>8</v>
      </c>
      <c r="J33" s="86">
        <f t="shared" si="15"/>
        <v>5.8921061214402559E-5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2.8808088004303685E-2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2.9102952079322304E-2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2.5514537233556029E-5</v>
      </c>
      <c r="AP33" s="28">
        <v>8</v>
      </c>
      <c r="AQ33" s="79">
        <f>((($W$25)^Q33)*((1-($W$25))^($U$34-Q33))*HLOOKUP($U$34,$AV$24:$BF$34,Q33+1))*V34</f>
        <v>2.6404160315174361E-5</v>
      </c>
      <c r="AR33" s="28">
        <v>8</v>
      </c>
      <c r="AS33" s="79">
        <f>((($W$25)^Q33)*((1-($W$25))^($U$35-Q33))*HLOOKUP($U$35,$AV$24:$BF$34,Q33+1))*V35</f>
        <v>7.0023636656721688E-6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2.0840838012197799E-2</v>
      </c>
      <c r="BP33">
        <f t="shared" si="21"/>
        <v>8</v>
      </c>
      <c r="BQ33">
        <v>2</v>
      </c>
      <c r="BR33" s="107">
        <f t="shared" si="22"/>
        <v>3.9852639033591048E-5</v>
      </c>
    </row>
    <row r="34" spans="1:70" x14ac:dyDescent="0.25">
      <c r="A34" s="40" t="s">
        <v>86</v>
      </c>
      <c r="B34" s="56">
        <f>B23*2</f>
        <v>4.6670968871648233</v>
      </c>
      <c r="C34" s="57">
        <f>C23*2</f>
        <v>5.3329031128351767</v>
      </c>
      <c r="G34" s="87">
        <v>9</v>
      </c>
      <c r="H34" s="128">
        <f>J34*L25+J33*L26+J32*L27+J31*L28</f>
        <v>2.9649738813568829E-5</v>
      </c>
      <c r="I34" s="93">
        <v>9</v>
      </c>
      <c r="J34" s="86">
        <f t="shared" si="15"/>
        <v>3.1827231586920915E-6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5.6025410135830062E-3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5.7185687485366097E-3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2.0796695334959087E-6</v>
      </c>
      <c r="AR34" s="28">
        <v>9</v>
      </c>
      <c r="AS34" s="79">
        <f>((($W$25)^Q34)*((1-($W$25))^($U$35-Q34))*HLOOKUP($U$35,$AV$24:$BF$34,Q34+1))*V35</f>
        <v>1.1030536251961831E-6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8.5807395381392627E-3</v>
      </c>
      <c r="BP34">
        <f t="shared" si="21"/>
        <v>8</v>
      </c>
      <c r="BQ34">
        <v>3</v>
      </c>
      <c r="BR34" s="107">
        <f t="shared" si="22"/>
        <v>6.1652318959498203E-5</v>
      </c>
    </row>
    <row r="35" spans="1:70" ht="15.75" thickBot="1" x14ac:dyDescent="0.3">
      <c r="G35" s="88">
        <v>10</v>
      </c>
      <c r="H35" s="129">
        <f>J35*L25+J34*L26+J33*L27+J32*L28</f>
        <v>2.3313568414309338E-6</v>
      </c>
      <c r="I35" s="94">
        <v>10</v>
      </c>
      <c r="J35" s="89">
        <f t="shared" si="15"/>
        <v>7.8191780828301316E-8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4.9030708361782777E-4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5.1831978868577266E-4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7.8191780828301316E-8</v>
      </c>
      <c r="BH35">
        <f t="shared" si="19"/>
        <v>3</v>
      </c>
      <c r="BI35">
        <v>8</v>
      </c>
      <c r="BJ35" s="107">
        <f t="shared" si="20"/>
        <v>2.6474985658573951E-3</v>
      </c>
      <c r="BP35">
        <f t="shared" si="21"/>
        <v>8</v>
      </c>
      <c r="BQ35">
        <v>4</v>
      </c>
      <c r="BR35" s="107">
        <f t="shared" si="22"/>
        <v>6.4556200241796462E-5</v>
      </c>
    </row>
    <row r="36" spans="1:70" x14ac:dyDescent="0.25">
      <c r="A36" s="1"/>
      <c r="B36" s="108">
        <f>SUM(B37:B39)</f>
        <v>0.99993801199292198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6.0782816839086151E-4</v>
      </c>
      <c r="BP36">
        <f t="shared" si="21"/>
        <v>8</v>
      </c>
      <c r="BQ36">
        <v>5</v>
      </c>
      <c r="BR36" s="107">
        <f t="shared" si="22"/>
        <v>4.8332239243079799E-5</v>
      </c>
    </row>
    <row r="37" spans="1:70" ht="15.75" thickBot="1" x14ac:dyDescent="0.3">
      <c r="A37" s="109" t="s">
        <v>104</v>
      </c>
      <c r="B37" s="107">
        <f>SUM(BN4:BN14)</f>
        <v>0.13822675454627459</v>
      </c>
      <c r="G37" s="13"/>
      <c r="H37" s="59">
        <f>SUM(H39:H49)</f>
        <v>0.99994047447039847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0.99797544825724893</v>
      </c>
      <c r="W37" s="13"/>
      <c r="X37" s="13"/>
      <c r="Y37" s="80">
        <f>SUM(Y39:Y49)</f>
        <v>4.8541627045873995E-4</v>
      </c>
      <c r="Z37" s="81"/>
      <c r="AA37" s="80">
        <f>SUM(AA39:AA49)</f>
        <v>5.5515342224545126E-3</v>
      </c>
      <c r="AB37" s="81"/>
      <c r="AC37" s="80">
        <f>SUM(AC39:AC49)</f>
        <v>2.8576484867223001E-2</v>
      </c>
      <c r="AD37" s="81"/>
      <c r="AE37" s="80">
        <f>SUM(AE39:AE49)</f>
        <v>8.7192069039690526E-2</v>
      </c>
      <c r="AF37" s="81"/>
      <c r="AG37" s="80">
        <f>SUM(AG39:AG49)</f>
        <v>0.17465467567836535</v>
      </c>
      <c r="AH37" s="81"/>
      <c r="AI37" s="80">
        <f>SUM(AI39:AI49)</f>
        <v>0.24003513143466115</v>
      </c>
      <c r="AJ37" s="81"/>
      <c r="AK37" s="80">
        <f>SUM(AK39:AK49)</f>
        <v>0.22929942963070324</v>
      </c>
      <c r="AL37" s="81"/>
      <c r="AM37" s="80">
        <f>SUM(AM39:AM49)</f>
        <v>0.15044053428887086</v>
      </c>
      <c r="AN37" s="81"/>
      <c r="AO37" s="80">
        <f>SUM(AO39:AO49)</f>
        <v>6.4978361157396539E-2</v>
      </c>
      <c r="AP37" s="81"/>
      <c r="AQ37" s="80">
        <f>SUM(AQ39:AQ49)</f>
        <v>1.6761811667424933E-2</v>
      </c>
      <c r="AR37" s="81"/>
      <c r="AS37" s="80">
        <f>SUM(AS39:AS49)</f>
        <v>2.024551742751068E-3</v>
      </c>
      <c r="BH37">
        <f t="shared" si="19"/>
        <v>3</v>
      </c>
      <c r="BI37">
        <v>10</v>
      </c>
      <c r="BJ37" s="107">
        <f t="shared" si="20"/>
        <v>1.0173530609623184E-4</v>
      </c>
      <c r="BP37">
        <f t="shared" si="21"/>
        <v>8</v>
      </c>
      <c r="BQ37">
        <v>6</v>
      </c>
      <c r="BR37" s="107">
        <f t="shared" si="22"/>
        <v>2.6643169092822581E-5</v>
      </c>
    </row>
    <row r="38" spans="1:70" ht="15.75" thickBot="1" x14ac:dyDescent="0.3">
      <c r="A38" s="110" t="s">
        <v>105</v>
      </c>
      <c r="B38" s="107">
        <f>SUM(BJ4:BJ59)</f>
        <v>0.71201004594859996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1.8704802865094749E-2</v>
      </c>
      <c r="BP38">
        <f>BL11+1</f>
        <v>8</v>
      </c>
      <c r="BQ38">
        <v>7</v>
      </c>
      <c r="BR38" s="107">
        <f t="shared" si="22"/>
        <v>1.0969716972144128E-5</v>
      </c>
    </row>
    <row r="39" spans="1:70" x14ac:dyDescent="0.25">
      <c r="A39" s="111" t="s">
        <v>0</v>
      </c>
      <c r="B39" s="107">
        <f>SUM(BR4:BR47)</f>
        <v>0.14970121149804735</v>
      </c>
      <c r="G39" s="130">
        <v>0</v>
      </c>
      <c r="H39" s="131">
        <f>L39*J39</f>
        <v>1.0222647103751188E-2</v>
      </c>
      <c r="I39" s="97">
        <v>0</v>
      </c>
      <c r="J39" s="98">
        <f t="shared" ref="J39:J49" si="37">Y39+AA39+AC39+AE39+AG39+AI39+AK39+AM39+AO39+AQ39+AS39</f>
        <v>1.7143540699357022E-2</v>
      </c>
      <c r="K39" s="102">
        <v>0</v>
      </c>
      <c r="L39" s="98">
        <f>AC20</f>
        <v>0.59629730421642679</v>
      </c>
      <c r="M39" s="84">
        <v>0</v>
      </c>
      <c r="N39" s="71">
        <f>(1-$C$24)^$B$21</f>
        <v>2.2142878846659206E-2</v>
      </c>
      <c r="O39" s="70">
        <v>0</v>
      </c>
      <c r="P39" s="71">
        <f>N39</f>
        <v>2.2142878846659206E-2</v>
      </c>
      <c r="Q39" s="12">
        <v>0</v>
      </c>
      <c r="R39" s="73">
        <f>P39*N39</f>
        <v>4.9030708361782777E-4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4.8541627045873995E-4</v>
      </c>
      <c r="W39" s="136">
        <f>C31</f>
        <v>0.62570229526274812</v>
      </c>
      <c r="X39" s="12">
        <v>0</v>
      </c>
      <c r="Y39" s="79">
        <f>V39</f>
        <v>4.8541627045873995E-4</v>
      </c>
      <c r="Z39" s="12">
        <v>0</v>
      </c>
      <c r="AA39" s="78">
        <f>((1-W39)^Z40)*V40</f>
        <v>2.0779265172350282E-3</v>
      </c>
      <c r="AB39" s="12">
        <v>0</v>
      </c>
      <c r="AC39" s="79">
        <f>(((1-$W$39)^AB41))*V41</f>
        <v>4.0035304314469415E-3</v>
      </c>
      <c r="AD39" s="12">
        <v>0</v>
      </c>
      <c r="AE39" s="79">
        <f>(((1-$W$39)^AB42))*V42</f>
        <v>4.572234278723465E-3</v>
      </c>
      <c r="AF39" s="12">
        <v>0</v>
      </c>
      <c r="AG39" s="79">
        <f>(((1-$W$39)^AB43))*V43</f>
        <v>3.428063613687595E-3</v>
      </c>
      <c r="AH39" s="12">
        <v>0</v>
      </c>
      <c r="AI39" s="79">
        <f>(((1-$W$39)^AB44))*V44</f>
        <v>1.763439762908488E-3</v>
      </c>
      <c r="AJ39" s="12">
        <v>0</v>
      </c>
      <c r="AK39" s="79">
        <f>(((1-$W$39)^AB45))*V45</f>
        <v>6.305302953534777E-4</v>
      </c>
      <c r="AL39" s="12">
        <v>0</v>
      </c>
      <c r="AM39" s="79">
        <f>(((1-$W$39)^AB46))*V46</f>
        <v>1.5484066034930931E-4</v>
      </c>
      <c r="AN39" s="12">
        <v>0</v>
      </c>
      <c r="AO39" s="79">
        <f>(((1-$W$39)^AB47))*V47</f>
        <v>2.5032606079917648E-5</v>
      </c>
      <c r="AP39" s="12">
        <v>0</v>
      </c>
      <c r="AQ39" s="79">
        <f>(((1-$W$39)^AB48))*V48</f>
        <v>2.4169932204380531E-6</v>
      </c>
      <c r="AR39" s="12">
        <v>0</v>
      </c>
      <c r="AS39" s="79">
        <f>(((1-$W$39)^AB49))*V49</f>
        <v>1.0926989362053767E-7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1.0311031174786427E-2</v>
      </c>
      <c r="BP39">
        <f t="shared" ref="BP39:BP46" si="38">BP31+1</f>
        <v>9</v>
      </c>
      <c r="BQ39">
        <v>0</v>
      </c>
      <c r="BR39" s="107">
        <f t="shared" ref="BR39:BR47" si="39">$H$34*H39</f>
        <v>3.0309881660950855E-7</v>
      </c>
    </row>
    <row r="40" spans="1:70" x14ac:dyDescent="0.25">
      <c r="G40" s="91">
        <v>1</v>
      </c>
      <c r="H40" s="132">
        <f>L39*J40+L40*J39</f>
        <v>5.6882085594846525E-2</v>
      </c>
      <c r="I40" s="93">
        <v>1</v>
      </c>
      <c r="J40" s="86">
        <f t="shared" si="37"/>
        <v>8.5959478962535543E-2</v>
      </c>
      <c r="K40" s="95">
        <v>1</v>
      </c>
      <c r="L40" s="86">
        <f>AD20</f>
        <v>0.328093251929509</v>
      </c>
      <c r="M40" s="85">
        <v>1</v>
      </c>
      <c r="N40" s="71">
        <f>(($C$24)^M26)*((1-($C$24))^($B$21-M26))*HLOOKUP($B$21,$AV$24:$BF$34,M26+1)</f>
        <v>0.12650886662888206</v>
      </c>
      <c r="O40" s="72">
        <v>1</v>
      </c>
      <c r="P40" s="71">
        <f t="shared" ref="P40:P44" si="40">N40</f>
        <v>0.12650886662888206</v>
      </c>
      <c r="Q40" s="28">
        <v>1</v>
      </c>
      <c r="R40" s="37">
        <f>P40*N39+P39*N40</f>
        <v>5.6025410135830062E-3</v>
      </c>
      <c r="S40" s="72">
        <v>1</v>
      </c>
      <c r="T40" s="135">
        <f t="shared" ref="T40:T49" si="41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5.5515342224545126E-3</v>
      </c>
      <c r="W40" s="137"/>
      <c r="X40" s="28">
        <v>1</v>
      </c>
      <c r="Y40" s="73"/>
      <c r="Z40" s="28">
        <v>1</v>
      </c>
      <c r="AA40" s="79">
        <f>(1-((1-W39)^Z40))*V40</f>
        <v>3.4736077052194845E-3</v>
      </c>
      <c r="AB40" s="28">
        <v>1</v>
      </c>
      <c r="AC40" s="79">
        <f>((($W$39)^M40)*((1-($W$39))^($U$27-M40))*HLOOKUP($U$27,$AV$24:$BF$34,M40+1))*V41</f>
        <v>1.3385164527626879E-2</v>
      </c>
      <c r="AD40" s="28">
        <v>1</v>
      </c>
      <c r="AE40" s="79">
        <f>((($W$39)^M40)*((1-($W$39))^($U$28-M40))*HLOOKUP($U$28,$AV$24:$BF$34,M40+1))*V42</f>
        <v>2.2929802505878644E-2</v>
      </c>
      <c r="AF40" s="28">
        <v>1</v>
      </c>
      <c r="AG40" s="79">
        <f>((($W$39)^M40)*((1-($W$39))^($U$29-M40))*HLOOKUP($U$29,$AV$24:$BF$34,M40+1))*V43</f>
        <v>2.2922366279501939E-2</v>
      </c>
      <c r="AH40" s="28">
        <v>1</v>
      </c>
      <c r="AI40" s="79">
        <f>((($W$39)^M40)*((1-($W$39))^($U$30-M40))*HLOOKUP($U$30,$AV$24:$BF$34,M40+1))*V44</f>
        <v>1.4739447948044321E-2</v>
      </c>
      <c r="AJ40" s="28">
        <v>1</v>
      </c>
      <c r="AK40" s="79">
        <f>((($W$39)^M40)*((1-($W$39))^($U$31-M40))*HLOOKUP($U$31,$AV$24:$BF$34,M40+1))*V45</f>
        <v>6.324231990345484E-3</v>
      </c>
      <c r="AL40" s="28">
        <v>1</v>
      </c>
      <c r="AM40" s="79">
        <f>((($W$39)^Q40)*((1-($W$39))^($U$32-Q40))*HLOOKUP($U$32,$AV$24:$BF$34,Q40+1))*V46</f>
        <v>1.8118975550224375E-3</v>
      </c>
      <c r="AN40" s="28">
        <v>1</v>
      </c>
      <c r="AO40" s="79">
        <f>((($W$39)^Q40)*((1-($W$39))^($U$33-Q40))*HLOOKUP($U$33,$AV$24:$BF$34,Q40+1))*V47</f>
        <v>3.3477008023028565E-4</v>
      </c>
      <c r="AP40" s="28">
        <v>1</v>
      </c>
      <c r="AQ40" s="79">
        <f>((($W$39)^Q40)*((1-($W$39))^($U$34-Q40))*HLOOKUP($U$34,$AV$24:$BF$34,Q40+1))*V48</f>
        <v>3.6363738485967538E-5</v>
      </c>
      <c r="AR40" s="28">
        <v>1</v>
      </c>
      <c r="AS40" s="79">
        <f>((($W$39)^Q40)*((1-($W$39))^($U$35-Q40))*HLOOKUP($U$35,$AV$24:$BF$34,Q40+1))*V49</f>
        <v>1.8266321801113142E-6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4.2453318253657894E-3</v>
      </c>
      <c r="BP40">
        <f t="shared" si="38"/>
        <v>9</v>
      </c>
      <c r="BQ40">
        <v>1</v>
      </c>
      <c r="BR40" s="107">
        <f t="shared" si="39"/>
        <v>1.6865389810582654E-6</v>
      </c>
    </row>
    <row r="41" spans="1:70" x14ac:dyDescent="0.25">
      <c r="G41" s="91">
        <v>2</v>
      </c>
      <c r="H41" s="132">
        <f>L39*J41+J40*L40+J39*L41</f>
        <v>0.1450497758771653</v>
      </c>
      <c r="I41" s="93">
        <v>2</v>
      </c>
      <c r="J41" s="86">
        <f t="shared" si="37"/>
        <v>0.19400813976535333</v>
      </c>
      <c r="K41" s="95">
        <v>2</v>
      </c>
      <c r="L41" s="86">
        <f>AE20</f>
        <v>6.7694309618338097E-2</v>
      </c>
      <c r="M41" s="85">
        <v>2</v>
      </c>
      <c r="N41" s="71">
        <f>(($C$24)^M27)*((1-($C$24))^($B$21-M27))*HLOOKUP($B$21,$AV$24:$BF$34,M27+1)</f>
        <v>0.28911314461965615</v>
      </c>
      <c r="O41" s="72">
        <v>2</v>
      </c>
      <c r="P41" s="71">
        <f t="shared" si="40"/>
        <v>0.28911314461965615</v>
      </c>
      <c r="Q41" s="28">
        <v>2</v>
      </c>
      <c r="R41" s="37">
        <f>P41*N39+P40*N40+P39*N41</f>
        <v>2.8808088004303685E-2</v>
      </c>
      <c r="S41" s="72">
        <v>2</v>
      </c>
      <c r="T41" s="135">
        <f t="shared" si="41"/>
        <v>2.5000000000000001E-5</v>
      </c>
      <c r="U41" s="93">
        <v>2</v>
      </c>
      <c r="V41" s="86">
        <f>R41*T39+T40*R40+R39*T41</f>
        <v>2.8576484867223001E-2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1.1187789908149179E-2</v>
      </c>
      <c r="AD41" s="28">
        <v>2</v>
      </c>
      <c r="AE41" s="79">
        <f>((($W$39)^M41)*((1-($W$39))^($U$28-M41))*HLOOKUP($U$28,$AV$24:$BF$34,M41+1))*V42</f>
        <v>3.8331066090616817E-2</v>
      </c>
      <c r="AF41" s="28">
        <v>2</v>
      </c>
      <c r="AG41" s="79">
        <f>((($W$39)^M41)*((1-($W$39))^($U$29-M41))*HLOOKUP($U$29,$AV$24:$BF$34,M41+1))*V43</f>
        <v>5.7477952759579162E-2</v>
      </c>
      <c r="AH41" s="28">
        <v>2</v>
      </c>
      <c r="AI41" s="79">
        <f>((($W$39)^M41)*((1-($W$39))^($U$30-M41))*HLOOKUP($U$30,$AV$24:$BF$34,M41+1))*V44</f>
        <v>4.9278989933807457E-2</v>
      </c>
      <c r="AJ41" s="28">
        <v>2</v>
      </c>
      <c r="AK41" s="79">
        <f>((($W$39)^M41)*((1-($W$39))^($U$31-M41))*HLOOKUP($U$31,$AV$24:$BF$34,M41+1))*V45</f>
        <v>2.6430074390324198E-2</v>
      </c>
      <c r="AL41" s="28">
        <v>2</v>
      </c>
      <c r="AM41" s="79">
        <f>((($W$39)^Q41)*((1-($W$39))^($U$32-Q41))*HLOOKUP($U$32,$AV$24:$BF$34,Q41+1))*V46</f>
        <v>9.0866851007355524E-3</v>
      </c>
      <c r="AN41" s="28">
        <v>2</v>
      </c>
      <c r="AO41" s="79">
        <f>((($W$39)^Q41)*((1-($W$39))^($U$33-Q41))*HLOOKUP($U$33,$AV$24:$BF$34,Q41+1))*V47</f>
        <v>1.958688010292464E-3</v>
      </c>
      <c r="AP41" s="28">
        <v>2</v>
      </c>
      <c r="AQ41" s="79">
        <f>((($W$39)^Q41)*((1-($W$39))^($U$34-Q41))*HLOOKUP($U$34,$AV$24:$BF$34,Q41+1))*V48</f>
        <v>2.4315270275008711E-4</v>
      </c>
      <c r="AR41" s="28">
        <v>2</v>
      </c>
      <c r="AS41" s="79">
        <f>((($W$39)^Q41)*((1-($W$39))^($U$35-Q41))*HLOOKUP($U$35,$AV$24:$BF$34,Q41+1))*V49</f>
        <v>1.3740869098420998E-5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1.3098532905337411E-3</v>
      </c>
      <c r="BP41">
        <f t="shared" si="38"/>
        <v>9</v>
      </c>
      <c r="BQ41">
        <v>2</v>
      </c>
      <c r="BR41" s="107">
        <f t="shared" si="39"/>
        <v>4.3006879697246477E-6</v>
      </c>
    </row>
    <row r="42" spans="1:70" ht="15" customHeight="1" x14ac:dyDescent="0.25">
      <c r="G42" s="91">
        <v>3</v>
      </c>
      <c r="H42" s="132">
        <f>J42*L39+J41*L40+L42*J39+L41*J40</f>
        <v>0.22439304558589268</v>
      </c>
      <c r="I42" s="93">
        <v>3</v>
      </c>
      <c r="J42" s="86">
        <f t="shared" si="37"/>
        <v>0.25957793537814089</v>
      </c>
      <c r="K42" s="95">
        <v>3</v>
      </c>
      <c r="L42" s="86">
        <f>AF20</f>
        <v>7.9151342357261095E-3</v>
      </c>
      <c r="M42" s="85">
        <v>3</v>
      </c>
      <c r="N42" s="71">
        <f>(($C$24)^M28)*((1-($C$24))^($B$21-M28))*HLOOKUP($B$21,$AV$24:$BF$34,M28+1)</f>
        <v>0.33035791331950554</v>
      </c>
      <c r="O42" s="72">
        <v>3</v>
      </c>
      <c r="P42" s="71">
        <f t="shared" si="40"/>
        <v>0.33035791331950554</v>
      </c>
      <c r="Q42" s="28">
        <v>3</v>
      </c>
      <c r="R42" s="37">
        <f>P42*N39+P41*N40+P40*N41+P39*N42</f>
        <v>8.7780903008027447E-2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8.7192069039690526E-2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2.13589661644716E-2</v>
      </c>
      <c r="AF42" s="28">
        <v>3</v>
      </c>
      <c r="AG42" s="79">
        <f>((($W$39)^M42)*((1-($W$39))^($U$29-M42))*HLOOKUP($U$29,$AV$24:$BF$34,M42+1))*V43</f>
        <v>6.405611809975062E-2</v>
      </c>
      <c r="AH42" s="28">
        <v>3</v>
      </c>
      <c r="AI42" s="79">
        <f>((($W$39)^M42)*((1-($W$39))^($U$30-M42))*HLOOKUP($U$30,$AV$24:$BF$34,M42+1))*V44</f>
        <v>8.2378215841472785E-2</v>
      </c>
      <c r="AJ42" s="28">
        <v>3</v>
      </c>
      <c r="AK42" s="79">
        <f>((($W$39)^M42)*((1-($W$39))^($U$31-M42))*HLOOKUP($U$31,$AV$24:$BF$34,M42+1))*V45</f>
        <v>5.8909821427126162E-2</v>
      </c>
      <c r="AL42" s="28">
        <v>3</v>
      </c>
      <c r="AM42" s="79">
        <f>((($W$39)^Q42)*((1-($W$39))^($U$32-Q42))*HLOOKUP($U$32,$AV$24:$BF$34,Q42+1))*V46</f>
        <v>2.5316566874894315E-2</v>
      </c>
      <c r="AN42" s="28">
        <v>3</v>
      </c>
      <c r="AO42" s="79">
        <f>((($W$39)^Q42)*((1-($W$39))^($U$33-Q42))*HLOOKUP($U$33,$AV$24:$BF$34,Q42+1))*V47</f>
        <v>6.5485605080262575E-3</v>
      </c>
      <c r="AP42" s="28">
        <v>3</v>
      </c>
      <c r="AQ42" s="79">
        <f>((($W$39)^Q42)*((1-($W$39))^($U$34-Q42))*HLOOKUP($U$34,$AV$24:$BF$34,Q42+1))*V48</f>
        <v>9.4843259433297718E-4</v>
      </c>
      <c r="AR42" s="28">
        <v>3</v>
      </c>
      <c r="AS42" s="79">
        <f>((($W$39)^Q42)*((1-($W$39))^($U$35-Q42))*HLOOKUP($U$35,$AV$24:$BF$34,Q42+1))*V49</f>
        <v>6.1253868066132828E-5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3.0072376118097261E-4</v>
      </c>
      <c r="BP42">
        <f t="shared" si="38"/>
        <v>9</v>
      </c>
      <c r="BQ42">
        <v>3</v>
      </c>
      <c r="BR42" s="107">
        <f t="shared" si="39"/>
        <v>6.6531951932029617E-6</v>
      </c>
    </row>
    <row r="43" spans="1:70" ht="15" customHeight="1" x14ac:dyDescent="0.25">
      <c r="G43" s="91">
        <v>4</v>
      </c>
      <c r="H43" s="132">
        <f>J43*L39+J42*L40+J41*L41+J40*L42</f>
        <v>0.23496216570906023</v>
      </c>
      <c r="I43" s="93">
        <v>4</v>
      </c>
      <c r="J43" s="86">
        <f t="shared" si="37"/>
        <v>0.22804525176214402</v>
      </c>
      <c r="K43" s="95">
        <v>4</v>
      </c>
      <c r="L43" s="86"/>
      <c r="M43" s="85">
        <v>4</v>
      </c>
      <c r="N43" s="71">
        <f>(($C$24)^M29)*((1-($C$24))^($B$21-M29))*HLOOKUP($B$21,$AV$24:$BF$34,M29+1)</f>
        <v>0.18874332233560787</v>
      </c>
      <c r="O43" s="72">
        <v>4</v>
      </c>
      <c r="P43" s="71">
        <f t="shared" si="40"/>
        <v>0.18874332233560787</v>
      </c>
      <c r="Q43" s="28">
        <v>4</v>
      </c>
      <c r="R43" s="37">
        <f>P43*N39+P42*N40+P41*N41+P40*N42+P39*N43</f>
        <v>0.17553146182291901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0.17465467567836537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2.6770174925846043E-2</v>
      </c>
      <c r="AH43" s="28">
        <v>4</v>
      </c>
      <c r="AI43" s="79">
        <f>((($W$39)^M43)*((1-($W$39))^($U$30-M43))*HLOOKUP($U$30,$AV$24:$BF$34,M43+1))*V44</f>
        <v>6.8854601670403554E-2</v>
      </c>
      <c r="AJ43" s="28">
        <v>4</v>
      </c>
      <c r="AK43" s="79">
        <f>((($W$39)^M43)*((1-($W$39))^($U$31-M43))*HLOOKUP($U$31,$AV$24:$BF$34,M43+1))*V45</f>
        <v>7.3858341930682511E-2</v>
      </c>
      <c r="AL43" s="28">
        <v>4</v>
      </c>
      <c r="AM43" s="79">
        <f>((($W$39)^Q43)*((1-($W$39))^($U$32-Q43))*HLOOKUP($U$32,$AV$24:$BF$34,Q43+1))*V46</f>
        <v>4.2320948809755551E-2</v>
      </c>
      <c r="AN43" s="28">
        <v>4</v>
      </c>
      <c r="AO43" s="79">
        <f>((($W$39)^Q43)*((1-($W$39))^($U$33-Q43))*HLOOKUP($U$33,$AV$24:$BF$34,Q43+1))*V47</f>
        <v>1.3683791299947087E-2</v>
      </c>
      <c r="AP43" s="28">
        <v>4</v>
      </c>
      <c r="AQ43" s="79">
        <f>((($W$39)^Q43)*((1-($W$39))^($U$34-Q43))*HLOOKUP($U$34,$AV$24:$BF$34,Q43+1))*V48</f>
        <v>2.3781996669979249E-3</v>
      </c>
      <c r="AR43" s="28">
        <v>4</v>
      </c>
      <c r="AS43" s="79">
        <f>((($W$39)^Q43)*((1-($W$39))^($U$35-Q43))*HLOOKUP($U$35,$AV$24:$BF$34,Q43+1))*V49</f>
        <v>1.7919345851134523E-4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5.0333672384993645E-5</v>
      </c>
      <c r="BP43">
        <f t="shared" si="38"/>
        <v>9</v>
      </c>
      <c r="BQ43">
        <v>4</v>
      </c>
      <c r="BR43" s="107">
        <f t="shared" si="39"/>
        <v>6.9665668443441138E-6</v>
      </c>
    </row>
    <row r="44" spans="1:70" ht="15" customHeight="1" thickBot="1" x14ac:dyDescent="0.3">
      <c r="G44" s="91">
        <v>5</v>
      </c>
      <c r="H44" s="132">
        <f>J44*L39+J43*L40+J42*L41+J41*L42</f>
        <v>0.17591257793345053</v>
      </c>
      <c r="I44" s="93">
        <v>5</v>
      </c>
      <c r="J44" s="86">
        <f t="shared" si="37"/>
        <v>0.13749000627600602</v>
      </c>
      <c r="K44" s="95">
        <v>5</v>
      </c>
      <c r="L44" s="86"/>
      <c r="M44" s="85">
        <v>5</v>
      </c>
      <c r="N44" s="71">
        <f>(($C$24)^M30)*((1-($C$24))^($B$21-M30))*HLOOKUP($B$21,$AV$24:$BF$34,M30+1)</f>
        <v>4.3133874249689168E-2</v>
      </c>
      <c r="O44" s="72">
        <v>5</v>
      </c>
      <c r="P44" s="71">
        <f t="shared" si="40"/>
        <v>4.3133874249689168E-2</v>
      </c>
      <c r="Q44" s="28">
        <v>5</v>
      </c>
      <c r="R44" s="37">
        <f>P44*N39+P43*N40+P42*N41+P41*N42+P40*N43+P39*N44</f>
        <v>0.24068725422787091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0.24003513143466115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2.3020436278024539E-2</v>
      </c>
      <c r="AJ44" s="28">
        <v>5</v>
      </c>
      <c r="AK44" s="79">
        <f>((($W$39)^M44)*((1-($W$39))^($U$31-M44))*HLOOKUP($U$31,$AV$24:$BF$34,M44+1))*V45</f>
        <v>4.938671382211076E-2</v>
      </c>
      <c r="AL44" s="28">
        <v>5</v>
      </c>
      <c r="AM44" s="79">
        <f>((($W$39)^Q44)*((1-($W$39))^($U$32-Q44))*HLOOKUP($U$32,$AV$24:$BF$34,Q44+1))*V46</f>
        <v>4.2447999770476606E-2</v>
      </c>
      <c r="AN44" s="28">
        <v>5</v>
      </c>
      <c r="AO44" s="79">
        <f>((($W$39)^Q44)*((1-($W$39))^($U$33-Q44))*HLOOKUP($U$33,$AV$24:$BF$34,Q44+1))*V47</f>
        <v>1.8299828218895697E-2</v>
      </c>
      <c r="AP44" s="28">
        <v>5</v>
      </c>
      <c r="AQ44" s="79">
        <f>((($W$39)^Q44)*((1-($W$39))^($U$34-Q44))*HLOOKUP($U$34,$AV$24:$BF$34,Q44+1))*V48</f>
        <v>3.9755653625455096E-3</v>
      </c>
      <c r="AR44" s="28">
        <v>5</v>
      </c>
      <c r="AS44" s="79">
        <f>((($W$39)^Q44)*((1-($W$39))^($U$35-Q44))*HLOOKUP($U$35,$AV$24:$BF$34,Q44+1))*V49</f>
        <v>3.594628239529032E-4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3.64341057835768E-3</v>
      </c>
      <c r="BP44">
        <f t="shared" si="38"/>
        <v>9</v>
      </c>
      <c r="BQ44">
        <v>5</v>
      </c>
      <c r="BR44" s="107">
        <f t="shared" si="39"/>
        <v>5.2157619897483792E-6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9.6971889422779387E-2</v>
      </c>
      <c r="I45" s="93">
        <v>6</v>
      </c>
      <c r="J45" s="86">
        <f t="shared" si="37"/>
        <v>5.7639680457908189E-2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0.22918633687491768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0.22929942963070327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1.375971577476064E-2</v>
      </c>
      <c r="AL45" s="28">
        <v>6</v>
      </c>
      <c r="AM45" s="79">
        <f>((($W$39)^Q45)*((1-($W$39))^($U$32-Q45))*HLOOKUP($U$32,$AV$24:$BF$34,Q45+1))*V46</f>
        <v>2.3653017860336755E-2</v>
      </c>
      <c r="AN45" s="28">
        <v>6</v>
      </c>
      <c r="AO45" s="79">
        <f>((($W$39)^Q45)*((1-($W$39))^($U$33-Q45))*HLOOKUP($U$33,$AV$24:$BF$34,Q45+1))*V47</f>
        <v>1.5295638170577146E-2</v>
      </c>
      <c r="AP45" s="28">
        <v>6</v>
      </c>
      <c r="AQ45" s="79">
        <f>((($W$39)^Q45)*((1-($W$39))^($U$34-Q45))*HLOOKUP($U$34,$AV$24:$BF$34,Q45+1))*V48</f>
        <v>4.4305559288392018E-3</v>
      </c>
      <c r="AR45" s="28">
        <v>6</v>
      </c>
      <c r="AS45" s="79">
        <f>((($W$39)^Q45)*((1-($W$39))^($U$35-Q45))*HLOOKUP($U$35,$AV$24:$BF$34,Q45+1))*V49</f>
        <v>5.0075272339444084E-4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1.5000911760405591E-3</v>
      </c>
      <c r="BP45">
        <f t="shared" si="38"/>
        <v>9</v>
      </c>
      <c r="BQ45">
        <v>6</v>
      </c>
      <c r="BR45" s="107">
        <f t="shared" si="39"/>
        <v>2.8751911936436867E-6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3.9925962918146707E-2</v>
      </c>
      <c r="I46" s="93">
        <v>7</v>
      </c>
      <c r="J46" s="86">
        <f t="shared" si="37"/>
        <v>1.6606603472329638E-2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0.14964684028747735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0.15044053428887089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5.6485776573003401E-3</v>
      </c>
      <c r="AN46" s="28">
        <v>7</v>
      </c>
      <c r="AO46" s="79">
        <f>((($W$39)^Q46)*((1-($W$39))^($U$33-Q46))*HLOOKUP($U$33,$AV$24:$BF$34,Q46+1))*V47</f>
        <v>7.3055033006466626E-3</v>
      </c>
      <c r="AP46" s="28">
        <v>7</v>
      </c>
      <c r="AQ46" s="79">
        <f>((($W$39)^Q46)*((1-($W$39))^($U$34-Q46))*HLOOKUP($U$34,$AV$24:$BF$34,Q46+1))*V48</f>
        <v>3.1741834437575269E-3</v>
      </c>
      <c r="AR46" s="28">
        <v>7</v>
      </c>
      <c r="AS46" s="79">
        <f>((($W$39)^Q46)*((1-($W$39))^($U$35-Q46))*HLOOKUP($U$35,$AV$24:$BF$34,Q46+1))*V49</f>
        <v>4.7833907062510715E-4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4.6283763999250036E-4</v>
      </c>
      <c r="BP46">
        <f t="shared" si="38"/>
        <v>9</v>
      </c>
      <c r="BQ46">
        <v>7</v>
      </c>
      <c r="BR46" s="107">
        <f t="shared" si="39"/>
        <v>1.1837943724032842E-6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1.2318743518136305E-2</v>
      </c>
      <c r="I47" s="93">
        <v>8</v>
      </c>
      <c r="J47" s="86">
        <f t="shared" si="37"/>
        <v>3.1529553079252112E-3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6.4123275107309696E-2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6.4978361157396552E-2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1.5265489627010209E-3</v>
      </c>
      <c r="AP47" s="28">
        <v>8</v>
      </c>
      <c r="AQ47" s="79">
        <f>((($W$39)^Q47)*((1-($W$39))^($U$34-Q47))*HLOOKUP($U$34,$AV$24:$BF$34,Q47+1))*V48</f>
        <v>1.3265469178726926E-3</v>
      </c>
      <c r="AR47" s="28">
        <v>8</v>
      </c>
      <c r="AS47" s="79">
        <f>((($W$39)^Q47)*((1-($W$39))^($U$35-Q47))*HLOOKUP($U$35,$AV$24:$BF$34,Q47+1))*V49</f>
        <v>2.9985942735149748E-4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1.0626096595745759E-4</v>
      </c>
      <c r="BP47">
        <f>BL12+1</f>
        <v>9</v>
      </c>
      <c r="BQ47">
        <v>8</v>
      </c>
      <c r="BR47" s="107">
        <f t="shared" si="39"/>
        <v>3.6524752782408544E-7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2.8282090143760645E-3</v>
      </c>
      <c r="I48" s="93">
        <v>9</v>
      </c>
      <c r="J48" s="86">
        <f t="shared" si="37"/>
        <v>3.5778677416171495E-4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1.6282461462185316E-2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1.6761811667424936E-2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2.4639431862260696E-4</v>
      </c>
      <c r="AR48" s="28">
        <v>9</v>
      </c>
      <c r="AS48" s="79">
        <f>((($W$39)^Q48)*((1-($W$39))^($U$35-Q48))*HLOOKUP($U$35,$AV$24:$BF$34,Q48+1))*V49</f>
        <v>1.1139245553910799E-4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1.7785440787291016E-5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4.7337179279366383E-4</v>
      </c>
      <c r="I49" s="94">
        <v>10</v>
      </c>
      <c r="J49" s="89">
        <f t="shared" si="37"/>
        <v>1.8621144138380488E-5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1.8605311077879983E-3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2.0245517427510684E-3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1.8621144138380488E-5</v>
      </c>
      <c r="BH49">
        <f>BP14+1</f>
        <v>6</v>
      </c>
      <c r="BI49">
        <v>0</v>
      </c>
      <c r="BJ49" s="107">
        <f>$H$31*H39</f>
        <v>9.9811409538500358E-5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3.8982727229034487E-4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1.2027717887642498E-4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2.7613936520491133E-5</v>
      </c>
    </row>
    <row r="53" spans="1:62" x14ac:dyDescent="0.25">
      <c r="BH53">
        <f>BH48+1</f>
        <v>6</v>
      </c>
      <c r="BI53">
        <v>10</v>
      </c>
      <c r="BJ53" s="107">
        <f>$H$31*H49</f>
        <v>4.6218856422388827E-6</v>
      </c>
    </row>
    <row r="54" spans="1:62" x14ac:dyDescent="0.25">
      <c r="BH54">
        <f>BH51+1</f>
        <v>7</v>
      </c>
      <c r="BI54">
        <v>8</v>
      </c>
      <c r="BJ54" s="107">
        <f>$H$32*H47</f>
        <v>2.3319116112490436E-5</v>
      </c>
    </row>
    <row r="55" spans="1:62" x14ac:dyDescent="0.25">
      <c r="BH55">
        <f>BH52+1</f>
        <v>7</v>
      </c>
      <c r="BI55">
        <v>9</v>
      </c>
      <c r="BJ55" s="107">
        <f>$H$32*H48</f>
        <v>5.3537387396312413E-6</v>
      </c>
    </row>
    <row r="56" spans="1:62" x14ac:dyDescent="0.25">
      <c r="BH56">
        <f>BH53+1</f>
        <v>7</v>
      </c>
      <c r="BI56">
        <v>10</v>
      </c>
      <c r="BJ56" s="107">
        <f>$H$32*H49</f>
        <v>8.9608260649972804E-7</v>
      </c>
    </row>
    <row r="57" spans="1:62" x14ac:dyDescent="0.25">
      <c r="BH57">
        <f>BH55+1</f>
        <v>8</v>
      </c>
      <c r="BI57">
        <v>9</v>
      </c>
      <c r="BJ57" s="107">
        <f>$H$33*H48</f>
        <v>7.770545819865788E-7</v>
      </c>
    </row>
    <row r="58" spans="1:62" x14ac:dyDescent="0.25">
      <c r="BH58">
        <f>BH56+1</f>
        <v>8</v>
      </c>
      <c r="BI58">
        <v>10</v>
      </c>
      <c r="BJ58" s="107">
        <f>$H$33*H49</f>
        <v>1.3005959556163377E-7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1.4035350018042955E-8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tabSelected="1" zoomScale="80" zoomScaleNormal="80" workbookViewId="0">
      <selection activeCell="AK18" sqref="AK1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7" t="s">
        <v>142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7"/>
      <c r="Q1" s="217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07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2</v>
      </c>
      <c r="L2" s="13"/>
      <c r="M2" s="163"/>
      <c r="O2" t="s">
        <v>147</v>
      </c>
      <c r="P2" s="214">
        <v>0.45</v>
      </c>
      <c r="R2" s="153"/>
      <c r="S2" s="153"/>
      <c r="Y2" t="s">
        <v>147</v>
      </c>
      <c r="Z2" s="215">
        <v>0.45</v>
      </c>
      <c r="AI2" s="13"/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4">
        <v>0.56999999999999995</v>
      </c>
      <c r="Q3" t="s">
        <v>133</v>
      </c>
      <c r="R3" s="214">
        <v>0.7</v>
      </c>
      <c r="Y3" t="s">
        <v>132</v>
      </c>
      <c r="Z3" s="215">
        <v>0.56999999999999995</v>
      </c>
      <c r="AA3" t="s">
        <v>133</v>
      </c>
      <c r="AB3" s="215">
        <v>0.7</v>
      </c>
      <c r="AI3" s="210">
        <f>SUM(AI5:AI19)</f>
        <v>3.6836999999999995</v>
      </c>
      <c r="AM3" s="210">
        <f>SUM(AM5:AM19)</f>
        <v>3.6837000000000009</v>
      </c>
      <c r="AN3" s="210">
        <f>SUM(AN5:AN19)</f>
        <v>3.0750000000000006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7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160</v>
      </c>
      <c r="AH4" s="8" t="s">
        <v>162</v>
      </c>
      <c r="AI4" s="207" t="s">
        <v>159</v>
      </c>
      <c r="AK4" s="9" t="s">
        <v>160</v>
      </c>
      <c r="AL4" s="9" t="s">
        <v>162</v>
      </c>
      <c r="AM4" s="13" t="s">
        <v>158</v>
      </c>
      <c r="AO4" t="s">
        <v>161</v>
      </c>
      <c r="BH4">
        <v>0</v>
      </c>
      <c r="BI4">
        <v>1</v>
      </c>
      <c r="BJ4" s="107">
        <f t="shared" ref="BJ4:BJ13" si="0">$H$25*H40</f>
        <v>5.531666219575221E-3</v>
      </c>
      <c r="BL4">
        <v>0</v>
      </c>
      <c r="BM4">
        <v>0</v>
      </c>
      <c r="BN4" s="107">
        <f>H25*H39</f>
        <v>1.0038906950242926E-3</v>
      </c>
      <c r="BP4">
        <v>1</v>
      </c>
      <c r="BQ4">
        <v>0</v>
      </c>
      <c r="BR4" s="107">
        <f>$H$26*H39</f>
        <v>2.6362188010995765E-3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/>
      <c r="L5" s="10"/>
      <c r="M5" s="10"/>
      <c r="O5" s="67">
        <f>AG5*AI5*AO5*AH5</f>
        <v>9.4458453658536584E-2</v>
      </c>
      <c r="P5" s="212">
        <f>P3</f>
        <v>0.56999999999999995</v>
      </c>
      <c r="Q5" s="216">
        <f>P5*O5</f>
        <v>5.3841318585365845E-2</v>
      </c>
      <c r="R5" s="157">
        <f>IF($B$17="JC",IF($C$17="JC",$W$1,$V$1*1.1),IF($C$17="JC",$V$1/0.9,$U$1))*Q5/1.5</f>
        <v>5.3841318585365845E-2</v>
      </c>
      <c r="S5" s="176">
        <f>(1-R5)</f>
        <v>0.94615868141463411</v>
      </c>
      <c r="T5" s="177">
        <f>R5*PRODUCT(S6:S19)</f>
        <v>4.5716966134316896E-2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7.5999691276662038E-3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1</v>
      </c>
      <c r="AH5">
        <f>COUNTIF(F5:F10,"IMP")</f>
        <v>1</v>
      </c>
      <c r="AI5" s="209">
        <f>AN5*$AM$3/$AN$3</f>
        <v>0.56675072195121956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10">
        <v>0.47310000000000002</v>
      </c>
      <c r="AN5" s="211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1.3945759632985603E-2</v>
      </c>
      <c r="BL5">
        <v>1</v>
      </c>
      <c r="BM5">
        <v>1</v>
      </c>
      <c r="BN5" s="107">
        <f>$H$26*H40</f>
        <v>1.4526165609193877E-2</v>
      </c>
      <c r="BP5">
        <f>BP4+1</f>
        <v>2</v>
      </c>
      <c r="BQ5">
        <v>0</v>
      </c>
      <c r="BR5" s="107">
        <f>$H$27*H39</f>
        <v>3.1676723012723034E-3</v>
      </c>
    </row>
    <row r="6" spans="1:70" x14ac:dyDescent="0.25">
      <c r="A6" s="2" t="s">
        <v>1</v>
      </c>
      <c r="B6" s="168">
        <v>10.25</v>
      </c>
      <c r="C6" s="169">
        <v>10.75</v>
      </c>
      <c r="E6" s="192" t="s">
        <v>17</v>
      </c>
      <c r="F6" s="167" t="s">
        <v>146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0</v>
      </c>
      <c r="P6" s="212">
        <f>P3</f>
        <v>0.56999999999999995</v>
      </c>
      <c r="Q6" s="216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6.2188642682926835E-2</v>
      </c>
      <c r="Z6" s="69">
        <f>Z3</f>
        <v>0.56999999999999995</v>
      </c>
      <c r="AA6" s="69">
        <f t="shared" ref="AA6:AA19" si="6">Z6*Y6</f>
        <v>3.5447526329268293E-2</v>
      </c>
      <c r="AB6" s="157">
        <f t="shared" ref="AB6:AB19" si="7">IF($B$17="JC",IF($C$17="JC",$W$1,$V$1/0.9),IF($C$17="JC",$V$1*1.1,$U$1))*AA6/1.5</f>
        <v>3.5447526329268293E-2</v>
      </c>
      <c r="AC6" s="176">
        <f t="shared" ref="AC6:AC19" si="8">(1-AB6)</f>
        <v>0.96455247367073171</v>
      </c>
      <c r="AD6" s="177">
        <f>AB6*AC5*PRODUCT(AC7:AC19)</f>
        <v>2.3084022230361885E-2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1.0604208096359693E-2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9">
        <f t="shared" ref="AI6:AI19" si="9">AN6*$AM$3/$AN$3</f>
        <v>0.49750914146341468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10">
        <v>0.4153</v>
      </c>
      <c r="AN6" s="211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2.128515681611811E-2</v>
      </c>
      <c r="BL6">
        <f>BH14+1</f>
        <v>2</v>
      </c>
      <c r="BM6">
        <v>2</v>
      </c>
      <c r="BN6" s="107">
        <f>$H$27*H41</f>
        <v>4.4004388852853064E-2</v>
      </c>
      <c r="BP6">
        <f>BL5+1</f>
        <v>2</v>
      </c>
      <c r="BQ6">
        <v>1</v>
      </c>
      <c r="BR6" s="107">
        <f>$H$27*H40</f>
        <v>1.7454595356328196E-2</v>
      </c>
    </row>
    <row r="7" spans="1:70" x14ac:dyDescent="0.25">
      <c r="A7" s="5" t="s">
        <v>2</v>
      </c>
      <c r="B7" s="168">
        <v>11.75</v>
      </c>
      <c r="C7" s="169">
        <v>14.5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4.6720097560975608E-3</v>
      </c>
      <c r="P7" s="212">
        <f>P2</f>
        <v>0.45</v>
      </c>
      <c r="Q7" s="216">
        <f t="shared" si="2"/>
        <v>2.1024043902439023E-3</v>
      </c>
      <c r="R7" s="157">
        <f t="shared" si="3"/>
        <v>2.1024043902439023E-3</v>
      </c>
      <c r="S7" s="176">
        <f t="shared" si="4"/>
        <v>0.99789759560975611</v>
      </c>
      <c r="T7" s="177">
        <f>R7*PRODUCT(S5:S6)*PRODUCT(S8:S19)</f>
        <v>1.69260637350246E-3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2.7781212781311377E-4</v>
      </c>
      <c r="W7" s="187" t="s">
        <v>156</v>
      </c>
      <c r="X7" s="15" t="s">
        <v>157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1</v>
      </c>
      <c r="AH7">
        <f>COUNTIF(J14:J18,"IMP")</f>
        <v>1</v>
      </c>
      <c r="AI7" s="209">
        <f t="shared" si="9"/>
        <v>4.6720097560975608E-3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10">
        <v>3.8999999999999998E-3</v>
      </c>
      <c r="AN7" s="211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2.1930830866349605E-2</v>
      </c>
      <c r="BL7">
        <f>BH23+1</f>
        <v>3</v>
      </c>
      <c r="BM7">
        <v>3</v>
      </c>
      <c r="BN7" s="107">
        <f>$H$28*H42</f>
        <v>4.8874163311368499E-2</v>
      </c>
      <c r="BP7">
        <f>BP5+1</f>
        <v>3</v>
      </c>
      <c r="BQ7">
        <v>0</v>
      </c>
      <c r="BR7" s="107">
        <f>$H$28*H39</f>
        <v>2.3050954333691696E-3</v>
      </c>
    </row>
    <row r="8" spans="1:70" x14ac:dyDescent="0.25">
      <c r="A8" s="5" t="s">
        <v>3</v>
      </c>
      <c r="B8" s="168">
        <v>10.5</v>
      </c>
      <c r="C8" s="169">
        <v>14.25</v>
      </c>
      <c r="E8" s="192" t="s">
        <v>18</v>
      </c>
      <c r="F8" s="167" t="s">
        <v>21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2.1194521575984993E-2</v>
      </c>
      <c r="P8" s="212">
        <f>P2</f>
        <v>0.45</v>
      </c>
      <c r="Q8" s="216">
        <f t="shared" si="2"/>
        <v>9.5375347091932478E-3</v>
      </c>
      <c r="R8" s="157">
        <f t="shared" si="3"/>
        <v>9.5375347091932478E-3</v>
      </c>
      <c r="S8" s="176">
        <f t="shared" si="4"/>
        <v>0.99046246529080673</v>
      </c>
      <c r="T8" s="177">
        <f>R8*PRODUCT(S5:S7)*PRODUCT(S9:S19)</f>
        <v>7.7361307755365663E-3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1.1952582626514573E-3</v>
      </c>
      <c r="W8" s="186" t="s">
        <v>42</v>
      </c>
      <c r="X8" s="15" t="s">
        <v>43</v>
      </c>
      <c r="Y8" s="69">
        <f t="shared" si="5"/>
        <v>2.1194521575984993E-2</v>
      </c>
      <c r="Z8" s="69">
        <f>Z2</f>
        <v>0.45</v>
      </c>
      <c r="AA8" s="69">
        <f t="shared" si="6"/>
        <v>9.5375347091932478E-3</v>
      </c>
      <c r="AB8" s="157">
        <f t="shared" si="7"/>
        <v>9.5375347091932478E-3</v>
      </c>
      <c r="AC8" s="176">
        <f t="shared" si="8"/>
        <v>0.99046246529080673</v>
      </c>
      <c r="AD8" s="177">
        <f>AB8*PRODUCT(AC5:AC7)*PRODUCT(AC9:AC19)</f>
        <v>6.048525537399374E-3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2.7202940672383419E-3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9">
        <f t="shared" si="9"/>
        <v>0.55105756097560976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10">
        <v>0.46</v>
      </c>
      <c r="AN8" s="211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1.6101346060694906E-2</v>
      </c>
      <c r="BL8">
        <f>BH31+1</f>
        <v>4</v>
      </c>
      <c r="BM8">
        <v>4</v>
      </c>
      <c r="BN8" s="107">
        <f>$H$29*H43</f>
        <v>2.4753364028197528E-2</v>
      </c>
      <c r="BP8">
        <f>BP6+1</f>
        <v>3</v>
      </c>
      <c r="BQ8">
        <v>1</v>
      </c>
      <c r="BR8" s="107">
        <f>$H$28*H40</f>
        <v>1.2701600487846723E-2</v>
      </c>
    </row>
    <row r="9" spans="1:70" x14ac:dyDescent="0.25">
      <c r="A9" s="5" t="s">
        <v>4</v>
      </c>
      <c r="B9" s="168">
        <v>11.25</v>
      </c>
      <c r="C9" s="169">
        <v>16.5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2">
        <f>P2</f>
        <v>0.45</v>
      </c>
      <c r="Q9" s="216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1.3776439024390243E-2</v>
      </c>
      <c r="Z9" s="69">
        <f>Z2</f>
        <v>0.45</v>
      </c>
      <c r="AA9" s="69">
        <f t="shared" si="6"/>
        <v>6.1993975609756094E-3</v>
      </c>
      <c r="AB9" s="157">
        <f t="shared" si="7"/>
        <v>6.1993975609756094E-3</v>
      </c>
      <c r="AC9" s="176">
        <f t="shared" si="8"/>
        <v>0.99380060243902435</v>
      </c>
      <c r="AD9" s="177">
        <f>AB9*PRODUCT(AC5:AC8)*PRODUCT(AC10:AC19)</f>
        <v>3.9183357056623049E-3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1.7378090074045259E-3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9">
        <f t="shared" si="9"/>
        <v>1.3776439024390243E-2</v>
      </c>
      <c r="AK9" s="203">
        <f>IF(COUNTIF(J6:J13,"IMP")+COUNTIF(F6:F13,"IMP")=0,0,COUNTIF(F6:F13,"IMP")/(COUNTIF(J6:J13,"IMP")+COUNTIF(F6:F13,"IMP")))</f>
        <v>1</v>
      </c>
      <c r="AL9">
        <f>COUNTIF(F6:F13,"IMP")</f>
        <v>1</v>
      </c>
      <c r="AM9" s="210">
        <v>1.15E-2</v>
      </c>
      <c r="AN9" s="211">
        <f t="shared" si="10"/>
        <v>1.15E-2</v>
      </c>
      <c r="AO9">
        <v>1</v>
      </c>
      <c r="BH9">
        <v>0</v>
      </c>
      <c r="BI9">
        <v>6</v>
      </c>
      <c r="BJ9" s="107">
        <f t="shared" si="0"/>
        <v>8.6658899859473545E-3</v>
      </c>
      <c r="BL9">
        <f>BH38+1</f>
        <v>5</v>
      </c>
      <c r="BM9">
        <v>5</v>
      </c>
      <c r="BN9" s="107">
        <f>$H$30*H44</f>
        <v>6.3730039898282059E-3</v>
      </c>
      <c r="BP9">
        <f>BL6+1</f>
        <v>3</v>
      </c>
      <c r="BQ9">
        <v>2</v>
      </c>
      <c r="BR9" s="107">
        <f>$H$28*H41</f>
        <v>3.2021720097805399E-2</v>
      </c>
    </row>
    <row r="10" spans="1:70" x14ac:dyDescent="0.25">
      <c r="A10" s="6" t="s">
        <v>5</v>
      </c>
      <c r="B10" s="168">
        <v>11.5</v>
      </c>
      <c r="C10" s="169">
        <v>16.25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 t="shared" si="1"/>
        <v>3.7435975609756096E-2</v>
      </c>
      <c r="P10" s="212">
        <f>P3</f>
        <v>0.56999999999999995</v>
      </c>
      <c r="Q10" s="216">
        <f t="shared" si="2"/>
        <v>2.1338506097560973E-2</v>
      </c>
      <c r="R10" s="157">
        <f t="shared" si="3"/>
        <v>2.1338506097560977E-2</v>
      </c>
      <c r="S10" s="176">
        <f t="shared" si="4"/>
        <v>0.97866149390243906</v>
      </c>
      <c r="T10" s="177">
        <f>R10*PRODUCT(S5:S9)*PRODUCT(S11:S19)</f>
        <v>1.7516898100499018E-2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2.3244854139135617E-3</v>
      </c>
      <c r="W10" s="186" t="s">
        <v>46</v>
      </c>
      <c r="X10" s="15" t="s">
        <v>47</v>
      </c>
      <c r="Y10" s="69">
        <f t="shared" si="5"/>
        <v>3.7435975609756096E-2</v>
      </c>
      <c r="Z10" s="69">
        <f>Z3</f>
        <v>0.56999999999999995</v>
      </c>
      <c r="AA10" s="69">
        <f t="shared" si="6"/>
        <v>2.1338506097560973E-2</v>
      </c>
      <c r="AB10" s="157">
        <f t="shared" si="7"/>
        <v>2.1338506097560977E-2</v>
      </c>
      <c r="AC10" s="176">
        <f t="shared" si="8"/>
        <v>0.97866149390243906</v>
      </c>
      <c r="AD10" s="177">
        <f>AB10*PRODUCT(AC5:AC9)*PRODUCT(AC11:AC19)</f>
        <v>1.3695658536685255E-2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5.7755024272257219E-3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9">
        <f t="shared" si="9"/>
        <v>0.59897560975609754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10">
        <v>0.5</v>
      </c>
      <c r="AN10" s="211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3.4641121528331659E-3</v>
      </c>
      <c r="BL10">
        <f>BH44+1</f>
        <v>6</v>
      </c>
      <c r="BM10">
        <v>6</v>
      </c>
      <c r="BN10" s="107">
        <f>$H$31*H45</f>
        <v>8.8338087055978443E-4</v>
      </c>
      <c r="BP10">
        <f>BP7+1</f>
        <v>4</v>
      </c>
      <c r="BQ10">
        <v>0</v>
      </c>
      <c r="BR10" s="107">
        <f>$H$29*H39</f>
        <v>1.1330930401084608E-3</v>
      </c>
    </row>
    <row r="11" spans="1:70" x14ac:dyDescent="0.25">
      <c r="A11" s="6" t="s">
        <v>6</v>
      </c>
      <c r="B11" s="168">
        <v>17.5</v>
      </c>
      <c r="C11" s="169">
        <v>10.5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3.7435975609756096E-2</v>
      </c>
      <c r="P11" s="212">
        <f>P3</f>
        <v>0.56999999999999995</v>
      </c>
      <c r="Q11" s="216">
        <f t="shared" si="2"/>
        <v>2.1338506097560973E-2</v>
      </c>
      <c r="R11" s="157">
        <f t="shared" si="3"/>
        <v>2.1338506097560977E-2</v>
      </c>
      <c r="S11" s="176">
        <f t="shared" si="4"/>
        <v>0.97866149390243906</v>
      </c>
      <c r="T11" s="177">
        <f>R11*PRODUCT(S5:S10)*PRODUCT(S12:S19)</f>
        <v>1.7516898100499015E-2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1.9425510686300082E-3</v>
      </c>
      <c r="W11" s="186" t="s">
        <v>48</v>
      </c>
      <c r="X11" s="15" t="s">
        <v>49</v>
      </c>
      <c r="Y11" s="69">
        <f t="shared" si="5"/>
        <v>3.7435975609756096E-2</v>
      </c>
      <c r="Z11" s="69">
        <f>Z3</f>
        <v>0.56999999999999995</v>
      </c>
      <c r="AA11" s="69">
        <f t="shared" si="6"/>
        <v>2.1338506097560973E-2</v>
      </c>
      <c r="AB11" s="157">
        <f t="shared" si="7"/>
        <v>2.1338506097560977E-2</v>
      </c>
      <c r="AC11" s="176">
        <f t="shared" si="8"/>
        <v>0.97866149390243906</v>
      </c>
      <c r="AD11" s="177">
        <f>AB11*PRODUCT(AC5:AC10)*PRODUCT(AC12:AC19)</f>
        <v>1.3695658536685251E-2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5.4768854947970878E-3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9">
        <f t="shared" si="9"/>
        <v>0.59897560975609754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10">
        <v>0.5</v>
      </c>
      <c r="AN11" s="211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1.0304786422478747E-3</v>
      </c>
      <c r="BL11">
        <f>BH50+1</f>
        <v>7</v>
      </c>
      <c r="BM11">
        <v>7</v>
      </c>
      <c r="BN11" s="107">
        <f>$H$32*H46</f>
        <v>6.7739630499014566E-5</v>
      </c>
      <c r="BP11">
        <f>BP8+1</f>
        <v>4</v>
      </c>
      <c r="BQ11">
        <v>1</v>
      </c>
      <c r="BR11" s="107">
        <f>$H$29*H40</f>
        <v>6.2436005480179194E-3</v>
      </c>
    </row>
    <row r="12" spans="1:70" x14ac:dyDescent="0.25">
      <c r="A12" s="6" t="s">
        <v>7</v>
      </c>
      <c r="B12" s="168">
        <v>12</v>
      </c>
      <c r="C12" s="169">
        <v>17.5</v>
      </c>
      <c r="E12" s="192" t="s">
        <v>19</v>
      </c>
      <c r="F12" s="167"/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3.4441097560975603E-3</v>
      </c>
      <c r="P12" s="212">
        <f>P2</f>
        <v>0.45</v>
      </c>
      <c r="Q12" s="216">
        <f t="shared" si="2"/>
        <v>1.5498493902439021E-3</v>
      </c>
      <c r="R12" s="157">
        <f t="shared" si="3"/>
        <v>1.5498493902439021E-3</v>
      </c>
      <c r="S12" s="176">
        <f t="shared" si="4"/>
        <v>0.99845015060975606</v>
      </c>
      <c r="T12" s="177">
        <f>R12*PRODUCT(S5:S11)*PRODUCT(S13:S19)</f>
        <v>1.2470641751107696E-3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1.3635846314082441E-4</v>
      </c>
      <c r="W12" s="187" t="s">
        <v>50</v>
      </c>
      <c r="X12" s="15" t="s">
        <v>51</v>
      </c>
      <c r="Y12" s="69">
        <f t="shared" si="5"/>
        <v>3.4441097560975607E-3</v>
      </c>
      <c r="Z12" s="69">
        <f>Z2</f>
        <v>0.45</v>
      </c>
      <c r="AA12" s="69">
        <f t="shared" si="6"/>
        <v>1.5498493902439024E-3</v>
      </c>
      <c r="AB12" s="157">
        <f t="shared" si="7"/>
        <v>1.5498493902439024E-3</v>
      </c>
      <c r="AC12" s="176">
        <f t="shared" si="8"/>
        <v>0.99845015060975606</v>
      </c>
      <c r="AD12" s="177">
        <f>AB12*PRODUCT(AC5:AC11)*PRODUCT(AC13:AC19)</f>
        <v>9.7502223382595413E-4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3.8839731328109639E-4</v>
      </c>
      <c r="AG12" s="203">
        <f>IF(COUNTA(F6:F10)+COUNTA(J6:J10)=0,0,COUNTA(F6:F10)/(COUNTA(F6:F10)+COUNTA(J6:J10)))</f>
        <v>0.5</v>
      </c>
      <c r="AH12">
        <f>COUNTA(J6:J10)</f>
        <v>3</v>
      </c>
      <c r="AI12" s="209">
        <f t="shared" si="9"/>
        <v>1.3776439024390243E-2</v>
      </c>
      <c r="AK12" s="203">
        <f>IF(COUNTA(J6:J10)+COUNTA(F6:F10)=0,0,COUNTA(J6:J10)/(COUNTA(J6:J10)+COUNTA(F6:F10)))</f>
        <v>0.5</v>
      </c>
      <c r="AL12">
        <f>COUNTA(F6:F10)</f>
        <v>3</v>
      </c>
      <c r="AM12" s="210">
        <v>1.15E-2</v>
      </c>
      <c r="AN12" s="211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2.2621542433281025E-4</v>
      </c>
      <c r="BL12">
        <f>BH54+1</f>
        <v>8</v>
      </c>
      <c r="BM12">
        <v>8</v>
      </c>
      <c r="BN12" s="107">
        <f>$H$33*H47</f>
        <v>2.8884477779208944E-6</v>
      </c>
      <c r="BP12">
        <f>BP9+1</f>
        <v>4</v>
      </c>
      <c r="BQ12">
        <v>2</v>
      </c>
      <c r="BR12" s="107">
        <f>$H$29*H41</f>
        <v>1.5740601300004209E-2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8.6128414285714272E-2</v>
      </c>
      <c r="P13" s="212">
        <f>P3</f>
        <v>0.56999999999999995</v>
      </c>
      <c r="Q13" s="216">
        <f t="shared" si="2"/>
        <v>4.9093196142857128E-2</v>
      </c>
      <c r="R13" s="157">
        <f t="shared" si="3"/>
        <v>4.9093196142857128E-2</v>
      </c>
      <c r="S13" s="176">
        <f t="shared" si="4"/>
        <v>0.95090680385714288</v>
      </c>
      <c r="T13" s="177">
        <f>R13*PRODUCT(S5:S12)*PRODUCT(S14:S19)</f>
        <v>4.147716321323084E-2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2.39388819995428E-3</v>
      </c>
      <c r="W13" s="186" t="s">
        <v>52</v>
      </c>
      <c r="X13" s="15" t="s">
        <v>53</v>
      </c>
      <c r="Y13" s="69">
        <f t="shared" si="5"/>
        <v>9.0329800348432035E-2</v>
      </c>
      <c r="Z13" s="69">
        <f>Z3</f>
        <v>0.56999999999999995</v>
      </c>
      <c r="AA13" s="69">
        <f t="shared" si="6"/>
        <v>5.1487986198606256E-2</v>
      </c>
      <c r="AB13" s="157">
        <f t="shared" si="7"/>
        <v>5.1487986198606256E-2</v>
      </c>
      <c r="AC13" s="176">
        <f t="shared" si="8"/>
        <v>0.94851201380139372</v>
      </c>
      <c r="AD13" s="177">
        <f>AB13*PRODUCT(AC5:AC12)*PRODUCT(AC14:AC19)</f>
        <v>3.4096867290166782E-2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1.1731512433335773E-2</v>
      </c>
      <c r="AG13" s="203">
        <f>B22</f>
        <v>0.48809523809523808</v>
      </c>
      <c r="AH13">
        <v>1</v>
      </c>
      <c r="AI13" s="209">
        <f t="shared" si="9"/>
        <v>0.17645821463414632</v>
      </c>
      <c r="AK13" s="203">
        <f>C22</f>
        <v>0.51190476190476186</v>
      </c>
      <c r="AL13">
        <v>1</v>
      </c>
      <c r="AM13" s="210">
        <v>0.14729999999999999</v>
      </c>
      <c r="AN13" s="211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3.5882268141711241E-5</v>
      </c>
      <c r="BL13">
        <f>BH57+1</f>
        <v>9</v>
      </c>
      <c r="BM13">
        <v>9</v>
      </c>
      <c r="BN13" s="107">
        <f>$H$34*H48</f>
        <v>6.7448318228094827E-8</v>
      </c>
      <c r="BP13">
        <f>BL7+1</f>
        <v>4</v>
      </c>
      <c r="BQ13">
        <v>3</v>
      </c>
      <c r="BR13" s="107">
        <f>$H$29*H42</f>
        <v>2.4024590690500398E-2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</v>
      </c>
      <c r="P14" s="212">
        <f>IF(COUNTIF(F6:F18,"CAB")-COUNTIF(J6:J18,"CAB")&gt;2,0.8,IF(COUNTIF(F6:F18,"CAB")-COUNTIF(J6:J18,"CAB")&gt;0,0.6,IF(COUNTIF(F6:F18,"CAB")-COUNTIF(J6:J18,"CAB")=0,0.5,0.15)))</f>
        <v>0.15</v>
      </c>
      <c r="Q14" s="216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0.25073119024390245</v>
      </c>
      <c r="Z14" s="213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0.20058495219512196</v>
      </c>
      <c r="AB14" s="157">
        <f t="shared" si="7"/>
        <v>0.20058495219512196</v>
      </c>
      <c r="AC14" s="176">
        <f t="shared" si="8"/>
        <v>0.79941504780487804</v>
      </c>
      <c r="AD14" s="177">
        <f>AB14*PRODUCT(AC5:AC13)*PRODUCT(AC15:AC19)</f>
        <v>0.15760770300188509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1.4681090502451848E-2</v>
      </c>
      <c r="AG14" s="203">
        <f>IF(AL14=0,1,B22)</f>
        <v>0.48809523809523808</v>
      </c>
      <c r="AH14">
        <f>IF(COUNTIF(F6:F18,"CAB")&gt;0,1,0)</f>
        <v>0</v>
      </c>
      <c r="AI14" s="209">
        <f t="shared" si="9"/>
        <v>0.25073119024390245</v>
      </c>
      <c r="AK14" s="203">
        <f>IF(AH14=0,1,C22)</f>
        <v>1</v>
      </c>
      <c r="AL14">
        <f>IF(COUNTIF(J6:J18,"CAB")&gt;0,1,0)</f>
        <v>1</v>
      </c>
      <c r="AM14" s="210">
        <v>0.20930000000000001</v>
      </c>
      <c r="AN14" s="211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3.6621590300926682E-2</v>
      </c>
      <c r="BL14">
        <f>BP39+1</f>
        <v>10</v>
      </c>
      <c r="BM14">
        <v>10</v>
      </c>
      <c r="BN14" s="107">
        <f>$H$35*H49</f>
        <v>8.2781667358591977E-10</v>
      </c>
      <c r="BP14">
        <f>BP10+1</f>
        <v>5</v>
      </c>
      <c r="BQ14">
        <v>0</v>
      </c>
      <c r="BR14" s="107">
        <f>$H$30*H39</f>
        <v>3.9734562443564486E-4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2.2803857142857143E-2</v>
      </c>
      <c r="P15" s="212">
        <f>R3</f>
        <v>0.7</v>
      </c>
      <c r="Q15" s="216">
        <f t="shared" si="2"/>
        <v>1.59627E-2</v>
      </c>
      <c r="R15" s="157">
        <f t="shared" si="3"/>
        <v>1.59627E-2</v>
      </c>
      <c r="S15" s="176">
        <f t="shared" si="4"/>
        <v>0.9840373</v>
      </c>
      <c r="T15" s="177">
        <f>R15*PRODUCT(S5:S14)*PRODUCT(S16:S19)</f>
        <v>1.3032282461113497E-2</v>
      </c>
      <c r="U15" s="177">
        <f>R15*R16*PRODUCT(S5:S14)*PRODUCT(S17:S19)+R15*R17*PRODUCT(S5:S14)*S16*PRODUCT(S18:S19)+R15*R18*PRODUCT(S5:S14)*S16*S17*S19+R15*R19*PRODUCT(S5:S14)*S16*S17*S18</f>
        <v>5.4076376880364801E-4</v>
      </c>
      <c r="W15" s="186" t="s">
        <v>56</v>
      </c>
      <c r="X15" s="15" t="s">
        <v>57</v>
      </c>
      <c r="Y15" s="69">
        <f t="shared" si="5"/>
        <v>2.3916240418118465E-2</v>
      </c>
      <c r="Z15" s="69">
        <f>AB3</f>
        <v>0.7</v>
      </c>
      <c r="AA15" s="69">
        <f t="shared" si="6"/>
        <v>1.6741368292682926E-2</v>
      </c>
      <c r="AB15" s="157">
        <f t="shared" si="7"/>
        <v>1.6741368292682926E-2</v>
      </c>
      <c r="AC15" s="176">
        <f t="shared" si="8"/>
        <v>0.98325863170731709</v>
      </c>
      <c r="AD15" s="177">
        <f>AB15*PRODUCT(AC5:AC14)*PRODUCT(AC16:AC19)</f>
        <v>1.0694847399087361E-2</v>
      </c>
      <c r="AE15" s="177">
        <f>AB15*AB16*PRODUCT(AC5:AC14)*PRODUCT(AC17:AC19)+AB15*AB17*PRODUCT(AC5:AC14)*AC16*PRODUCT(AC18:AC19)+AB15*AB18*PRODUCT(AC5:AC14)*AC16*AC17*AC19+AB15*AB19*PRODUCT(AC5:AC14)*AC16*AC17*AC18</f>
        <v>8.1412558972165309E-4</v>
      </c>
      <c r="AG15" s="203">
        <f>IF(AL15=0,1,B22)</f>
        <v>0.48809523809523808</v>
      </c>
      <c r="AH15">
        <v>1</v>
      </c>
      <c r="AI15" s="209">
        <f t="shared" si="9"/>
        <v>4.6720097560975608E-2</v>
      </c>
      <c r="AK15" s="203">
        <f>IF(AH15=0,1,C22)</f>
        <v>0.51190476190476186</v>
      </c>
      <c r="AL15">
        <v>1</v>
      </c>
      <c r="AM15" s="210">
        <v>3.9E-2</v>
      </c>
      <c r="AN15" s="211">
        <f t="shared" si="10"/>
        <v>3.9E-2</v>
      </c>
      <c r="AO15">
        <v>1</v>
      </c>
      <c r="BH15">
        <v>1</v>
      </c>
      <c r="BI15">
        <v>3</v>
      </c>
      <c r="BJ15" s="107">
        <f t="shared" si="11"/>
        <v>5.5894860726491274E-2</v>
      </c>
      <c r="BP15">
        <f>BP11+1</f>
        <v>5</v>
      </c>
      <c r="BQ15">
        <v>1</v>
      </c>
      <c r="BR15" s="107">
        <f>$H$30*H40</f>
        <v>2.1894648282734519E-3</v>
      </c>
    </row>
    <row r="16" spans="1:70" x14ac:dyDescent="0.25">
      <c r="A16" s="189" t="s">
        <v>82</v>
      </c>
      <c r="B16" s="52">
        <f>AVERAGE(G5:G18)</f>
        <v>12</v>
      </c>
      <c r="C16" s="54" t="e">
        <f>AVERAGE(K5:K18)</f>
        <v>#DIV/0!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1.913299233449477E-2</v>
      </c>
      <c r="P16" s="212">
        <v>0.15</v>
      </c>
      <c r="Q16" s="216">
        <f t="shared" si="2"/>
        <v>2.8699488501742155E-3</v>
      </c>
      <c r="R16" s="157">
        <f t="shared" si="3"/>
        <v>2.8699488501742151E-3</v>
      </c>
      <c r="S16" s="176">
        <f t="shared" si="4"/>
        <v>0.99713005114982578</v>
      </c>
      <c r="T16" s="177">
        <f>R16*PRODUCT(S5:S15)*PRODUCT(S17:S19)</f>
        <v>2.3123205817494191E-3</v>
      </c>
      <c r="U16" s="177">
        <f>R16*R17*PRODUCT(S5:S15)*PRODUCT(S18:S19)+R16*R18*PRODUCT(S5:S15)*S17*S19+R16*R19*PRODUCT(S5:S15)*S17*S18</f>
        <v>8.9292485440271949E-5</v>
      </c>
      <c r="W16" s="187" t="s">
        <v>58</v>
      </c>
      <c r="X16" s="15" t="s">
        <v>59</v>
      </c>
      <c r="Y16" s="69">
        <f t="shared" si="5"/>
        <v>1.8243085714285713E-2</v>
      </c>
      <c r="Z16" s="69">
        <v>0.15</v>
      </c>
      <c r="AA16" s="69">
        <f t="shared" si="6"/>
        <v>2.736462857142857E-3</v>
      </c>
      <c r="AB16" s="157">
        <f t="shared" si="7"/>
        <v>2.736462857142857E-3</v>
      </c>
      <c r="AC16" s="176">
        <f t="shared" si="8"/>
        <v>0.99726353714285709</v>
      </c>
      <c r="AD16" s="177">
        <f>AB16*PRODUCT(AC5:AC15)*PRODUCT(AC17:AC19)</f>
        <v>1.7235783359425458E-3</v>
      </c>
      <c r="AE16" s="177">
        <f>AB16*AB17*PRODUCT(AC5:AC15)*PRODUCT(AC18:AC19)+AB16*AB18*PRODUCT(AC5:AC15)*AC17*AC19+AB16*AB19*PRODUCT(AC5:AC15)*AC17*AC18</f>
        <v>1.264747809866103E-4</v>
      </c>
      <c r="AG16" s="203">
        <f>C22</f>
        <v>0.51190476190476186</v>
      </c>
      <c r="AH16">
        <v>1</v>
      </c>
      <c r="AI16" s="209">
        <f t="shared" si="9"/>
        <v>3.7376078048780487E-2</v>
      </c>
      <c r="AK16" s="203">
        <f>B22</f>
        <v>0.48809523809523808</v>
      </c>
      <c r="AL16">
        <v>1</v>
      </c>
      <c r="AM16" s="210">
        <v>3.1199999999999999E-2</v>
      </c>
      <c r="AN16" s="211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5.7590401963240348E-2</v>
      </c>
      <c r="BP16">
        <f>BP12+1</f>
        <v>5</v>
      </c>
      <c r="BQ16">
        <v>2</v>
      </c>
      <c r="BR16" s="107">
        <f>$H$30*H41</f>
        <v>5.5198106696904715E-3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 t="shared" si="1"/>
        <v>6.5228443902439023E-2</v>
      </c>
      <c r="P17" s="212">
        <f>P3</f>
        <v>0.56999999999999995</v>
      </c>
      <c r="Q17" s="216">
        <f t="shared" si="2"/>
        <v>3.7180213024390243E-2</v>
      </c>
      <c r="R17" s="157">
        <f t="shared" si="3"/>
        <v>3.7180213024390243E-2</v>
      </c>
      <c r="S17" s="176">
        <f t="shared" si="4"/>
        <v>0.96281978697560977</v>
      </c>
      <c r="T17" s="177">
        <f>R17*PRODUCT(S5:S16)*PRODUCT(S18:S19)</f>
        <v>3.1023626281335526E-2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6.5228443902439023E-2</v>
      </c>
      <c r="Z17" s="69">
        <f>Z3</f>
        <v>0.56999999999999995</v>
      </c>
      <c r="AA17" s="69">
        <f t="shared" si="6"/>
        <v>3.7180213024390243E-2</v>
      </c>
      <c r="AB17" s="157">
        <f t="shared" si="7"/>
        <v>3.7180213024390243E-2</v>
      </c>
      <c r="AC17" s="176">
        <f t="shared" si="8"/>
        <v>0.96281978697560977</v>
      </c>
      <c r="AD17" s="177">
        <f>AB17*PRODUCT(AC5:AC16)*PRODUCT(AC18:AC19)</f>
        <v>2.4255949294287531E-2</v>
      </c>
      <c r="AE17" s="177">
        <f>AB17*AB18*PRODUCT(AC5:AC16)*AC19+AB17*AB19*PRODUCT(AC5:AC16)*AC18</f>
        <v>8.4321506061550548E-4</v>
      </c>
      <c r="AG17" s="203">
        <f>COUNTA(F14:F15)/(COUNTA(F14:F15)+COUNTA(J14:J15))</f>
        <v>0.5</v>
      </c>
      <c r="AH17">
        <f>COUNTA(F14:F15)</f>
        <v>2</v>
      </c>
      <c r="AI17" s="209">
        <f t="shared" si="9"/>
        <v>0.13045688780487805</v>
      </c>
      <c r="AK17" s="203">
        <f>COUNTA(J14:J15)/(COUNTA(F14:F15)+COUNTA(J14:J15))</f>
        <v>0.5</v>
      </c>
      <c r="AL17">
        <f>COUNTA(J14:J15)</f>
        <v>2</v>
      </c>
      <c r="AM17" s="210">
        <v>0.1089</v>
      </c>
      <c r="AN17" s="211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4.2282164202336159E-2</v>
      </c>
      <c r="BP17">
        <f>BP13+1</f>
        <v>5</v>
      </c>
      <c r="BQ17">
        <v>3</v>
      </c>
      <c r="BR17" s="107">
        <f>$H$30*H42</f>
        <v>8.4247856546836621E-3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2">
        <f>P17*1.2</f>
        <v>0.68399999999999994</v>
      </c>
      <c r="Q18" s="216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4.9116000000000007E-2</v>
      </c>
      <c r="Z18" s="69">
        <f>Z17*1.2</f>
        <v>0.68399999999999994</v>
      </c>
      <c r="AA18" s="69">
        <f t="shared" si="6"/>
        <v>3.3595343999999999E-2</v>
      </c>
      <c r="AB18" s="157">
        <f t="shared" si="7"/>
        <v>3.3595343999999999E-2</v>
      </c>
      <c r="AC18" s="176">
        <f t="shared" si="8"/>
        <v>0.96640465600000003</v>
      </c>
      <c r="AD18" s="177">
        <f>AB18*PRODUCT(AC5:AC17)*PRODUCT(AC19:AC19)</f>
        <v>2.1835919673291369E-2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9">
        <f t="shared" si="9"/>
        <v>0.19646400000000003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210">
        <v>0.16400000000000001</v>
      </c>
      <c r="AN18" s="211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2.2756642951713126E-2</v>
      </c>
      <c r="BP18">
        <f>BL8+1</f>
        <v>5</v>
      </c>
      <c r="BQ18">
        <v>4</v>
      </c>
      <c r="BR18" s="107">
        <f>$H$30*H43</f>
        <v>8.6803471017044623E-3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2">
        <f>P3</f>
        <v>0.56999999999999995</v>
      </c>
      <c r="Q19" s="216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9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2</v>
      </c>
      <c r="AM19" s="210">
        <v>0.60870000000000002</v>
      </c>
      <c r="AN19" s="211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9.096764848682392E-3</v>
      </c>
      <c r="BP19">
        <f>BP15+1</f>
        <v>6</v>
      </c>
      <c r="BQ19">
        <v>1</v>
      </c>
      <c r="BR19" s="107">
        <f>$H$31*H40</f>
        <v>5.6388531687092628E-4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0.80338865266348947</v>
      </c>
      <c r="T20" s="181">
        <f>SUM(T5:T19)</f>
        <v>0.17927195619689401</v>
      </c>
      <c r="U20" s="181">
        <f>SUM(U5:U19)</f>
        <v>1.650037891801337E-2</v>
      </c>
      <c r="V20" s="181">
        <f>1-S20-T20-U20</f>
        <v>8.3901222160315259E-4</v>
      </c>
      <c r="W20" s="21"/>
      <c r="X20" s="22"/>
      <c r="Y20" s="22"/>
      <c r="Z20" s="22"/>
      <c r="AA20" s="22"/>
      <c r="AB20" s="23"/>
      <c r="AC20" s="184">
        <f>PRODUCT(AC5:AC19)</f>
        <v>0.6281327091132265</v>
      </c>
      <c r="AD20" s="181">
        <f>SUM(AD5:AD19)</f>
        <v>0.31163208777528073</v>
      </c>
      <c r="AE20" s="181">
        <f>SUM(AE5:AE19)</f>
        <v>5.4899514773417861E-2</v>
      </c>
      <c r="AF20" s="181">
        <f>1-AC20-AD20-AE20</f>
        <v>5.3356883380749134E-3</v>
      </c>
      <c r="BH20">
        <v>1</v>
      </c>
      <c r="BI20">
        <v>8</v>
      </c>
      <c r="BJ20" s="107">
        <f t="shared" si="11"/>
        <v>2.7060387991340779E-3</v>
      </c>
      <c r="BP20">
        <f>BP16+1</f>
        <v>6</v>
      </c>
      <c r="BQ20">
        <v>2</v>
      </c>
      <c r="BR20" s="107">
        <f>$H$31*H41</f>
        <v>1.4215986246284623E-3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5.9404211801210305E-4</v>
      </c>
      <c r="BP21">
        <f>BP17+1</f>
        <v>6</v>
      </c>
      <c r="BQ21">
        <v>3</v>
      </c>
      <c r="BR21" s="107">
        <f>$H$31*H42</f>
        <v>2.1697598733326656E-3</v>
      </c>
    </row>
    <row r="22" spans="1:70" x14ac:dyDescent="0.25">
      <c r="A22" s="26" t="s">
        <v>77</v>
      </c>
      <c r="B22" s="62">
        <f>(B6)/((B6)+(C6))</f>
        <v>0.48809523809523808</v>
      </c>
      <c r="C22" s="63">
        <f>1-B22</f>
        <v>0.51190476190476186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9.4226901763430043E-5</v>
      </c>
      <c r="BP22">
        <f>BP18+1</f>
        <v>6</v>
      </c>
      <c r="BQ22">
        <v>4</v>
      </c>
      <c r="BR22" s="107">
        <f>$H$31*H43</f>
        <v>2.2355783992447512E-3</v>
      </c>
    </row>
    <row r="23" spans="1:70" ht="15.75" thickBot="1" x14ac:dyDescent="0.3">
      <c r="A23" s="40" t="s">
        <v>67</v>
      </c>
      <c r="B23" s="56">
        <f>((B22^2.8)/((B22^2.8)+(C22^2.8)))*B21</f>
        <v>2.3335484435824116</v>
      </c>
      <c r="C23" s="57">
        <f>B21-B23</f>
        <v>2.6664515564175884</v>
      </c>
      <c r="D23" s="151">
        <f>SUM(D25:D30)</f>
        <v>1</v>
      </c>
      <c r="E23" s="151">
        <f>SUM(E25:E30)</f>
        <v>1</v>
      </c>
      <c r="H23" s="59">
        <f>SUM(H25:H35)</f>
        <v>0.99999988000463658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0.99948168021131423</v>
      </c>
      <c r="Y23" s="80">
        <f>SUM(Y25:Y35)</f>
        <v>1.8512284522490582E-3</v>
      </c>
      <c r="Z23" s="81"/>
      <c r="AA23" s="80">
        <f>SUM(AA25:AA35)</f>
        <v>1.6210351810413328E-2</v>
      </c>
      <c r="AB23" s="81"/>
      <c r="AC23" s="80">
        <f>SUM(AC25:AC35)</f>
        <v>6.3884071039084084E-2</v>
      </c>
      <c r="AD23" s="81"/>
      <c r="AE23" s="80">
        <f>SUM(AE25:AE35)</f>
        <v>0.14921922246157651</v>
      </c>
      <c r="AF23" s="81"/>
      <c r="AG23" s="80">
        <f>SUM(AG25:AG35)</f>
        <v>0.22878863939198046</v>
      </c>
      <c r="AH23" s="81"/>
      <c r="AI23" s="80">
        <f>SUM(AI25:AI35)</f>
        <v>0.24062974964110617</v>
      </c>
      <c r="AJ23" s="81"/>
      <c r="AK23" s="80">
        <f>SUM(AK25:AK35)</f>
        <v>0.1758572407849438</v>
      </c>
      <c r="AL23" s="81"/>
      <c r="AM23" s="80">
        <f>SUM(AM25:AM35)</f>
        <v>8.8219655802101921E-2</v>
      </c>
      <c r="AN23" s="81"/>
      <c r="AO23" s="80">
        <f>SUM(AO25:AO35)</f>
        <v>2.9102952079322307E-2</v>
      </c>
      <c r="AP23" s="81"/>
      <c r="AQ23" s="80">
        <f>SUM(AQ25:AQ35)</f>
        <v>5.7185687485366106E-3</v>
      </c>
      <c r="AR23" s="81"/>
      <c r="AS23" s="80">
        <f>SUM(AS25:AS35)</f>
        <v>5.1831978868577288E-4</v>
      </c>
      <c r="BH23">
        <f t="shared" ref="BH23:BH30" si="12">BH15+1</f>
        <v>2</v>
      </c>
      <c r="BI23">
        <v>3</v>
      </c>
      <c r="BJ23" s="107">
        <f t="shared" ref="BJ23:BJ30" si="13">$H$27*H42</f>
        <v>6.716309057234876E-2</v>
      </c>
      <c r="BP23">
        <f>BL9+1</f>
        <v>6</v>
      </c>
      <c r="BQ23">
        <v>5</v>
      </c>
      <c r="BR23" s="107">
        <f>$H$31*H44</f>
        <v>1.6413341414841531E-3</v>
      </c>
    </row>
    <row r="24" spans="1:70" ht="15.75" thickBot="1" x14ac:dyDescent="0.3">
      <c r="A24" s="26" t="s">
        <v>76</v>
      </c>
      <c r="B24" s="64">
        <f>B23/B21</f>
        <v>0.46670968871648233</v>
      </c>
      <c r="C24" s="65">
        <f>C23/B21</f>
        <v>0.53329031128351767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6.9200447641904125E-2</v>
      </c>
      <c r="BP24">
        <f>BH49+1</f>
        <v>7</v>
      </c>
      <c r="BQ24">
        <v>0</v>
      </c>
      <c r="BR24" s="107">
        <f t="shared" ref="BR24:BR30" si="14">$H$32*H39</f>
        <v>1.9630768792149899E-5</v>
      </c>
    </row>
    <row r="25" spans="1:70" x14ac:dyDescent="0.25">
      <c r="A25" s="26" t="s">
        <v>69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9.3225451797071437E-2</v>
      </c>
      <c r="I25" s="97">
        <v>0</v>
      </c>
      <c r="J25" s="98">
        <f t="shared" ref="J25:J35" si="15">Y25+AA25+AC25+AE25+AG25+AI25+AK25+AM25+AO25+AQ25+AS25</f>
        <v>0.11604028945143717</v>
      </c>
      <c r="K25" s="97">
        <v>0</v>
      </c>
      <c r="L25" s="98">
        <f>S20</f>
        <v>0.80338865266348947</v>
      </c>
      <c r="M25" s="84">
        <v>0</v>
      </c>
      <c r="N25" s="71">
        <f>(1-$B$24)^$B$21</f>
        <v>4.3133874249689168E-2</v>
      </c>
      <c r="O25" s="70">
        <v>0</v>
      </c>
      <c r="P25" s="71">
        <f>N25</f>
        <v>4.3133874249689168E-2</v>
      </c>
      <c r="Q25" s="12">
        <v>0</v>
      </c>
      <c r="R25" s="73">
        <f>P25*N25</f>
        <v>1.8605311077879983E-3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1.8512284522490582E-3</v>
      </c>
      <c r="W25" s="136">
        <f>B31</f>
        <v>0.41481679477751243</v>
      </c>
      <c r="X25" s="12">
        <v>0</v>
      </c>
      <c r="Y25" s="79">
        <f>V25</f>
        <v>1.8512284522490582E-3</v>
      </c>
      <c r="Z25" s="12">
        <v>0</v>
      </c>
      <c r="AA25" s="78">
        <f>((1-W25)^Z26)*V26</f>
        <v>9.4860256302018251E-3</v>
      </c>
      <c r="AB25" s="12">
        <v>0</v>
      </c>
      <c r="AC25" s="79">
        <f>(((1-$W$25)^AB27))*V27</f>
        <v>2.187642191323963E-2</v>
      </c>
      <c r="AD25" s="12">
        <v>0</v>
      </c>
      <c r="AE25" s="79">
        <f>(((1-$W$25)^AB28))*V28</f>
        <v>2.9902006583821021E-2</v>
      </c>
      <c r="AF25" s="12">
        <v>0</v>
      </c>
      <c r="AG25" s="79">
        <f>(((1-$W$25)^AB29))*V29</f>
        <v>2.6828838366571153E-2</v>
      </c>
      <c r="AH25" s="12">
        <v>0</v>
      </c>
      <c r="AI25" s="79">
        <f>(((1-$W$25)^AB30))*V30</f>
        <v>1.6512338615516133E-2</v>
      </c>
      <c r="AJ25" s="12">
        <v>0</v>
      </c>
      <c r="AK25" s="79">
        <f>(((1-$W$25)^AB31))*V31</f>
        <v>7.0617343306971772E-3</v>
      </c>
      <c r="AL25" s="12">
        <v>0</v>
      </c>
      <c r="AM25" s="79">
        <f>(((1-$W$25)^AB32))*V32</f>
        <v>2.0730431052200741E-3</v>
      </c>
      <c r="AN25" s="12">
        <v>0</v>
      </c>
      <c r="AO25" s="79">
        <f>(((1-$W$25)^AB33))*V33</f>
        <v>4.0019519611925533E-4</v>
      </c>
      <c r="AP25" s="12">
        <v>0</v>
      </c>
      <c r="AQ25" s="79">
        <f>(((1-$W$25)^AB34))*V34</f>
        <v>4.6016546998148478E-5</v>
      </c>
      <c r="AR25" s="12">
        <v>0</v>
      </c>
      <c r="AS25" s="79">
        <f>(((1-$W$25)^AB35))*V35</f>
        <v>2.4407108037012595E-6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5.0806116823733434E-2</v>
      </c>
      <c r="BP25">
        <f>BP19+1</f>
        <v>7</v>
      </c>
      <c r="BQ25">
        <v>1</v>
      </c>
      <c r="BR25" s="107">
        <f t="shared" si="14"/>
        <v>1.0817000409511647E-4</v>
      </c>
    </row>
    <row r="26" spans="1:70" x14ac:dyDescent="0.25">
      <c r="A26" s="40" t="s">
        <v>24</v>
      </c>
      <c r="B26" s="119">
        <f>1/(1+EXP(-3.1416*4*((B10/(B10+C9))-(3.1416/6))))</f>
        <v>0.1948863248060955</v>
      </c>
      <c r="C26" s="120">
        <f>1/(1+EXP(-3.1416*4*((C10/(C10+B9))-(3.1416/6))))</f>
        <v>0.69969228081812651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0.24481020691450373</v>
      </c>
      <c r="I26" s="93">
        <v>1</v>
      </c>
      <c r="J26" s="86">
        <f t="shared" si="15"/>
        <v>0.27882823149696567</v>
      </c>
      <c r="K26" s="93">
        <v>1</v>
      </c>
      <c r="L26" s="86">
        <f>T20</f>
        <v>0.17927195619689401</v>
      </c>
      <c r="M26" s="85">
        <v>1</v>
      </c>
      <c r="N26" s="71">
        <f>(($B$24)^M26)*((1-($B$24))^($B$21-M26))*HLOOKUP($B$21,$AV$24:$BF$34,M26+1)</f>
        <v>0.18874332233560787</v>
      </c>
      <c r="O26" s="72">
        <v>1</v>
      </c>
      <c r="P26" s="71">
        <f t="shared" ref="P26:P30" si="16">N26</f>
        <v>0.18874332233560787</v>
      </c>
      <c r="Q26" s="28">
        <v>1</v>
      </c>
      <c r="R26" s="37">
        <f>N26*P25+P26*N25</f>
        <v>1.6282461462185316E-2</v>
      </c>
      <c r="S26" s="72">
        <v>1</v>
      </c>
      <c r="T26" s="135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1.6210351810413328E-2</v>
      </c>
      <c r="W26" s="137"/>
      <c r="X26" s="28">
        <v>1</v>
      </c>
      <c r="Y26" s="73"/>
      <c r="Z26" s="28">
        <v>1</v>
      </c>
      <c r="AA26" s="79">
        <f>(1-((1-W25)^Z26))*V26</f>
        <v>6.7243261802115029E-3</v>
      </c>
      <c r="AB26" s="28">
        <v>1</v>
      </c>
      <c r="AC26" s="79">
        <f>((($W$25)^M26)*((1-($W$25))^($U$27-M26))*HLOOKUP($U$27,$AV$24:$BF$34,M26+1))*V27</f>
        <v>3.1014927080145374E-2</v>
      </c>
      <c r="AD26" s="28">
        <v>1</v>
      </c>
      <c r="AE26" s="79">
        <f>((($W$25)^M26)*((1-($W$25))^($U$28-M26))*HLOOKUP($U$28,$AV$24:$BF$34,M26+1))*V28</f>
        <v>6.3589595964911941E-2</v>
      </c>
      <c r="AF26" s="28">
        <v>1</v>
      </c>
      <c r="AG26" s="79">
        <f>((($W$25)^M26)*((1-($W$25))^($U$29-M26))*HLOOKUP($U$29,$AV$24:$BF$34,M26+1))*V29</f>
        <v>7.6072263451878896E-2</v>
      </c>
      <c r="AH26" s="28">
        <v>1</v>
      </c>
      <c r="AI26" s="79">
        <f>((($W$25)^M26)*((1-($W$25))^($U$30-M26))*HLOOKUP($U$30,$AV$24:$BF$34,M26+1))*V30</f>
        <v>5.8525221824890908E-2</v>
      </c>
      <c r="AJ26" s="28">
        <v>1</v>
      </c>
      <c r="AK26" s="79">
        <f>((($W$25)^M26)*((1-($W$25))^($U$31-M26))*HLOOKUP($U$31,$AV$24:$BF$34,M26+1))*V31</f>
        <v>3.0034963148162026E-2</v>
      </c>
      <c r="AL26" s="28">
        <v>1</v>
      </c>
      <c r="AM26" s="79">
        <f>((($W$25)^Q26)*((1-($W$25))^($U$32-Q26))*HLOOKUP($U$32,$AV$24:$BF$34,Q26+1))*V32</f>
        <v>1.0286576273344091E-2</v>
      </c>
      <c r="AN26" s="28">
        <v>1</v>
      </c>
      <c r="AO26" s="79">
        <f>((($W$25)^Q26)*((1-($W$25))^($U$33-Q26))*HLOOKUP($U$33,$AV$24:$BF$34,Q26+1))*V33</f>
        <v>2.2694798764968807E-3</v>
      </c>
      <c r="AP26" s="28">
        <v>1</v>
      </c>
      <c r="AQ26" s="79">
        <f>((($W$25)^Q26)*((1-($W$25))^($U$34-Q26))*HLOOKUP($U$34,$AV$24:$BF$34,Q26+1))*V34</f>
        <v>2.935763146640364E-4</v>
      </c>
      <c r="AR26" s="28">
        <v>1</v>
      </c>
      <c r="AS26" s="79">
        <f>((($W$25)^Q26)*((1-($W$25))^($U$35-Q26))*HLOOKUP($U$35,$AV$24:$BF$34,Q26+1))*V35</f>
        <v>1.7301382260026901E-5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2.7344311298446888E-2</v>
      </c>
      <c r="BP26">
        <f>BP20+1</f>
        <v>7</v>
      </c>
      <c r="BQ26">
        <v>2</v>
      </c>
      <c r="BR26" s="107">
        <f t="shared" si="14"/>
        <v>2.7270497111183295E-4</v>
      </c>
    </row>
    <row r="27" spans="1:70" x14ac:dyDescent="0.25">
      <c r="A27" s="26" t="s">
        <v>25</v>
      </c>
      <c r="B27" s="119">
        <f>1/(1+EXP(-3.1416*4*((B12/(B12+C7))-(3.1416/6))))</f>
        <v>0.29124981281132378</v>
      </c>
      <c r="C27" s="120">
        <f>1/(1+EXP(-3.1416*4*((C12/(C12+B7))-(3.1416/6))))</f>
        <v>0.71881514699194859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0.29416318220185661</v>
      </c>
      <c r="I27" s="93">
        <v>2</v>
      </c>
      <c r="J27" s="86">
        <f t="shared" si="15"/>
        <v>0.30155067556604576</v>
      </c>
      <c r="K27" s="93">
        <v>2</v>
      </c>
      <c r="L27" s="86">
        <f>U20</f>
        <v>1.650037891801337E-2</v>
      </c>
      <c r="M27" s="85">
        <v>2</v>
      </c>
      <c r="N27" s="71">
        <f>(($B$24)^M27)*((1-($B$24))^($B$21-M27))*HLOOKUP($B$21,$AV$24:$BF$34,M27+1)</f>
        <v>0.33035791331950554</v>
      </c>
      <c r="O27" s="72">
        <v>2</v>
      </c>
      <c r="P27" s="71">
        <f t="shared" si="16"/>
        <v>0.33035791331950554</v>
      </c>
      <c r="Q27" s="28">
        <v>2</v>
      </c>
      <c r="R27" s="37">
        <f>P25*N27+P26*N26+P27*N25</f>
        <v>6.4123275107309696E-2</v>
      </c>
      <c r="S27" s="72">
        <v>2</v>
      </c>
      <c r="T27" s="135">
        <f t="shared" si="17"/>
        <v>0</v>
      </c>
      <c r="U27" s="93">
        <v>2</v>
      </c>
      <c r="V27" s="86">
        <f>R27*T25+T26*R26+R25*T27</f>
        <v>6.3884071039084084E-2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1.099272204569908E-2</v>
      </c>
      <c r="AD27" s="28">
        <v>2</v>
      </c>
      <c r="AE27" s="79">
        <f>((($W$25)^M27)*((1-($W$25))^($U$28-M27))*HLOOKUP($U$28,$AV$24:$BF$34,M27+1))*V28</f>
        <v>4.5076536961331341E-2</v>
      </c>
      <c r="AF27" s="28">
        <v>2</v>
      </c>
      <c r="AG27" s="79">
        <f>((($W$25)^M27)*((1-($W$25))^($U$29-M27))*HLOOKUP($U$29,$AV$24:$BF$34,M27+1))*V29</f>
        <v>8.0887623435590347E-2</v>
      </c>
      <c r="AH27" s="28">
        <v>2</v>
      </c>
      <c r="AI27" s="79">
        <f>((($W$25)^M27)*((1-($W$25))^($U$30-M27))*HLOOKUP($U$30,$AV$24:$BF$34,M27+1))*V30</f>
        <v>8.2973143160572804E-2</v>
      </c>
      <c r="AJ27" s="28">
        <v>2</v>
      </c>
      <c r="AK27" s="79">
        <f>((($W$25)^M27)*((1-($W$25))^($U$31-M27))*HLOOKUP($U$31,$AV$24:$BF$34,M27+1))*V31</f>
        <v>5.3226951120565483E-2</v>
      </c>
      <c r="AL27" s="28">
        <v>2</v>
      </c>
      <c r="AM27" s="79">
        <f>((($W$25)^Q27)*((1-($W$25))^($U$32-Q27))*HLOOKUP($U$32,$AV$24:$BF$34,Q27+1))*V32</f>
        <v>2.1875429237518881E-2</v>
      </c>
      <c r="AN27" s="28">
        <v>2</v>
      </c>
      <c r="AO27" s="79">
        <f>((($W$25)^Q27)*((1-($W$25))^($U$33-Q27))*HLOOKUP($U$33,$AV$24:$BF$34,Q27+1))*V33</f>
        <v>5.6306542279848963E-3</v>
      </c>
      <c r="AP27" s="28">
        <v>2</v>
      </c>
      <c r="AQ27" s="79">
        <f>((($W$25)^Q27)*((1-($W$25))^($U$34-Q27))*HLOOKUP($U$34,$AV$24:$BF$34,Q27+1))*V34</f>
        <v>8.3242570726361771E-4</v>
      </c>
      <c r="AR27" s="28">
        <v>2</v>
      </c>
      <c r="AS27" s="79">
        <f>((($W$25)^Q27)*((1-($W$25))^($U$35-Q27))*HLOOKUP($U$35,$AV$24:$BF$34,Q27+1))*V35</f>
        <v>5.5189669519279708E-5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1.0930644311594951E-2</v>
      </c>
      <c r="BP27">
        <f>BP21+1</f>
        <v>7</v>
      </c>
      <c r="BQ27">
        <v>3</v>
      </c>
      <c r="BR27" s="107">
        <f t="shared" si="14"/>
        <v>4.162245892235876E-4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0.2140607182398547</v>
      </c>
      <c r="I28" s="93">
        <v>3</v>
      </c>
      <c r="J28" s="86">
        <f t="shared" si="15"/>
        <v>0.19330993477436875</v>
      </c>
      <c r="K28" s="93">
        <v>3</v>
      </c>
      <c r="L28" s="86">
        <f>V20</f>
        <v>8.3901222160315259E-4</v>
      </c>
      <c r="M28" s="85">
        <v>3</v>
      </c>
      <c r="N28" s="71">
        <f>(($B$24)^M28)*((1-($B$24))^($B$21-M28))*HLOOKUP($B$21,$AV$24:$BF$34,M28+1)</f>
        <v>0.28911314461965615</v>
      </c>
      <c r="O28" s="72">
        <v>3</v>
      </c>
      <c r="P28" s="71">
        <f t="shared" si="16"/>
        <v>0.28911314461965615</v>
      </c>
      <c r="Q28" s="28">
        <v>3</v>
      </c>
      <c r="R28" s="37">
        <f>P25*N28+P26*N27+P27*N26+P28*N25</f>
        <v>0.14964684028747735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0.14921922246157651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1.0651082951512217E-2</v>
      </c>
      <c r="AF28" s="28">
        <v>3</v>
      </c>
      <c r="AG28" s="79">
        <f>((($W$25)^M28)*((1-($W$25))^($U$29-M28))*HLOOKUP($U$29,$AV$24:$BF$34,M28+1))*V29</f>
        <v>3.8225686578462065E-2</v>
      </c>
      <c r="AH28" s="28">
        <v>3</v>
      </c>
      <c r="AI28" s="79">
        <f>((($W$25)^M28)*((1-($W$25))^($U$30-M28))*HLOOKUP($U$30,$AV$24:$BF$34,M28+1))*V30</f>
        <v>5.8816885022184573E-2</v>
      </c>
      <c r="AJ28" s="28">
        <v>3</v>
      </c>
      <c r="AK28" s="79">
        <f>((($W$25)^M28)*((1-($W$25))^($U$31-M28))*HLOOKUP($U$31,$AV$24:$BF$34,M28+1))*V31</f>
        <v>5.0307739667540326E-2</v>
      </c>
      <c r="AL28" s="28">
        <v>3</v>
      </c>
      <c r="AM28" s="79">
        <f>((($W$25)^Q28)*((1-($W$25))^($U$32-Q28))*HLOOKUP($U$32,$AV$24:$BF$34,Q28+1))*V32</f>
        <v>2.5844599775779624E-2</v>
      </c>
      <c r="AN28" s="28">
        <v>3</v>
      </c>
      <c r="AO28" s="79">
        <f>((($W$25)^Q28)*((1-($W$25))^($U$33-Q28))*HLOOKUP($U$33,$AV$24:$BF$34,Q28+1))*V33</f>
        <v>7.9827647769389089E-3</v>
      </c>
      <c r="AP28" s="28">
        <v>3</v>
      </c>
      <c r="AQ28" s="79">
        <f>((($W$25)^Q28)*((1-($W$25))^($U$34-Q28))*HLOOKUP($U$34,$AV$24:$BF$34,Q28+1))*V34</f>
        <v>1.3768503748744739E-3</v>
      </c>
      <c r="AR28" s="28">
        <v>3</v>
      </c>
      <c r="AS28" s="79">
        <f>((($W$25)^Q28)*((1-($W$25))^($U$35-Q28))*HLOOKUP($U$35,$AV$24:$BF$34,Q28+1))*V35</f>
        <v>1.0432562707657159E-4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3.2515677934660948E-3</v>
      </c>
      <c r="BP28">
        <f>BP22+1</f>
        <v>7</v>
      </c>
      <c r="BQ28">
        <v>4</v>
      </c>
      <c r="BR28" s="107">
        <f t="shared" si="14"/>
        <v>4.2885054348136537E-4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0.10522371719928361</v>
      </c>
      <c r="I29" s="93">
        <v>4</v>
      </c>
      <c r="J29" s="86">
        <f t="shared" si="15"/>
        <v>8.1354181590100771E-2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0.12650886662888206</v>
      </c>
      <c r="O29" s="72">
        <v>4</v>
      </c>
      <c r="P29" s="71">
        <f t="shared" si="16"/>
        <v>0.12650886662888206</v>
      </c>
      <c r="Q29" s="28">
        <v>4</v>
      </c>
      <c r="R29" s="37">
        <f>P25*N29+P26*N28+P27*N27+P28*N26+P29*N25</f>
        <v>0.22918633687491768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0.22878863939198046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6.7742275594780115E-3</v>
      </c>
      <c r="AH29" s="28">
        <v>4</v>
      </c>
      <c r="AI29" s="79">
        <f>((($W$25)^M29)*((1-($W$25))^($U$30-M29))*HLOOKUP($U$30,$AV$24:$BF$34,M29+1))*V30</f>
        <v>2.0846660931104335E-2</v>
      </c>
      <c r="AJ29" s="28">
        <v>4</v>
      </c>
      <c r="AK29" s="79">
        <f>((($W$25)^M29)*((1-($W$25))^($U$31-M29))*HLOOKUP($U$31,$AV$24:$BF$34,M29+1))*V31</f>
        <v>2.6746105068227773E-2</v>
      </c>
      <c r="AL29" s="28">
        <v>4</v>
      </c>
      <c r="AM29" s="79">
        <f>((($W$25)^Q29)*((1-($W$25))^($U$32-Q29))*HLOOKUP($U$32,$AV$24:$BF$34,Q29+1))*V32</f>
        <v>1.8320372057192696E-2</v>
      </c>
      <c r="AN29" s="28">
        <v>4</v>
      </c>
      <c r="AO29" s="79">
        <f>((($W$25)^Q29)*((1-($W$25))^($U$33-Q29))*HLOOKUP($U$33,$AV$24:$BF$34,Q29+1))*V33</f>
        <v>7.0733935729017285E-3</v>
      </c>
      <c r="AP29" s="28">
        <v>4</v>
      </c>
      <c r="AQ29" s="79">
        <f>((($W$25)^Q29)*((1-($W$25))^($U$34-Q29))*HLOOKUP($U$34,$AV$24:$BF$34,Q29+1))*V34</f>
        <v>1.4640047449153051E-3</v>
      </c>
      <c r="AR29" s="28">
        <v>4</v>
      </c>
      <c r="AS29" s="79">
        <f>((($W$25)^Q29)*((1-($W$25))^($U$35-Q29))*HLOOKUP($U$35,$AV$24:$BF$34,Q29+1))*V35</f>
        <v>1.2941765628091936E-4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7.1379915894355763E-4</v>
      </c>
      <c r="BP29">
        <f>BP23+1</f>
        <v>7</v>
      </c>
      <c r="BQ29">
        <v>5</v>
      </c>
      <c r="BR29" s="107">
        <f t="shared" si="14"/>
        <v>3.1485679001362447E-4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3.6899161971718525E-2</v>
      </c>
      <c r="I30" s="93">
        <v>5</v>
      </c>
      <c r="J30" s="86">
        <f t="shared" si="15"/>
        <v>2.3490432377991852E-2</v>
      </c>
      <c r="K30" s="93">
        <v>5</v>
      </c>
      <c r="L30" s="86"/>
      <c r="M30" s="85">
        <v>5</v>
      </c>
      <c r="N30" s="71">
        <f>(($B$24)^M30)*((1-($B$24))^($B$21-M30))*HLOOKUP($B$21,$AV$24:$BF$34,M30+1)</f>
        <v>2.2142878846659206E-2</v>
      </c>
      <c r="O30" s="72">
        <v>5</v>
      </c>
      <c r="P30" s="71">
        <f t="shared" si="16"/>
        <v>2.2142878846659206E-2</v>
      </c>
      <c r="Q30" s="28">
        <v>5</v>
      </c>
      <c r="R30" s="37">
        <f>P25*N30+P26*N29+P27*N28+P28*N27+P29*N26+P30*N25</f>
        <v>0.24068725422787091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0.24062974964110614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2.9555000868374142E-3</v>
      </c>
      <c r="AJ30" s="28">
        <v>5</v>
      </c>
      <c r="AK30" s="79">
        <f>((($W$25)^M30)*((1-($W$25))^($U$31-M30))*HLOOKUP($U$31,$AV$24:$BF$34,M30+1))*V31</f>
        <v>7.5837675983654292E-3</v>
      </c>
      <c r="AL30" s="28">
        <v>5</v>
      </c>
      <c r="AM30" s="79">
        <f>((($W$25)^Q30)*((1-($W$25))^($U$32-Q30))*HLOOKUP($U$32,$AV$24:$BF$34,Q30+1))*V32</f>
        <v>7.7920192665202649E-3</v>
      </c>
      <c r="AN30" s="28">
        <v>5</v>
      </c>
      <c r="AO30" s="79">
        <f>((($W$25)^Q30)*((1-($W$25))^($U$33-Q30))*HLOOKUP($U$33,$AV$24:$BF$34,Q30+1))*V33</f>
        <v>4.0112736304458744E-3</v>
      </c>
      <c r="AP30" s="28">
        <v>5</v>
      </c>
      <c r="AQ30" s="79">
        <f>((($W$25)^Q30)*((1-($W$25))^($U$34-Q30))*HLOOKUP($U$34,$AV$24:$BF$34,Q30+1))*V34</f>
        <v>1.0377839801365154E-3</v>
      </c>
      <c r="AR30" s="28">
        <v>5</v>
      </c>
      <c r="AS30" s="79">
        <f>((($W$25)^Q30)*((1-($W$25))^($U$35-Q30))*HLOOKUP($U$35,$AV$24:$BF$34,Q30+1))*V35</f>
        <v>1.1008781568635305E-4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1.1322275170263812E-4</v>
      </c>
      <c r="BP30">
        <f>BL10+1</f>
        <v>7</v>
      </c>
      <c r="BQ30">
        <v>6</v>
      </c>
      <c r="BR30" s="107">
        <f t="shared" si="14"/>
        <v>1.6945877029791878E-4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8">
        <f>J31*L25+J30*L26+J29*L27+J28*L28</f>
        <v>9.5031878895729255E-3</v>
      </c>
      <c r="I31" s="93">
        <v>6</v>
      </c>
      <c r="J31" s="86">
        <f t="shared" si="15"/>
        <v>4.7143408013896361E-3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0.17553146182291901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0.17585724078494377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8.95979851385583E-4</v>
      </c>
      <c r="AL31" s="28">
        <v>6</v>
      </c>
      <c r="AM31" s="79">
        <f>((($W$25)^Q31)*((1-($W$25))^($U$32-Q31))*HLOOKUP($U$32,$AV$24:$BF$34,Q31+1))*V32</f>
        <v>1.8411672493537866E-3</v>
      </c>
      <c r="AN31" s="28">
        <v>6</v>
      </c>
      <c r="AO31" s="79">
        <f>((($W$25)^Q31)*((1-($W$25))^($U$33-Q31))*HLOOKUP($U$33,$AV$24:$BF$34,Q31+1))*V33</f>
        <v>1.4217288325324372E-3</v>
      </c>
      <c r="AP31" s="28">
        <v>6</v>
      </c>
      <c r="AQ31" s="79">
        <f>((($W$25)^Q31)*((1-($W$25))^($U$34-Q31))*HLOOKUP($U$34,$AV$24:$BF$34,Q31+1))*V34</f>
        <v>4.9043356048698839E-4</v>
      </c>
      <c r="AR31" s="28">
        <v>6</v>
      </c>
      <c r="AS31" s="79">
        <f>((($W$25)^Q31)*((1-($W$25))^($U$35-Q31))*HLOOKUP($U$35,$AV$24:$BF$34,Q31+1))*V35</f>
        <v>6.503130763084149E-5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5.0356735380230618E-2</v>
      </c>
      <c r="BP31">
        <f t="shared" ref="BP31:BP37" si="21">BP24+1</f>
        <v>8</v>
      </c>
      <c r="BQ31">
        <v>0</v>
      </c>
      <c r="BR31" s="107">
        <f t="shared" ref="BR31:BR38" si="22">$H$33*H39</f>
        <v>2.8139213453206931E-6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1.8229945738542175E-3</v>
      </c>
      <c r="I32" s="93">
        <v>7</v>
      </c>
      <c r="J32" s="86">
        <f t="shared" si="15"/>
        <v>6.4973196554651098E-4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8.7780903008027447E-2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8.8219655802101907E-2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1.8644883717250051E-4</v>
      </c>
      <c r="AN32" s="28">
        <v>7</v>
      </c>
      <c r="AO32" s="79">
        <f>((($W$25)^Q32)*((1-($W$25))^($U$33-Q32))*HLOOKUP($U$33,$AV$24:$BF$34,Q32+1))*V33</f>
        <v>2.8794742866877234E-4</v>
      </c>
      <c r="AP32" s="28">
        <v>7</v>
      </c>
      <c r="AQ32" s="79">
        <f>((($W$25)^Q32)*((1-($W$25))^($U$34-Q32))*HLOOKUP($U$34,$AV$24:$BF$34,Q32+1))*V34</f>
        <v>1.4899368934885533E-4</v>
      </c>
      <c r="AR32" s="28">
        <v>7</v>
      </c>
      <c r="AS32" s="79">
        <f>((($W$25)^Q32)*((1-($W$25))^($U$35-Q32))*HLOOKUP($U$35,$AV$24:$BF$34,Q32+1))*V35</f>
        <v>2.634201035638277E-5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3.6971295241168024E-2</v>
      </c>
      <c r="BP32">
        <f t="shared" si="21"/>
        <v>8</v>
      </c>
      <c r="BQ32">
        <v>1</v>
      </c>
      <c r="BR32" s="107">
        <f t="shared" si="22"/>
        <v>1.5505347073742398E-5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2.6131240187717518E-4</v>
      </c>
      <c r="I33" s="93">
        <v>8</v>
      </c>
      <c r="J33" s="86">
        <f t="shared" si="15"/>
        <v>5.8921061214402559E-5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2.8808088004303685E-2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2.9102952079322304E-2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2.5514537233556029E-5</v>
      </c>
      <c r="AP33" s="28">
        <v>8</v>
      </c>
      <c r="AQ33" s="79">
        <f>((($W$25)^Q33)*((1-($W$25))^($U$34-Q33))*HLOOKUP($U$34,$AV$24:$BF$34,Q33+1))*V34</f>
        <v>2.6404160315174361E-5</v>
      </c>
      <c r="AR33" s="28">
        <v>8</v>
      </c>
      <c r="AS33" s="79">
        <f>((($W$25)^Q33)*((1-($W$25))^($U$35-Q33))*HLOOKUP($U$35,$AV$24:$BF$34,Q33+1))*V35</f>
        <v>7.0023636656721688E-6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1.9898285273182537E-2</v>
      </c>
      <c r="BP33">
        <f t="shared" si="21"/>
        <v>8</v>
      </c>
      <c r="BQ33">
        <v>2</v>
      </c>
      <c r="BR33" s="107">
        <f t="shared" si="22"/>
        <v>3.9090182728529282E-5</v>
      </c>
    </row>
    <row r="34" spans="1:70" x14ac:dyDescent="0.25">
      <c r="A34" s="40" t="s">
        <v>86</v>
      </c>
      <c r="B34" s="56">
        <f>B23*2</f>
        <v>4.6670968871648233</v>
      </c>
      <c r="C34" s="57">
        <f>C23*2</f>
        <v>5.3329031128351767</v>
      </c>
      <c r="G34" s="87">
        <v>9</v>
      </c>
      <c r="H34" s="128">
        <f>J34*L25+J33*L26+J32*L27+J31*L28</f>
        <v>2.7796070751196754E-5</v>
      </c>
      <c r="I34" s="93">
        <v>9</v>
      </c>
      <c r="J34" s="86">
        <f t="shared" si="15"/>
        <v>3.1827231586920915E-6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5.6025410135830062E-3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5.7185687485366097E-3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2.0796695334959087E-6</v>
      </c>
      <c r="AR34" s="28">
        <v>9</v>
      </c>
      <c r="AS34" s="79">
        <f>((($W$25)^Q34)*((1-($W$25))^($U$35-Q34))*HLOOKUP($U$35,$AV$24:$BF$34,Q34+1))*V35</f>
        <v>1.1030536251961831E-6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7.9541618861016985E-3</v>
      </c>
      <c r="BP34">
        <f t="shared" si="21"/>
        <v>8</v>
      </c>
      <c r="BQ34">
        <v>3</v>
      </c>
      <c r="BR34" s="107">
        <f t="shared" si="22"/>
        <v>5.9662628013424934E-5</v>
      </c>
    </row>
    <row r="35" spans="1:70" ht="15.75" thickBot="1" x14ac:dyDescent="0.3">
      <c r="G35" s="88">
        <v>10</v>
      </c>
      <c r="H35" s="129">
        <f>J35*L25+J34*L26+J33*L27+J32*L28</f>
        <v>2.1507442922897612E-6</v>
      </c>
      <c r="I35" s="94">
        <v>10</v>
      </c>
      <c r="J35" s="89">
        <f t="shared" si="15"/>
        <v>7.8191780828301316E-8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4.9030708361782777E-4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5.1831978868577266E-4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7.8191780828301316E-8</v>
      </c>
      <c r="BH35">
        <f t="shared" si="19"/>
        <v>3</v>
      </c>
      <c r="BI35">
        <v>8</v>
      </c>
      <c r="BJ35" s="107">
        <f t="shared" si="20"/>
        <v>2.3661456612789483E-3</v>
      </c>
      <c r="BP35">
        <f t="shared" si="21"/>
        <v>8</v>
      </c>
      <c r="BQ35">
        <v>4</v>
      </c>
      <c r="BR35" s="107">
        <f t="shared" si="22"/>
        <v>6.1472462491492393E-5</v>
      </c>
    </row>
    <row r="36" spans="1:70" x14ac:dyDescent="0.25">
      <c r="A36" s="1"/>
      <c r="B36" s="108">
        <f>SUM(B37:B39)</f>
        <v>0.99995243105071974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5.194272087307389E-4</v>
      </c>
      <c r="BP36">
        <f t="shared" si="21"/>
        <v>8</v>
      </c>
      <c r="BQ36">
        <v>5</v>
      </c>
      <c r="BR36" s="107">
        <f t="shared" si="22"/>
        <v>4.5132325255279172E-5</v>
      </c>
    </row>
    <row r="37" spans="1:70" ht="15.75" thickBot="1" x14ac:dyDescent="0.3">
      <c r="A37" s="109" t="s">
        <v>104</v>
      </c>
      <c r="B37" s="107">
        <f>SUM(BN4:BN14)</f>
        <v>0.14048905371143711</v>
      </c>
      <c r="G37" s="13"/>
      <c r="H37" s="59">
        <f>SUM(H39:H49)</f>
        <v>0.99995470085969684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0.99797544825724893</v>
      </c>
      <c r="W37" s="13"/>
      <c r="X37" s="13"/>
      <c r="Y37" s="80">
        <f>SUM(Y39:Y49)</f>
        <v>4.8541627045873995E-4</v>
      </c>
      <c r="Z37" s="81"/>
      <c r="AA37" s="80">
        <f>SUM(AA39:AA49)</f>
        <v>5.5515342224545126E-3</v>
      </c>
      <c r="AB37" s="81"/>
      <c r="AC37" s="80">
        <f>SUM(AC39:AC49)</f>
        <v>2.8576484867223001E-2</v>
      </c>
      <c r="AD37" s="81"/>
      <c r="AE37" s="80">
        <f>SUM(AE39:AE49)</f>
        <v>8.7192069039690526E-2</v>
      </c>
      <c r="AF37" s="81"/>
      <c r="AG37" s="80">
        <f>SUM(AG39:AG49)</f>
        <v>0.17465467567836535</v>
      </c>
      <c r="AH37" s="81"/>
      <c r="AI37" s="80">
        <f>SUM(AI39:AI49)</f>
        <v>0.24003513143466115</v>
      </c>
      <c r="AJ37" s="81"/>
      <c r="AK37" s="80">
        <f>SUM(AK39:AK49)</f>
        <v>0.22929942963070324</v>
      </c>
      <c r="AL37" s="81"/>
      <c r="AM37" s="80">
        <f>SUM(AM39:AM49)</f>
        <v>0.15044053428887086</v>
      </c>
      <c r="AN37" s="81"/>
      <c r="AO37" s="80">
        <f>SUM(AO39:AO49)</f>
        <v>6.4978361157396539E-2</v>
      </c>
      <c r="AP37" s="81"/>
      <c r="AQ37" s="80">
        <f>SUM(AQ39:AQ49)</f>
        <v>1.6761811667424933E-2</v>
      </c>
      <c r="AR37" s="81"/>
      <c r="AS37" s="80">
        <f>SUM(AS39:AS49)</f>
        <v>2.024551742751068E-3</v>
      </c>
      <c r="BH37">
        <f t="shared" si="19"/>
        <v>3</v>
      </c>
      <c r="BI37">
        <v>10</v>
      </c>
      <c r="BJ37" s="107">
        <f t="shared" si="20"/>
        <v>8.2391492263393383E-5</v>
      </c>
      <c r="BP37">
        <f t="shared" si="21"/>
        <v>8</v>
      </c>
      <c r="BQ37">
        <v>6</v>
      </c>
      <c r="BR37" s="107">
        <f t="shared" si="22"/>
        <v>2.4290625392307293E-5</v>
      </c>
    </row>
    <row r="38" spans="1:70" ht="15.75" thickBot="1" x14ac:dyDescent="0.3">
      <c r="A38" s="110" t="s">
        <v>105</v>
      </c>
      <c r="B38" s="107">
        <f>SUM(BJ4:BJ59)</f>
        <v>0.7067753884939828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1.8173615163660516E-2</v>
      </c>
      <c r="BP38">
        <f>BL11+1</f>
        <v>8</v>
      </c>
      <c r="BQ38">
        <v>7</v>
      </c>
      <c r="BR38" s="107">
        <f t="shared" si="22"/>
        <v>9.7099606339176035E-6</v>
      </c>
    </row>
    <row r="39" spans="1:70" x14ac:dyDescent="0.25">
      <c r="A39" s="111" t="s">
        <v>0</v>
      </c>
      <c r="B39" s="107">
        <f>SUM(BR4:BR47)</f>
        <v>0.15268798884529994</v>
      </c>
      <c r="G39" s="130">
        <v>0</v>
      </c>
      <c r="H39" s="131">
        <f>L39*J39</f>
        <v>1.0768418663279985E-2</v>
      </c>
      <c r="I39" s="97">
        <v>0</v>
      </c>
      <c r="J39" s="98">
        <f t="shared" ref="J39:J49" si="37">Y39+AA39+AC39+AE39+AG39+AI39+AK39+AM39+AO39+AQ39+AS39</f>
        <v>1.7143540699357022E-2</v>
      </c>
      <c r="K39" s="102">
        <v>0</v>
      </c>
      <c r="L39" s="98">
        <f>AC20</f>
        <v>0.6281327091132265</v>
      </c>
      <c r="M39" s="84">
        <v>0</v>
      </c>
      <c r="N39" s="71">
        <f>(1-$C$24)^$B$21</f>
        <v>2.2142878846659206E-2</v>
      </c>
      <c r="O39" s="70">
        <v>0</v>
      </c>
      <c r="P39" s="71">
        <f>N39</f>
        <v>2.2142878846659206E-2</v>
      </c>
      <c r="Q39" s="12">
        <v>0</v>
      </c>
      <c r="R39" s="73">
        <f>P39*N39</f>
        <v>4.9030708361782777E-4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4.8541627045873995E-4</v>
      </c>
      <c r="W39" s="136">
        <f>C31</f>
        <v>0.62570229526274812</v>
      </c>
      <c r="X39" s="12">
        <v>0</v>
      </c>
      <c r="Y39" s="79">
        <f>V39</f>
        <v>4.8541627045873995E-4</v>
      </c>
      <c r="Z39" s="12">
        <v>0</v>
      </c>
      <c r="AA39" s="78">
        <f>((1-W39)^Z40)*V40</f>
        <v>2.0779265172350282E-3</v>
      </c>
      <c r="AB39" s="12">
        <v>0</v>
      </c>
      <c r="AC39" s="79">
        <f>(((1-$W$39)^AB41))*V41</f>
        <v>4.0035304314469415E-3</v>
      </c>
      <c r="AD39" s="12">
        <v>0</v>
      </c>
      <c r="AE39" s="79">
        <f>(((1-$W$39)^AB42))*V42</f>
        <v>4.572234278723465E-3</v>
      </c>
      <c r="AF39" s="12">
        <v>0</v>
      </c>
      <c r="AG39" s="79">
        <f>(((1-$W$39)^AB43))*V43</f>
        <v>3.428063613687595E-3</v>
      </c>
      <c r="AH39" s="12">
        <v>0</v>
      </c>
      <c r="AI39" s="79">
        <f>(((1-$W$39)^AB44))*V44</f>
        <v>1.763439762908488E-3</v>
      </c>
      <c r="AJ39" s="12">
        <v>0</v>
      </c>
      <c r="AK39" s="79">
        <f>(((1-$W$39)^AB45))*V45</f>
        <v>6.305302953534777E-4</v>
      </c>
      <c r="AL39" s="12">
        <v>0</v>
      </c>
      <c r="AM39" s="79">
        <f>(((1-$W$39)^AB46))*V46</f>
        <v>1.5484066034930931E-4</v>
      </c>
      <c r="AN39" s="12">
        <v>0</v>
      </c>
      <c r="AO39" s="79">
        <f>(((1-$W$39)^AB47))*V47</f>
        <v>2.5032606079917648E-5</v>
      </c>
      <c r="AP39" s="12">
        <v>0</v>
      </c>
      <c r="AQ39" s="79">
        <f>(((1-$W$39)^AB48))*V48</f>
        <v>2.4169932204380531E-6</v>
      </c>
      <c r="AR39" s="12">
        <v>0</v>
      </c>
      <c r="AS39" s="79">
        <f>(((1-$W$39)^AB49))*V49</f>
        <v>1.0926989362053767E-7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9.7812039478909034E-3</v>
      </c>
      <c r="BP39">
        <f t="shared" ref="BP39:BP46" si="38">BP31+1</f>
        <v>9</v>
      </c>
      <c r="BQ39">
        <v>0</v>
      </c>
      <c r="BR39" s="107">
        <f t="shared" ref="BR39:BR47" si="39">$H$34*H39</f>
        <v>2.9931972704303803E-7</v>
      </c>
    </row>
    <row r="40" spans="1:70" x14ac:dyDescent="0.25">
      <c r="G40" s="91">
        <v>1</v>
      </c>
      <c r="H40" s="132">
        <f>L39*J40+L40*J39</f>
        <v>5.9336437774699977E-2</v>
      </c>
      <c r="I40" s="93">
        <v>1</v>
      </c>
      <c r="J40" s="86">
        <f t="shared" si="37"/>
        <v>8.5959478962535543E-2</v>
      </c>
      <c r="K40" s="95">
        <v>1</v>
      </c>
      <c r="L40" s="86">
        <f>AD20</f>
        <v>0.31163208777528073</v>
      </c>
      <c r="M40" s="85">
        <v>1</v>
      </c>
      <c r="N40" s="71">
        <f>(($C$24)^M26)*((1-($C$24))^($B$21-M26))*HLOOKUP($B$21,$AV$24:$BF$34,M26+1)</f>
        <v>0.12650886662888206</v>
      </c>
      <c r="O40" s="72">
        <v>1</v>
      </c>
      <c r="P40" s="71">
        <f t="shared" ref="P40:P44" si="40">N40</f>
        <v>0.12650886662888206</v>
      </c>
      <c r="Q40" s="28">
        <v>1</v>
      </c>
      <c r="R40" s="37">
        <f>P40*N39+P39*N40</f>
        <v>5.6025410135830062E-3</v>
      </c>
      <c r="S40" s="72">
        <v>1</v>
      </c>
      <c r="T40" s="135">
        <f t="shared" ref="T40:T49" si="41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5.5515342224545126E-3</v>
      </c>
      <c r="W40" s="137"/>
      <c r="X40" s="28">
        <v>1</v>
      </c>
      <c r="Y40" s="73"/>
      <c r="Z40" s="28">
        <v>1</v>
      </c>
      <c r="AA40" s="79">
        <f>(1-((1-W39)^Z40))*V40</f>
        <v>3.4736077052194845E-3</v>
      </c>
      <c r="AB40" s="28">
        <v>1</v>
      </c>
      <c r="AC40" s="79">
        <f>((($W$39)^M40)*((1-($W$39))^($U$27-M40))*HLOOKUP($U$27,$AV$24:$BF$34,M40+1))*V41</f>
        <v>1.3385164527626879E-2</v>
      </c>
      <c r="AD40" s="28">
        <v>1</v>
      </c>
      <c r="AE40" s="79">
        <f>((($W$39)^M40)*((1-($W$39))^($U$28-M40))*HLOOKUP($U$28,$AV$24:$BF$34,M40+1))*V42</f>
        <v>2.2929802505878644E-2</v>
      </c>
      <c r="AF40" s="28">
        <v>1</v>
      </c>
      <c r="AG40" s="79">
        <f>((($W$39)^M40)*((1-($W$39))^($U$29-M40))*HLOOKUP($U$29,$AV$24:$BF$34,M40+1))*V43</f>
        <v>2.2922366279501939E-2</v>
      </c>
      <c r="AH40" s="28">
        <v>1</v>
      </c>
      <c r="AI40" s="79">
        <f>((($W$39)^M40)*((1-($W$39))^($U$30-M40))*HLOOKUP($U$30,$AV$24:$BF$34,M40+1))*V44</f>
        <v>1.4739447948044321E-2</v>
      </c>
      <c r="AJ40" s="28">
        <v>1</v>
      </c>
      <c r="AK40" s="79">
        <f>((($W$39)^M40)*((1-($W$39))^($U$31-M40))*HLOOKUP($U$31,$AV$24:$BF$34,M40+1))*V45</f>
        <v>6.324231990345484E-3</v>
      </c>
      <c r="AL40" s="28">
        <v>1</v>
      </c>
      <c r="AM40" s="79">
        <f>((($W$39)^Q40)*((1-($W$39))^($U$32-Q40))*HLOOKUP($U$32,$AV$24:$BF$34,Q40+1))*V46</f>
        <v>1.8118975550224375E-3</v>
      </c>
      <c r="AN40" s="28">
        <v>1</v>
      </c>
      <c r="AO40" s="79">
        <f>((($W$39)^Q40)*((1-($W$39))^($U$33-Q40))*HLOOKUP($U$33,$AV$24:$BF$34,Q40+1))*V47</f>
        <v>3.3477008023028565E-4</v>
      </c>
      <c r="AP40" s="28">
        <v>1</v>
      </c>
      <c r="AQ40" s="79">
        <f>((($W$39)^Q40)*((1-($W$39))^($U$34-Q40))*HLOOKUP($U$34,$AV$24:$BF$34,Q40+1))*V48</f>
        <v>3.6363738485967538E-5</v>
      </c>
      <c r="AR40" s="28">
        <v>1</v>
      </c>
      <c r="AS40" s="79">
        <f>((($W$39)^Q40)*((1-($W$39))^($U$35-Q40))*HLOOKUP($U$35,$AV$24:$BF$34,Q40+1))*V49</f>
        <v>1.8266321801113142E-6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3.9099489515991718E-3</v>
      </c>
      <c r="BP40">
        <f t="shared" si="38"/>
        <v>9</v>
      </c>
      <c r="BQ40">
        <v>1</v>
      </c>
      <c r="BR40" s="107">
        <f t="shared" si="39"/>
        <v>1.6493198225095443E-6</v>
      </c>
    </row>
    <row r="41" spans="1:70" x14ac:dyDescent="0.25">
      <c r="G41" s="91">
        <v>2</v>
      </c>
      <c r="H41" s="132">
        <f>L39*J41+J40*L40+J39*L41</f>
        <v>0.14959176237989219</v>
      </c>
      <c r="I41" s="93">
        <v>2</v>
      </c>
      <c r="J41" s="86">
        <f t="shared" si="37"/>
        <v>0.19400813976535333</v>
      </c>
      <c r="K41" s="95">
        <v>2</v>
      </c>
      <c r="L41" s="86">
        <f>AE20</f>
        <v>5.4899514773417861E-2</v>
      </c>
      <c r="M41" s="85">
        <v>2</v>
      </c>
      <c r="N41" s="71">
        <f>(($C$24)^M27)*((1-($C$24))^($B$21-M27))*HLOOKUP($B$21,$AV$24:$BF$34,M27+1)</f>
        <v>0.28911314461965615</v>
      </c>
      <c r="O41" s="72">
        <v>2</v>
      </c>
      <c r="P41" s="71">
        <f t="shared" si="40"/>
        <v>0.28911314461965615</v>
      </c>
      <c r="Q41" s="28">
        <v>2</v>
      </c>
      <c r="R41" s="37">
        <f>P41*N39+P40*N40+P39*N41</f>
        <v>2.8808088004303685E-2</v>
      </c>
      <c r="S41" s="72">
        <v>2</v>
      </c>
      <c r="T41" s="135">
        <f t="shared" si="41"/>
        <v>2.5000000000000001E-5</v>
      </c>
      <c r="U41" s="93">
        <v>2</v>
      </c>
      <c r="V41" s="86">
        <f>R41*T39+T40*R40+R39*T41</f>
        <v>2.8576484867223001E-2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1.1187789908149179E-2</v>
      </c>
      <c r="AD41" s="28">
        <v>2</v>
      </c>
      <c r="AE41" s="79">
        <f>((($W$39)^M41)*((1-($W$39))^($U$28-M41))*HLOOKUP($U$28,$AV$24:$BF$34,M41+1))*V42</f>
        <v>3.8331066090616817E-2</v>
      </c>
      <c r="AF41" s="28">
        <v>2</v>
      </c>
      <c r="AG41" s="79">
        <f>((($W$39)^M41)*((1-($W$39))^($U$29-M41))*HLOOKUP($U$29,$AV$24:$BF$34,M41+1))*V43</f>
        <v>5.7477952759579162E-2</v>
      </c>
      <c r="AH41" s="28">
        <v>2</v>
      </c>
      <c r="AI41" s="79">
        <f>((($W$39)^M41)*((1-($W$39))^($U$30-M41))*HLOOKUP($U$30,$AV$24:$BF$34,M41+1))*V44</f>
        <v>4.9278989933807457E-2</v>
      </c>
      <c r="AJ41" s="28">
        <v>2</v>
      </c>
      <c r="AK41" s="79">
        <f>((($W$39)^M41)*((1-($W$39))^($U$31-M41))*HLOOKUP($U$31,$AV$24:$BF$34,M41+1))*V45</f>
        <v>2.6430074390324198E-2</v>
      </c>
      <c r="AL41" s="28">
        <v>2</v>
      </c>
      <c r="AM41" s="79">
        <f>((($W$39)^Q41)*((1-($W$39))^($U$32-Q41))*HLOOKUP($U$32,$AV$24:$BF$34,Q41+1))*V46</f>
        <v>9.0866851007355524E-3</v>
      </c>
      <c r="AN41" s="28">
        <v>2</v>
      </c>
      <c r="AO41" s="79">
        <f>((($W$39)^Q41)*((1-($W$39))^($U$33-Q41))*HLOOKUP($U$33,$AV$24:$BF$34,Q41+1))*V47</f>
        <v>1.958688010292464E-3</v>
      </c>
      <c r="AP41" s="28">
        <v>2</v>
      </c>
      <c r="AQ41" s="79">
        <f>((($W$39)^Q41)*((1-($W$39))^($U$34-Q41))*HLOOKUP($U$34,$AV$24:$BF$34,Q41+1))*V48</f>
        <v>2.4315270275008711E-4</v>
      </c>
      <c r="AR41" s="28">
        <v>2</v>
      </c>
      <c r="AS41" s="79">
        <f>((($W$39)^Q41)*((1-($W$39))^($U$35-Q41))*HLOOKUP($U$35,$AV$24:$BF$34,Q41+1))*V49</f>
        <v>1.3740869098420998E-5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1.1631028988501864E-3</v>
      </c>
      <c r="BP41">
        <f t="shared" si="38"/>
        <v>9</v>
      </c>
      <c r="BQ41">
        <v>2</v>
      </c>
      <c r="BR41" s="107">
        <f t="shared" si="39"/>
        <v>4.158063210907696E-6</v>
      </c>
    </row>
    <row r="42" spans="1:70" ht="15" customHeight="1" x14ac:dyDescent="0.25">
      <c r="G42" s="91">
        <v>3</v>
      </c>
      <c r="H42" s="132">
        <f>J42*L39+J41*L40+L42*J39+L41*J40</f>
        <v>0.22831915969096711</v>
      </c>
      <c r="I42" s="93">
        <v>3</v>
      </c>
      <c r="J42" s="86">
        <f t="shared" si="37"/>
        <v>0.25957793537814089</v>
      </c>
      <c r="K42" s="95">
        <v>3</v>
      </c>
      <c r="L42" s="86">
        <f>AF20</f>
        <v>5.3356883380749134E-3</v>
      </c>
      <c r="M42" s="85">
        <v>3</v>
      </c>
      <c r="N42" s="71">
        <f>(($C$24)^M28)*((1-($C$24))^($B$21-M28))*HLOOKUP($B$21,$AV$24:$BF$34,M28+1)</f>
        <v>0.33035791331950554</v>
      </c>
      <c r="O42" s="72">
        <v>3</v>
      </c>
      <c r="P42" s="71">
        <f t="shared" si="40"/>
        <v>0.33035791331950554</v>
      </c>
      <c r="Q42" s="28">
        <v>3</v>
      </c>
      <c r="R42" s="37">
        <f>P42*N39+P41*N40+P40*N41+P39*N42</f>
        <v>8.7780903008027447E-2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8.7192069039690526E-2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2.13589661644716E-2</v>
      </c>
      <c r="AF42" s="28">
        <v>3</v>
      </c>
      <c r="AG42" s="79">
        <f>((($W$39)^M42)*((1-($W$39))^($U$29-M42))*HLOOKUP($U$29,$AV$24:$BF$34,M42+1))*V43</f>
        <v>6.405611809975062E-2</v>
      </c>
      <c r="AH42" s="28">
        <v>3</v>
      </c>
      <c r="AI42" s="79">
        <f>((($W$39)^M42)*((1-($W$39))^($U$30-M42))*HLOOKUP($U$30,$AV$24:$BF$34,M42+1))*V44</f>
        <v>8.2378215841472785E-2</v>
      </c>
      <c r="AJ42" s="28">
        <v>3</v>
      </c>
      <c r="AK42" s="79">
        <f>((($W$39)^M42)*((1-($W$39))^($U$31-M42))*HLOOKUP($U$31,$AV$24:$BF$34,M42+1))*V45</f>
        <v>5.8909821427126162E-2</v>
      </c>
      <c r="AL42" s="28">
        <v>3</v>
      </c>
      <c r="AM42" s="79">
        <f>((($W$39)^Q42)*((1-($W$39))^($U$32-Q42))*HLOOKUP($U$32,$AV$24:$BF$34,Q42+1))*V46</f>
        <v>2.5316566874894315E-2</v>
      </c>
      <c r="AN42" s="28">
        <v>3</v>
      </c>
      <c r="AO42" s="79">
        <f>((($W$39)^Q42)*((1-($W$39))^($U$33-Q42))*HLOOKUP($U$33,$AV$24:$BF$34,Q42+1))*V47</f>
        <v>6.5485605080262575E-3</v>
      </c>
      <c r="AP42" s="28">
        <v>3</v>
      </c>
      <c r="AQ42" s="79">
        <f>((($W$39)^Q42)*((1-($W$39))^($U$34-Q42))*HLOOKUP($U$34,$AV$24:$BF$34,Q42+1))*V48</f>
        <v>9.4843259433297718E-4</v>
      </c>
      <c r="AR42" s="28">
        <v>3</v>
      </c>
      <c r="AS42" s="79">
        <f>((($W$39)^Q42)*((1-($W$39))^($U$35-Q42))*HLOOKUP($U$35,$AV$24:$BF$34,Q42+1))*V49</f>
        <v>6.1253868066132828E-5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2.5532971283341441E-4</v>
      </c>
      <c r="BP42">
        <f t="shared" si="38"/>
        <v>9</v>
      </c>
      <c r="BQ42">
        <v>3</v>
      </c>
      <c r="BR42" s="107">
        <f t="shared" si="39"/>
        <v>6.3463755166239114E-6</v>
      </c>
    </row>
    <row r="43" spans="1:70" ht="15" customHeight="1" x14ac:dyDescent="0.25">
      <c r="G43" s="91">
        <v>4</v>
      </c>
      <c r="H43" s="132">
        <f>J43*L39+J42*L40+J41*L41+J40*L42</f>
        <v>0.23524510145670899</v>
      </c>
      <c r="I43" s="93">
        <v>4</v>
      </c>
      <c r="J43" s="86">
        <f t="shared" si="37"/>
        <v>0.22804525176214402</v>
      </c>
      <c r="K43" s="95">
        <v>4</v>
      </c>
      <c r="L43" s="86"/>
      <c r="M43" s="85">
        <v>4</v>
      </c>
      <c r="N43" s="71">
        <f>(($C$24)^M29)*((1-($C$24))^($B$21-M29))*HLOOKUP($B$21,$AV$24:$BF$34,M29+1)</f>
        <v>0.18874332233560787</v>
      </c>
      <c r="O43" s="72">
        <v>4</v>
      </c>
      <c r="P43" s="71">
        <f t="shared" si="40"/>
        <v>0.18874332233560787</v>
      </c>
      <c r="Q43" s="28">
        <v>4</v>
      </c>
      <c r="R43" s="37">
        <f>P43*N39+P42*N40+P41*N41+P40*N42+P39*N43</f>
        <v>0.17553146182291901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0.17465467567836537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2.6770174925846043E-2</v>
      </c>
      <c r="AH43" s="28">
        <v>4</v>
      </c>
      <c r="AI43" s="79">
        <f>((($W$39)^M43)*((1-($W$39))^($U$30-M43))*HLOOKUP($U$30,$AV$24:$BF$34,M43+1))*V44</f>
        <v>6.8854601670403554E-2</v>
      </c>
      <c r="AJ43" s="28">
        <v>4</v>
      </c>
      <c r="AK43" s="79">
        <f>((($W$39)^M43)*((1-($W$39))^($U$31-M43))*HLOOKUP($U$31,$AV$24:$BF$34,M43+1))*V45</f>
        <v>7.3858341930682511E-2</v>
      </c>
      <c r="AL43" s="28">
        <v>4</v>
      </c>
      <c r="AM43" s="79">
        <f>((($W$39)^Q43)*((1-($W$39))^($U$32-Q43))*HLOOKUP($U$32,$AV$24:$BF$34,Q43+1))*V46</f>
        <v>4.2320948809755551E-2</v>
      </c>
      <c r="AN43" s="28">
        <v>4</v>
      </c>
      <c r="AO43" s="79">
        <f>((($W$39)^Q43)*((1-($W$39))^($U$33-Q43))*HLOOKUP($U$33,$AV$24:$BF$34,Q43+1))*V47</f>
        <v>1.3683791299947087E-2</v>
      </c>
      <c r="AP43" s="28">
        <v>4</v>
      </c>
      <c r="AQ43" s="79">
        <f>((($W$39)^Q43)*((1-($W$39))^($U$34-Q43))*HLOOKUP($U$34,$AV$24:$BF$34,Q43+1))*V48</f>
        <v>2.3781996669979249E-3</v>
      </c>
      <c r="AR43" s="28">
        <v>4</v>
      </c>
      <c r="AS43" s="79">
        <f>((($W$39)^Q43)*((1-($W$39))^($U$35-Q43))*HLOOKUP($U$35,$AV$24:$BF$34,Q43+1))*V49</f>
        <v>1.7919345851134523E-4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4.0500373692272041E-5</v>
      </c>
      <c r="BP43">
        <f t="shared" si="38"/>
        <v>9</v>
      </c>
      <c r="BQ43">
        <v>4</v>
      </c>
      <c r="BR43" s="107">
        <f t="shared" si="39"/>
        <v>6.5388894839631419E-6</v>
      </c>
    </row>
    <row r="44" spans="1:70" ht="15" customHeight="1" thickBot="1" x14ac:dyDescent="0.3">
      <c r="G44" s="91">
        <v>5</v>
      </c>
      <c r="H44" s="132">
        <f>J44*L39+J43*L40+J42*L41+J41*L42</f>
        <v>0.17271405769900178</v>
      </c>
      <c r="I44" s="93">
        <v>5</v>
      </c>
      <c r="J44" s="86">
        <f t="shared" si="37"/>
        <v>0.13749000627600602</v>
      </c>
      <c r="K44" s="95">
        <v>5</v>
      </c>
      <c r="L44" s="86"/>
      <c r="M44" s="85">
        <v>5</v>
      </c>
      <c r="N44" s="71">
        <f>(($C$24)^M30)*((1-($C$24))^($B$21-M30))*HLOOKUP($B$21,$AV$24:$BF$34,M30+1)</f>
        <v>4.3133874249689168E-2</v>
      </c>
      <c r="O44" s="72">
        <v>5</v>
      </c>
      <c r="P44" s="71">
        <f t="shared" si="40"/>
        <v>4.3133874249689168E-2</v>
      </c>
      <c r="Q44" s="28">
        <v>5</v>
      </c>
      <c r="R44" s="37">
        <f>P44*N39+P43*N40+P42*N41+P41*N42+P40*N43+P39*N44</f>
        <v>0.24068725422787091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0.24003513143466115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2.3020436278024539E-2</v>
      </c>
      <c r="AJ44" s="28">
        <v>5</v>
      </c>
      <c r="AK44" s="79">
        <f>((($W$39)^M44)*((1-($W$39))^($U$31-M44))*HLOOKUP($U$31,$AV$24:$BF$34,M44+1))*V45</f>
        <v>4.938671382211076E-2</v>
      </c>
      <c r="AL44" s="28">
        <v>5</v>
      </c>
      <c r="AM44" s="79">
        <f>((($W$39)^Q44)*((1-($W$39))^($U$32-Q44))*HLOOKUP($U$32,$AV$24:$BF$34,Q44+1))*V46</f>
        <v>4.2447999770476606E-2</v>
      </c>
      <c r="AN44" s="28">
        <v>5</v>
      </c>
      <c r="AO44" s="79">
        <f>((($W$39)^Q44)*((1-($W$39))^($U$33-Q44))*HLOOKUP($U$33,$AV$24:$BF$34,Q44+1))*V47</f>
        <v>1.8299828218895697E-2</v>
      </c>
      <c r="AP44" s="28">
        <v>5</v>
      </c>
      <c r="AQ44" s="79">
        <f>((($W$39)^Q44)*((1-($W$39))^($U$34-Q44))*HLOOKUP($U$34,$AV$24:$BF$34,Q44+1))*V48</f>
        <v>3.9755653625455096E-3</v>
      </c>
      <c r="AR44" s="28">
        <v>5</v>
      </c>
      <c r="AS44" s="79">
        <f>((($W$39)^Q44)*((1-($W$39))^($U$35-Q44))*HLOOKUP($U$35,$AV$24:$BF$34,Q44+1))*V49</f>
        <v>3.594628239529032E-4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3.4300083513310472E-3</v>
      </c>
      <c r="BP44">
        <f t="shared" si="38"/>
        <v>9</v>
      </c>
      <c r="BQ44">
        <v>5</v>
      </c>
      <c r="BR44" s="107">
        <f t="shared" si="39"/>
        <v>4.8007721675277322E-6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9.29562669732171E-2</v>
      </c>
      <c r="I45" s="93">
        <v>6</v>
      </c>
      <c r="J45" s="86">
        <f t="shared" si="37"/>
        <v>5.7639680457908189E-2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0.22918633687491768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0.22929942963070327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1.375971577476064E-2</v>
      </c>
      <c r="AL45" s="28">
        <v>6</v>
      </c>
      <c r="AM45" s="79">
        <f>((($W$39)^Q45)*((1-($W$39))^($U$32-Q45))*HLOOKUP($U$32,$AV$24:$BF$34,Q45+1))*V46</f>
        <v>2.3653017860336755E-2</v>
      </c>
      <c r="AN45" s="28">
        <v>6</v>
      </c>
      <c r="AO45" s="79">
        <f>((($W$39)^Q45)*((1-($W$39))^($U$33-Q45))*HLOOKUP($U$33,$AV$24:$BF$34,Q45+1))*V47</f>
        <v>1.5295638170577146E-2</v>
      </c>
      <c r="AP45" s="28">
        <v>6</v>
      </c>
      <c r="AQ45" s="79">
        <f>((($W$39)^Q45)*((1-($W$39))^($U$34-Q45))*HLOOKUP($U$34,$AV$24:$BF$34,Q45+1))*V48</f>
        <v>4.4305559288392018E-3</v>
      </c>
      <c r="AR45" s="28">
        <v>6</v>
      </c>
      <c r="AS45" s="79">
        <f>((($W$39)^Q45)*((1-($W$39))^($U$35-Q45))*HLOOKUP($U$35,$AV$24:$BF$34,Q45+1))*V49</f>
        <v>5.0075272339444084E-4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1.3711152153365583E-3</v>
      </c>
      <c r="BP45">
        <f t="shared" si="38"/>
        <v>9</v>
      </c>
      <c r="BQ45">
        <v>6</v>
      </c>
      <c r="BR45" s="107">
        <f t="shared" si="39"/>
        <v>2.5838189735546768E-6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3.7158437809169047E-2</v>
      </c>
      <c r="I46" s="93">
        <v>7</v>
      </c>
      <c r="J46" s="86">
        <f t="shared" si="37"/>
        <v>1.6606603472329638E-2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0.14964684028747735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0.15044053428887089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5.6485776573003401E-3</v>
      </c>
      <c r="AN46" s="28">
        <v>7</v>
      </c>
      <c r="AO46" s="79">
        <f>((($W$39)^Q46)*((1-($W$39))^($U$33-Q46))*HLOOKUP($U$33,$AV$24:$BF$34,Q46+1))*V47</f>
        <v>7.3055033006466626E-3</v>
      </c>
      <c r="AP46" s="28">
        <v>7</v>
      </c>
      <c r="AQ46" s="79">
        <f>((($W$39)^Q46)*((1-($W$39))^($U$34-Q46))*HLOOKUP($U$34,$AV$24:$BF$34,Q46+1))*V48</f>
        <v>3.1741834437575269E-3</v>
      </c>
      <c r="AR46" s="28">
        <v>7</v>
      </c>
      <c r="AS46" s="79">
        <f>((($W$39)^Q46)*((1-($W$39))^($U$35-Q46))*HLOOKUP($U$35,$AV$24:$BF$34,Q46+1))*V49</f>
        <v>4.7833907062510715E-4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4.0786928457551744E-4</v>
      </c>
      <c r="BP46">
        <f t="shared" si="38"/>
        <v>9</v>
      </c>
      <c r="BQ46">
        <v>7</v>
      </c>
      <c r="BR46" s="107">
        <f t="shared" si="39"/>
        <v>1.0328585663476074E-6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1.1053619182141049E-2</v>
      </c>
      <c r="I47" s="93">
        <v>8</v>
      </c>
      <c r="J47" s="86">
        <f t="shared" si="37"/>
        <v>3.1529553079252112E-3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6.4123275107309696E-2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6.4978361157396552E-2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1.5265489627010209E-3</v>
      </c>
      <c r="AP47" s="28">
        <v>8</v>
      </c>
      <c r="AQ47" s="79">
        <f>((($W$39)^Q47)*((1-($W$39))^($U$34-Q47))*HLOOKUP($U$34,$AV$24:$BF$34,Q47+1))*V48</f>
        <v>1.3265469178726926E-3</v>
      </c>
      <c r="AR47" s="28">
        <v>8</v>
      </c>
      <c r="AS47" s="79">
        <f>((($W$39)^Q47)*((1-($W$39))^($U$35-Q47))*HLOOKUP($U$35,$AV$24:$BF$34,Q47+1))*V49</f>
        <v>2.9985942735149748E-4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8.9537346529862754E-5</v>
      </c>
      <c r="BP47">
        <f>BL12+1</f>
        <v>9</v>
      </c>
      <c r="BQ47">
        <v>8</v>
      </c>
      <c r="BR47" s="107">
        <f t="shared" si="39"/>
        <v>3.0724718084357821E-7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2.4265414645050455E-3</v>
      </c>
      <c r="I48" s="93">
        <v>9</v>
      </c>
      <c r="J48" s="86">
        <f t="shared" si="37"/>
        <v>3.5778677416171495E-4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1.6282461462185316E-2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1.6761811667424936E-2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2.4639431862260696E-4</v>
      </c>
      <c r="AR48" s="28">
        <v>9</v>
      </c>
      <c r="AS48" s="79">
        <f>((($W$39)^Q48)*((1-($W$39))^($U$35-Q48))*HLOOKUP($U$35,$AV$24:$BF$34,Q48+1))*V49</f>
        <v>1.1139245553910799E-4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1.4202405014412931E-5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3.8489776611453692E-4</v>
      </c>
      <c r="I49" s="94">
        <v>10</v>
      </c>
      <c r="J49" s="89">
        <f t="shared" si="37"/>
        <v>1.8621144138380488E-5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1.8605311077879983E-3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2.0245517427510684E-3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1.8621144138380488E-5</v>
      </c>
      <c r="BH49">
        <f>BP14+1</f>
        <v>6</v>
      </c>
      <c r="BI49">
        <v>0</v>
      </c>
      <c r="BJ49" s="107">
        <f>$H$31*H39</f>
        <v>1.0233430583073342E-4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3.5312361618354397E-4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1.0504461994767381E-4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2.30598794590309E-5</v>
      </c>
    </row>
    <row r="53" spans="1:62" x14ac:dyDescent="0.25">
      <c r="BH53">
        <f>BH48+1</f>
        <v>6</v>
      </c>
      <c r="BI53">
        <v>10</v>
      </c>
      <c r="BJ53" s="107">
        <f>$H$31*H49</f>
        <v>3.6577557896633394E-6</v>
      </c>
    </row>
    <row r="54" spans="1:62" x14ac:dyDescent="0.25">
      <c r="BH54">
        <f>BH51+1</f>
        <v>7</v>
      </c>
      <c r="BI54">
        <v>8</v>
      </c>
      <c r="BJ54" s="107">
        <f>$H$32*H47</f>
        <v>2.0150687790494028E-5</v>
      </c>
    </row>
    <row r="55" spans="1:62" x14ac:dyDescent="0.25">
      <c r="BH55">
        <f>BH52+1</f>
        <v>7</v>
      </c>
      <c r="BI55">
        <v>9</v>
      </c>
      <c r="BJ55" s="107">
        <f>$H$32*H48</f>
        <v>4.423571923024964E-6</v>
      </c>
    </row>
    <row r="56" spans="1:62" x14ac:dyDescent="0.25">
      <c r="BH56">
        <f>BH53+1</f>
        <v>7</v>
      </c>
      <c r="BI56">
        <v>10</v>
      </c>
      <c r="BJ56" s="107">
        <f>$H$32*H49</f>
        <v>7.0166653911541052E-7</v>
      </c>
    </row>
    <row r="57" spans="1:62" x14ac:dyDescent="0.25">
      <c r="BH57">
        <f>BH55+1</f>
        <v>8</v>
      </c>
      <c r="BI57">
        <v>9</v>
      </c>
      <c r="BJ57" s="107">
        <f>$H$33*H48</f>
        <v>6.3408537834437162E-7</v>
      </c>
    </row>
    <row r="58" spans="1:62" x14ac:dyDescent="0.25">
      <c r="BH58">
        <f>BH56+1</f>
        <v>8</v>
      </c>
      <c r="BI58">
        <v>10</v>
      </c>
      <c r="BJ58" s="107">
        <f>$H$33*H49</f>
        <v>1.0057855974054885E-7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1.0698645538897248E-8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Z14" sqref="Z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17"/>
      <c r="Q1" s="217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0.05</v>
      </c>
      <c r="AN6">
        <f t="shared" ref="AN6:AN19" si="7"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0.05</v>
      </c>
      <c r="AN8">
        <f t="shared" si="7"/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0.32800000000000001</v>
      </c>
      <c r="AK13" s="13"/>
      <c r="AM13" s="13">
        <v>0.22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 t="shared" si="7"/>
        <v>1.6E-2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G8" sqref="G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17"/>
      <c r="Q1" s="217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19" t="s">
        <v>116</v>
      </c>
      <c r="C3" s="219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O16" sqref="O1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7" t="s">
        <v>135</v>
      </c>
      <c r="Q1" s="217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19" t="s">
        <v>23</v>
      </c>
      <c r="C3" s="219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27" priority="14" operator="greaterThan">
      <formula>0.15</formula>
    </cfRule>
  </conditionalFormatting>
  <conditionalFormatting sqref="V35">
    <cfRule type="cellIs" dxfId="26" priority="13" operator="greaterThan">
      <formula>0.15</formula>
    </cfRule>
  </conditionalFormatting>
  <conditionalFormatting sqref="V49">
    <cfRule type="cellIs" dxfId="25" priority="12" operator="greaterThan">
      <formula>0.15</formula>
    </cfRule>
  </conditionalFormatting>
  <conditionalFormatting sqref="V25:V35 V39:V49">
    <cfRule type="cellIs" dxfId="24" priority="11" operator="greaterThan">
      <formula>0.15</formula>
    </cfRule>
  </conditionalFormatting>
  <conditionalFormatting sqref="V35">
    <cfRule type="cellIs" dxfId="23" priority="10" operator="greaterThan">
      <formula>0.15</formula>
    </cfRule>
  </conditionalFormatting>
  <conditionalFormatting sqref="V49">
    <cfRule type="cellIs" dxfId="22" priority="9" operator="greaterThan">
      <formula>0.15</formula>
    </cfRule>
  </conditionalFormatting>
  <conditionalFormatting sqref="H25:H35">
    <cfRule type="cellIs" dxfId="21" priority="8" operator="greaterThan">
      <formula>0.15</formula>
    </cfRule>
  </conditionalFormatting>
  <conditionalFormatting sqref="H35">
    <cfRule type="cellIs" dxfId="20" priority="7" operator="greaterThan">
      <formula>0.15</formula>
    </cfRule>
  </conditionalFormatting>
  <conditionalFormatting sqref="H25:H35">
    <cfRule type="cellIs" dxfId="19" priority="6" operator="greaterThan">
      <formula>0.15</formula>
    </cfRule>
  </conditionalFormatting>
  <conditionalFormatting sqref="H35">
    <cfRule type="cellIs" dxfId="18" priority="5" operator="greaterThan">
      <formula>0.15</formula>
    </cfRule>
  </conditionalFormatting>
  <conditionalFormatting sqref="H39:H49">
    <cfRule type="cellIs" dxfId="17" priority="4" operator="greaterThan">
      <formula>0.15</formula>
    </cfRule>
  </conditionalFormatting>
  <conditionalFormatting sqref="H49">
    <cfRule type="cellIs" dxfId="16" priority="3" operator="greaterThan">
      <formula>0.15</formula>
    </cfRule>
  </conditionalFormatting>
  <conditionalFormatting sqref="H39:H49">
    <cfRule type="cellIs" dxfId="15" priority="2" operator="greaterThan">
      <formula>0.15</formula>
    </cfRule>
  </conditionalFormatting>
  <conditionalFormatting sqref="H49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7" t="s">
        <v>135</v>
      </c>
      <c r="Q1" s="217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20" t="s">
        <v>130</v>
      </c>
      <c r="C3" s="220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13" priority="14" operator="greaterThan">
      <formula>0.15</formula>
    </cfRule>
  </conditionalFormatting>
  <conditionalFormatting sqref="V34">
    <cfRule type="cellIs" dxfId="12" priority="13" operator="greaterThan">
      <formula>0.15</formula>
    </cfRule>
  </conditionalFormatting>
  <conditionalFormatting sqref="V48">
    <cfRule type="cellIs" dxfId="11" priority="12" operator="greaterThan">
      <formula>0.15</formula>
    </cfRule>
  </conditionalFormatting>
  <conditionalFormatting sqref="V24:V34 V38:V48">
    <cfRule type="cellIs" dxfId="10" priority="11" operator="greaterThan">
      <formula>0.15</formula>
    </cfRule>
  </conditionalFormatting>
  <conditionalFormatting sqref="V34">
    <cfRule type="cellIs" dxfId="9" priority="10" operator="greaterThan">
      <formula>0.15</formula>
    </cfRule>
  </conditionalFormatting>
  <conditionalFormatting sqref="V48">
    <cfRule type="cellIs" dxfId="8" priority="9" operator="greaterThan">
      <formula>0.15</formula>
    </cfRule>
  </conditionalFormatting>
  <conditionalFormatting sqref="H24:H34">
    <cfRule type="cellIs" dxfId="7" priority="8" operator="greaterThan">
      <formula>0.15</formula>
    </cfRule>
  </conditionalFormatting>
  <conditionalFormatting sqref="H34">
    <cfRule type="cellIs" dxfId="6" priority="7" operator="greaterThan">
      <formula>0.15</formula>
    </cfRule>
  </conditionalFormatting>
  <conditionalFormatting sqref="H24:H34">
    <cfRule type="cellIs" dxfId="5" priority="6" operator="greaterThan">
      <formula>0.15</formula>
    </cfRule>
  </conditionalFormatting>
  <conditionalFormatting sqref="H34">
    <cfRule type="cellIs" dxfId="4" priority="5" operator="greaterThan">
      <formula>0.15</formula>
    </cfRule>
  </conditionalFormatting>
  <conditionalFormatting sqref="H38:H48">
    <cfRule type="cellIs" dxfId="3" priority="4" operator="greaterThan">
      <formula>0.15</formula>
    </cfRule>
  </conditionalFormatting>
  <conditionalFormatting sqref="H48">
    <cfRule type="cellIs" dxfId="2" priority="3" operator="greaterThan">
      <formula>0.15</formula>
    </cfRule>
  </conditionalFormatting>
  <conditionalFormatting sqref="H38:H48">
    <cfRule type="cellIs" dxfId="1" priority="2" operator="greaterThan">
      <formula>0.15</formula>
    </cfRule>
  </conditionalFormatting>
  <conditionalFormatting sqref="H48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Columbus-OBIWAN</vt:lpstr>
      <vt:lpstr>Columbus-OBIWAN_v3</vt:lpstr>
      <vt:lpstr>SIMULADOR_v3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2018-01-24T16:25:29Z</dcterms:modified>
</cp:coreProperties>
</file>