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7" activeTab="7"/>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V.59" sheetId="45" r:id="rId21"/>
    <sheet name="VI.192" sheetId="33" r:id="rId22"/>
    <sheet name="IV.13" sheetId="80" r:id="rId23"/>
    <sheet name="III.15" sheetId="87" r:id="rId24"/>
    <sheet name="EconomiaT40" sheetId="9" r:id="rId25"/>
    <sheet name="A-P_T40" sheetId="10" r:id="rId26"/>
    <sheet name="EconomiaT41" sheetId="39" r:id="rId27"/>
    <sheet name="A-P_T41" sheetId="40" r:id="rId28"/>
    <sheet name="EconomiaT42" sheetId="42" r:id="rId29"/>
    <sheet name="A-P_T42" sheetId="43" r:id="rId30"/>
    <sheet name="EconomiaT43" sheetId="46" r:id="rId31"/>
    <sheet name="A-P_T43" sheetId="47" r:id="rId32"/>
    <sheet name="EconomiaT44" sheetId="69" r:id="rId33"/>
    <sheet name="A-P_T44" sheetId="70" r:id="rId34"/>
    <sheet name="EconomiaT45" sheetId="78" r:id="rId35"/>
    <sheet name="A-P_T45" sheetId="79" r:id="rId36"/>
    <sheet name="EconomiaT46" sheetId="81" r:id="rId37"/>
    <sheet name="A-P_T46" sheetId="82" r:id="rId38"/>
    <sheet name="EconomiaT47" sheetId="88" r:id="rId39"/>
    <sheet name="A-P_T47" sheetId="89" r:id="rId40"/>
    <sheet name="EconomiaT48" sheetId="91" r:id="rId41"/>
    <sheet name="A-P_T48" sheetId="92" r:id="rId42"/>
    <sheet name="EconomiaT49" sheetId="100" r:id="rId43"/>
    <sheet name="A-P_T49" sheetId="101" r:id="rId44"/>
    <sheet name="EconomiaT50" sheetId="103" r:id="rId45"/>
    <sheet name="A-P_T50" sheetId="104"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5" hidden="1">'A-P_T40'!$I$3:$T$49</definedName>
    <definedName name="_xlnm._FilterDatabase" localSheetId="27" hidden="1">'A-P_T41'!$I$3:$T$49</definedName>
    <definedName name="_xlnm._FilterDatabase" localSheetId="29" hidden="1">'A-P_T42'!$I$3:$T$48</definedName>
    <definedName name="_xlnm._FilterDatabase" localSheetId="31" hidden="1">'A-P_T43'!$I$3:$T$4</definedName>
    <definedName name="_xlnm._FilterDatabase" localSheetId="33" hidden="1">'A-P_T44'!$I$3:$T$4</definedName>
    <definedName name="_xlnm._FilterDatabase" localSheetId="35" hidden="1">'A-P_T45'!$I$3:$T$4</definedName>
    <definedName name="_xlnm._FilterDatabase" localSheetId="37" hidden="1">'A-P_T46'!$I$3:$T$3</definedName>
    <definedName name="_xlnm._FilterDatabase" localSheetId="39" hidden="1">'A-P_T47'!$I$3:$T$3</definedName>
    <definedName name="_xlnm._FilterDatabase" localSheetId="10" hidden="1">ENTRENAMIENTO_Rendimiento!$S$3:$Z$24</definedName>
    <definedName name="_xlnm._FilterDatabase" localSheetId="7"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9" i="32"/>
  <c r="AL10" i="32"/>
  <c r="AL11" i="32"/>
  <c r="AL12" i="32"/>
  <c r="AL13" i="32"/>
  <c r="AL14" i="32"/>
  <c r="AL15" i="32"/>
  <c r="AL16" i="32"/>
  <c r="AL17" i="32"/>
  <c r="AL18" i="32"/>
  <c r="AL19" i="32"/>
  <c r="AL20" i="32"/>
  <c r="AL22" i="32"/>
  <c r="AL24" i="32"/>
  <c r="AK6" i="32"/>
  <c r="AK8" i="32"/>
  <c r="AK9" i="32"/>
  <c r="AK10" i="32"/>
  <c r="AK11" i="32"/>
  <c r="AK12" i="32"/>
  <c r="AK13" i="32"/>
  <c r="AK14" i="32"/>
  <c r="AK15" i="32"/>
  <c r="AK16" i="32"/>
  <c r="AK17" i="32"/>
  <c r="AK18" i="32"/>
  <c r="AK19" i="32"/>
  <c r="AK20" i="32"/>
  <c r="AK22" i="32"/>
  <c r="AK24" i="32"/>
  <c r="AJ6" i="32"/>
  <c r="AJ8" i="32"/>
  <c r="AJ9" i="32"/>
  <c r="AJ10" i="32"/>
  <c r="AJ11" i="32"/>
  <c r="AJ12" i="32"/>
  <c r="AJ13" i="32"/>
  <c r="AJ14" i="32"/>
  <c r="AJ15" i="32"/>
  <c r="AJ16" i="32"/>
  <c r="AJ17" i="32"/>
  <c r="AJ18" i="32"/>
  <c r="AJ19" i="32"/>
  <c r="AJ20" i="32"/>
  <c r="AJ22" i="32"/>
  <c r="AJ24" i="32"/>
  <c r="AH6" i="32"/>
  <c r="AI6" i="32"/>
  <c r="AH8" i="32"/>
  <c r="AI8" i="32"/>
  <c r="AH9" i="32"/>
  <c r="AI9" i="32"/>
  <c r="AH10" i="32"/>
  <c r="AI10" i="32"/>
  <c r="AH11" i="32"/>
  <c r="AI11" i="32"/>
  <c r="AH12" i="32"/>
  <c r="AI12" i="32"/>
  <c r="AH13" i="32"/>
  <c r="AI13" i="32"/>
  <c r="AH14" i="32"/>
  <c r="AI14" i="32"/>
  <c r="AH15" i="32"/>
  <c r="AI15" i="32"/>
  <c r="AH16" i="32"/>
  <c r="AI16" i="32"/>
  <c r="AH17" i="32"/>
  <c r="AI17" i="32"/>
  <c r="AH18" i="32"/>
  <c r="AI18" i="32"/>
  <c r="AH19" i="32"/>
  <c r="AI19" i="32"/>
  <c r="AH20" i="32"/>
  <c r="AI20" i="32"/>
  <c r="AH22" i="32"/>
  <c r="AI22" i="32"/>
  <c r="AH24" i="32"/>
  <c r="AI24" i="32"/>
  <c r="AF6" i="32"/>
  <c r="AG6" i="32"/>
  <c r="AF8" i="32"/>
  <c r="AG8" i="32"/>
  <c r="AF9" i="32"/>
  <c r="AG9" i="32"/>
  <c r="AF10" i="32"/>
  <c r="AG10" i="32"/>
  <c r="AF11" i="32"/>
  <c r="AG11" i="32"/>
  <c r="AF12" i="32"/>
  <c r="AG12" i="32"/>
  <c r="AF13" i="32"/>
  <c r="AG13" i="32"/>
  <c r="AF14" i="32"/>
  <c r="AG14" i="32"/>
  <c r="AF15" i="32"/>
  <c r="AG15" i="32"/>
  <c r="AF16" i="32"/>
  <c r="AG16" i="32"/>
  <c r="AF17" i="32"/>
  <c r="AG17" i="32"/>
  <c r="AF18" i="32"/>
  <c r="AG18" i="32"/>
  <c r="AF19" i="32"/>
  <c r="AG19" i="32"/>
  <c r="AF20" i="32"/>
  <c r="AG20" i="32"/>
  <c r="AF22" i="32"/>
  <c r="AG22" i="32"/>
  <c r="AF24" i="32"/>
  <c r="AG24" i="32"/>
  <c r="P23" i="32"/>
  <c r="AF23" i="32" s="1"/>
  <c r="P21" i="32"/>
  <c r="AF21" i="32" s="1"/>
  <c r="P7" i="32"/>
  <c r="AF7" i="32" s="1"/>
  <c r="P5" i="32"/>
  <c r="AF5" i="32" s="1"/>
  <c r="AN23" i="32" l="1"/>
  <c r="AN7" i="32"/>
  <c r="AM23" i="32"/>
  <c r="AM21" i="32"/>
  <c r="AM7" i="32"/>
  <c r="AN21" i="32"/>
  <c r="AN5" i="32"/>
  <c r="AL21" i="32"/>
  <c r="AM5" i="32"/>
  <c r="AL23" i="32"/>
  <c r="AL7" i="32"/>
  <c r="AK21" i="32"/>
  <c r="AL5" i="32"/>
  <c r="AK23" i="32"/>
  <c r="AK7" i="32"/>
  <c r="AJ21" i="32"/>
  <c r="AK5" i="32"/>
  <c r="AI7" i="32"/>
  <c r="AJ23" i="32"/>
  <c r="AJ7" i="32"/>
  <c r="AI21" i="32"/>
  <c r="AJ5" i="32"/>
  <c r="AI23" i="32"/>
  <c r="AH23" i="32"/>
  <c r="AH21" i="32"/>
  <c r="AH7" i="32"/>
  <c r="AG7" i="32"/>
  <c r="AI5" i="32"/>
  <c r="AG23" i="32"/>
  <c r="AH5" i="32"/>
  <c r="AG21" i="32"/>
  <c r="AG5" i="32"/>
  <c r="O26" i="49" l="1"/>
  <c r="R32" i="49"/>
  <c r="Z20" i="32" l="1"/>
  <c r="Z23" i="32"/>
  <c r="Z24" i="32"/>
  <c r="Z22" i="32"/>
  <c r="Z19" i="32"/>
  <c r="Z15" i="32"/>
  <c r="Z18" i="32"/>
  <c r="Z16" i="32"/>
  <c r="Z13" i="32"/>
  <c r="Z14" i="32"/>
  <c r="Z12" i="32"/>
  <c r="Z11" i="32"/>
  <c r="Z17" i="32"/>
  <c r="Z8" i="32"/>
  <c r="Z7" i="32"/>
  <c r="Z10" i="32"/>
  <c r="Z9" i="32"/>
  <c r="Z6" i="32"/>
  <c r="Z5"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Y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5" i="32"/>
  <c r="Y14" i="111"/>
  <c r="L14" i="111"/>
  <c r="L5" i="110"/>
  <c r="L5" i="107"/>
  <c r="Z12" i="108"/>
  <c r="L12" i="108"/>
  <c r="L10" i="111"/>
  <c r="L8" i="110"/>
  <c r="L9" i="107"/>
  <c r="L16" i="108"/>
  <c r="L5" i="111"/>
  <c r="AA10" i="32"/>
  <c r="Z19" i="110"/>
  <c r="L19" i="110"/>
  <c r="L13" i="107"/>
  <c r="L7" i="111"/>
  <c r="Z17" i="110"/>
  <c r="Y17" i="110"/>
  <c r="L17" i="110"/>
  <c r="L14" i="107"/>
  <c r="L11" i="108"/>
  <c r="Y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F15" i="102"/>
  <c r="A5" i="102"/>
  <c r="D5" i="102"/>
  <c r="N5" i="102" s="1"/>
  <c r="A17" i="102"/>
  <c r="A19" i="102"/>
  <c r="A2" i="102"/>
  <c r="D2" i="102"/>
  <c r="N2" i="102" s="1"/>
  <c r="A4" i="102"/>
  <c r="C4" i="102"/>
  <c r="M4" i="102" s="1"/>
  <c r="D4" i="102"/>
  <c r="N4" i="102" s="1"/>
  <c r="F4" i="102"/>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Y14" i="32"/>
  <c r="Y13" i="32"/>
  <c r="Y9" i="32"/>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F13" i="102"/>
  <c r="C13" i="102"/>
  <c r="U15" i="49"/>
  <c r="V4" i="49" l="1"/>
  <c r="V8" i="49"/>
  <c r="V13" i="49"/>
  <c r="V16" i="49"/>
  <c r="V24" i="49"/>
  <c r="V11" i="49"/>
  <c r="V20" i="49"/>
  <c r="V15" i="49"/>
  <c r="V5" i="49"/>
  <c r="V9" i="49"/>
  <c r="V12" i="49"/>
  <c r="V19" i="49"/>
  <c r="V3" i="49"/>
  <c r="V6" i="49"/>
  <c r="V14" i="49"/>
  <c r="V7" i="49"/>
  <c r="V10" i="49"/>
  <c r="V21" i="49"/>
  <c r="AB11" i="32" l="1"/>
  <c r="AB6" i="32"/>
  <c r="I20" i="107" l="1"/>
  <c r="I20" i="110"/>
  <c r="I20" i="111"/>
  <c r="I21" i="111"/>
  <c r="I21" i="110"/>
  <c r="I21" i="107"/>
  <c r="Y20" i="32"/>
  <c r="Y22" i="32"/>
  <c r="Y19" i="32"/>
  <c r="Y18" i="32"/>
  <c r="Y16" i="32"/>
  <c r="Y11" i="32"/>
  <c r="Y7" i="32"/>
  <c r="Y10" i="32"/>
  <c r="Y6" i="32"/>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22" i="32"/>
  <c r="AA9" i="32"/>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F3" i="102"/>
  <c r="C3" i="102"/>
  <c r="M3" i="102" s="1"/>
  <c r="J13" i="107"/>
  <c r="J5" i="111"/>
  <c r="J19" i="110"/>
  <c r="F11" i="102"/>
  <c r="C11" i="102"/>
  <c r="M11" i="102" s="1"/>
  <c r="J6" i="110"/>
  <c r="J4" i="107"/>
  <c r="J11" i="111"/>
  <c r="F9" i="102"/>
  <c r="C9" i="102"/>
  <c r="M9" i="102" s="1"/>
  <c r="J9" i="111"/>
  <c r="J9" i="110"/>
  <c r="J8" i="107"/>
  <c r="F8" i="102"/>
  <c r="C8" i="102"/>
  <c r="M8" i="102" s="1"/>
  <c r="J16" i="111"/>
  <c r="J4" i="110"/>
  <c r="J6" i="107"/>
  <c r="F2" i="102"/>
  <c r="C2" i="102"/>
  <c r="M2" i="102" s="1"/>
  <c r="J18" i="111"/>
  <c r="J14" i="110"/>
  <c r="J19" i="107"/>
  <c r="J5" i="107"/>
  <c r="J5" i="110"/>
  <c r="J14" i="111"/>
  <c r="F5" i="102"/>
  <c r="C5" i="102"/>
  <c r="M5" i="102" s="1"/>
  <c r="J6" i="111"/>
  <c r="J10" i="107"/>
  <c r="J10" i="110"/>
  <c r="F7" i="102"/>
  <c r="C7" i="102"/>
  <c r="M7" i="102" s="1"/>
  <c r="J15" i="110"/>
  <c r="J17" i="107"/>
  <c r="J15" i="111"/>
  <c r="F20" i="102"/>
  <c r="C20" i="102"/>
  <c r="J4" i="111"/>
  <c r="J16" i="110"/>
  <c r="J12" i="107"/>
  <c r="F14" i="102"/>
  <c r="C14" i="102"/>
  <c r="J10" i="111"/>
  <c r="J9" i="107"/>
  <c r="J8" i="110"/>
  <c r="F10" i="102"/>
  <c r="C10" i="102"/>
  <c r="M10" i="102" s="1"/>
  <c r="J13" i="110"/>
  <c r="J18" i="107"/>
  <c r="J17" i="111"/>
  <c r="F6" i="102"/>
  <c r="C6" i="102"/>
  <c r="M6" i="102" s="1"/>
  <c r="AA24" i="32"/>
  <c r="AA15" i="32"/>
  <c r="AA18" i="32"/>
  <c r="AA13" i="32"/>
  <c r="AA14" i="32"/>
  <c r="AA11" i="32"/>
  <c r="AA17" i="32"/>
  <c r="AA7" i="32"/>
  <c r="AA5" i="32"/>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AA19" i="32" l="1"/>
  <c r="H22" i="111" l="1"/>
  <c r="H22" i="110"/>
  <c r="H22" i="107"/>
  <c r="J6" i="32"/>
  <c r="J7" i="32"/>
  <c r="J8" i="32"/>
  <c r="J9" i="32"/>
  <c r="J10" i="32"/>
  <c r="J11" i="32"/>
  <c r="J12" i="32"/>
  <c r="J13" i="32"/>
  <c r="J14" i="32"/>
  <c r="J15" i="32"/>
  <c r="J16" i="32"/>
  <c r="J17" i="32"/>
  <c r="J18" i="32"/>
  <c r="J19" i="32"/>
  <c r="J20" i="32"/>
  <c r="J22" i="32"/>
  <c r="J23" i="32"/>
  <c r="J24" i="32"/>
  <c r="J5" i="32"/>
  <c r="B12" i="102" l="1"/>
  <c r="C15" i="83"/>
  <c r="B15" i="83"/>
  <c r="B19" i="102"/>
  <c r="C19" i="83"/>
  <c r="B19" i="83"/>
  <c r="E2" i="102"/>
  <c r="B2" i="102"/>
  <c r="L2" i="102" s="1"/>
  <c r="B10" i="83"/>
  <c r="C10" i="83"/>
  <c r="E11" i="102"/>
  <c r="C12" i="83"/>
  <c r="B12" i="83"/>
  <c r="B11" i="102"/>
  <c r="L11" i="102" s="1"/>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19" i="83" l="1"/>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C18" i="3" l="1"/>
  <c r="C19" i="3"/>
  <c r="C20" i="3"/>
  <c r="C21" i="3"/>
  <c r="U24" i="49"/>
  <c r="U21" i="49"/>
  <c r="U19"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Q8" i="32"/>
  <c r="AQ9" i="32"/>
  <c r="AQ10" i="32"/>
  <c r="AQ11" i="32"/>
  <c r="AQ7" i="32"/>
  <c r="AQ12" i="32"/>
  <c r="AQ13" i="32"/>
  <c r="AQ14" i="32"/>
  <c r="AQ15" i="32"/>
  <c r="AQ16" i="32"/>
  <c r="AQ17" i="32"/>
  <c r="AQ18" i="32"/>
  <c r="AQ19" i="32"/>
  <c r="AQ20" i="32"/>
  <c r="AQ22" i="32"/>
  <c r="AQ23" i="32"/>
  <c r="AQ24" i="32"/>
  <c r="AQ6" i="32"/>
  <c r="AQ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J23" i="108"/>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9" i="32" l="1"/>
  <c r="F6" i="32"/>
  <c r="F21" i="32"/>
  <c r="D12" i="111" s="1"/>
  <c r="F7" i="32"/>
  <c r="F13" i="32"/>
  <c r="F11" i="32"/>
  <c r="F23" i="32"/>
  <c r="F15" i="32"/>
  <c r="F14" i="32"/>
  <c r="F18" i="32"/>
  <c r="F17" i="32"/>
  <c r="F8" i="32"/>
  <c r="F22" i="32"/>
  <c r="F16" i="32"/>
  <c r="F20" i="32"/>
  <c r="F12" i="32"/>
  <c r="F19" i="32"/>
  <c r="F24" i="32"/>
  <c r="F10" i="32"/>
  <c r="D15" i="111"/>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<sst xmlns="http://schemas.openxmlformats.org/spreadsheetml/2006/main" count="4567" uniqueCount="1044">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</sst>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5" fillId="29" borderId="1" xfId="0" applyNumberFormat="1" applyFont="1" applyFill="1" applyBorder="1" applyAlignment="1">
      <alignment horizontal="center" vertical="center"/>
    </xf>
    <xf numFmtId="2" fontId="55" fillId="29" borderId="1" xfId="0" applyNumberFormat="1" applyFont="1" applyFill="1" applyBorder="1" applyAlignment="1">
      <alignment horizontal="center" vertic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91531616"/>
        <c:axId val="291536320"/>
      </c:barChart>
      <c:catAx>
        <c:axId val="291531616"/>
        <c:scaling>
          <c:orientation val="minMax"/>
        </c:scaling>
        <c:delete val="0"/>
        <c:axPos val="b"/>
        <c:numFmt formatCode="General" sourceLinked="1"/>
        <c:majorTickMark val="out"/>
        <c:minorTickMark val="none"/>
        <c:tickLblPos val="nextTo"/>
        <c:crossAx val="291536320"/>
        <c:crosses val="autoZero"/>
        <c:auto val="1"/>
        <c:lblAlgn val="ctr"/>
        <c:lblOffset val="100"/>
        <c:noMultiLvlLbl val="0"/>
      </c:catAx>
      <c:valAx>
        <c:axId val="291536320"/>
        <c:scaling>
          <c:orientation val="minMax"/>
        </c:scaling>
        <c:delete val="0"/>
        <c:axPos val="l"/>
        <c:majorGridlines/>
        <c:numFmt formatCode="_-* #,##0\ [$€-C0A]_-;\-* #,##0\ [$€-C0A]_-;_-* &quot;-&quot;??\ [$€-C0A]_-;_-@_-" sourceLinked="1"/>
        <c:majorTickMark val="out"/>
        <c:minorTickMark val="none"/>
        <c:tickLblPos val="nextTo"/>
        <c:crossAx val="291531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0044472"/>
        <c:axId val="310043688"/>
      </c:barChart>
      <c:catAx>
        <c:axId val="310044472"/>
        <c:scaling>
          <c:orientation val="minMax"/>
        </c:scaling>
        <c:delete val="0"/>
        <c:axPos val="b"/>
        <c:numFmt formatCode="General" sourceLinked="1"/>
        <c:majorTickMark val="out"/>
        <c:minorTickMark val="none"/>
        <c:tickLblPos val="nextTo"/>
        <c:crossAx val="310043688"/>
        <c:crosses val="autoZero"/>
        <c:auto val="1"/>
        <c:lblAlgn val="ctr"/>
        <c:lblOffset val="100"/>
        <c:noMultiLvlLbl val="0"/>
      </c:catAx>
      <c:valAx>
        <c:axId val="310043688"/>
        <c:scaling>
          <c:orientation val="minMax"/>
        </c:scaling>
        <c:delete val="0"/>
        <c:axPos val="l"/>
        <c:majorGridlines/>
        <c:numFmt formatCode="_-* #,##0\ [$€-C0A]_-;\-* #,##0\ [$€-C0A]_-;_-* &quot;-&quot;??\ [$€-C0A]_-;_-@_-" sourceLinked="1"/>
        <c:majorTickMark val="out"/>
        <c:minorTickMark val="none"/>
        <c:tickLblPos val="nextTo"/>
        <c:crossAx val="3100444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10044080"/>
        <c:axId val="310045256"/>
      </c:barChart>
      <c:catAx>
        <c:axId val="310044080"/>
        <c:scaling>
          <c:orientation val="minMax"/>
        </c:scaling>
        <c:delete val="0"/>
        <c:axPos val="b"/>
        <c:numFmt formatCode="General" sourceLinked="1"/>
        <c:majorTickMark val="out"/>
        <c:minorTickMark val="none"/>
        <c:tickLblPos val="nextTo"/>
        <c:crossAx val="310045256"/>
        <c:crosses val="autoZero"/>
        <c:auto val="1"/>
        <c:lblAlgn val="ctr"/>
        <c:lblOffset val="100"/>
        <c:noMultiLvlLbl val="0"/>
      </c:catAx>
      <c:valAx>
        <c:axId val="310045256"/>
        <c:scaling>
          <c:orientation val="minMax"/>
        </c:scaling>
        <c:delete val="0"/>
        <c:axPos val="l"/>
        <c:majorGridlines/>
        <c:numFmt formatCode="_-* #,##0\ [$€-C0A]_-;\-* #,##0\ [$€-C0A]_-;_-* &quot;-&quot;??\ [$€-C0A]_-;_-@_-" sourceLinked="1"/>
        <c:majorTickMark val="out"/>
        <c:minorTickMark val="none"/>
        <c:tickLblPos val="nextTo"/>
        <c:crossAx val="3100440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1533576"/>
        <c:axId val="291535144"/>
      </c:barChart>
      <c:catAx>
        <c:axId val="291533576"/>
        <c:scaling>
          <c:orientation val="minMax"/>
        </c:scaling>
        <c:delete val="0"/>
        <c:axPos val="b"/>
        <c:numFmt formatCode="General" sourceLinked="1"/>
        <c:majorTickMark val="out"/>
        <c:minorTickMark val="none"/>
        <c:tickLblPos val="nextTo"/>
        <c:crossAx val="291535144"/>
        <c:crosses val="autoZero"/>
        <c:auto val="1"/>
        <c:lblAlgn val="ctr"/>
        <c:lblOffset val="100"/>
        <c:noMultiLvlLbl val="0"/>
      </c:catAx>
      <c:valAx>
        <c:axId val="291535144"/>
        <c:scaling>
          <c:orientation val="minMax"/>
        </c:scaling>
        <c:delete val="0"/>
        <c:axPos val="l"/>
        <c:majorGridlines/>
        <c:numFmt formatCode="_-* #,##0\ [$€-C0A]_-;\-* #,##0\ [$€-C0A]_-;_-* &quot;-&quot;??\ [$€-C0A]_-;_-@_-" sourceLinked="1"/>
        <c:majorTickMark val="out"/>
        <c:minorTickMark val="none"/>
        <c:tickLblPos val="nextTo"/>
        <c:crossAx val="2915335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291529264"/>
        <c:axId val="311226864"/>
      </c:barChart>
      <c:catAx>
        <c:axId val="291529264"/>
        <c:scaling>
          <c:orientation val="minMax"/>
        </c:scaling>
        <c:delete val="0"/>
        <c:axPos val="b"/>
        <c:numFmt formatCode="General" sourceLinked="1"/>
        <c:majorTickMark val="out"/>
        <c:minorTickMark val="none"/>
        <c:tickLblPos val="nextTo"/>
        <c:crossAx val="311226864"/>
        <c:crosses val="autoZero"/>
        <c:auto val="1"/>
        <c:lblAlgn val="ctr"/>
        <c:lblOffset val="100"/>
        <c:noMultiLvlLbl val="0"/>
      </c:catAx>
      <c:valAx>
        <c:axId val="311226864"/>
        <c:scaling>
          <c:orientation val="minMax"/>
        </c:scaling>
        <c:delete val="0"/>
        <c:axPos val="l"/>
        <c:majorGridlines/>
        <c:numFmt formatCode="_-* #,##0\ [$€-C0A]_-;\-* #,##0\ [$€-C0A]_-;_-* &quot;-&quot;??\ [$€-C0A]_-;_-@_-" sourceLinked="1"/>
        <c:majorTickMark val="out"/>
        <c:minorTickMark val="none"/>
        <c:tickLblPos val="nextTo"/>
        <c:crossAx val="2915292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11224120"/>
        <c:axId val="311223336"/>
      </c:barChart>
      <c:catAx>
        <c:axId val="311224120"/>
        <c:scaling>
          <c:orientation val="minMax"/>
        </c:scaling>
        <c:delete val="0"/>
        <c:axPos val="b"/>
        <c:numFmt formatCode="General" sourceLinked="1"/>
        <c:majorTickMark val="out"/>
        <c:minorTickMark val="none"/>
        <c:tickLblPos val="nextTo"/>
        <c:crossAx val="311223336"/>
        <c:crosses val="autoZero"/>
        <c:auto val="1"/>
        <c:lblAlgn val="ctr"/>
        <c:lblOffset val="100"/>
        <c:noMultiLvlLbl val="0"/>
      </c:catAx>
      <c:valAx>
        <c:axId val="311223336"/>
        <c:scaling>
          <c:orientation val="minMax"/>
        </c:scaling>
        <c:delete val="0"/>
        <c:axPos val="l"/>
        <c:majorGridlines/>
        <c:numFmt formatCode="_-* #,##0\ [$€-C0A]_-;\-* #,##0\ [$€-C0A]_-;_-* &quot;-&quot;??\ [$€-C0A]_-;_-@_-" sourceLinked="1"/>
        <c:majorTickMark val="out"/>
        <c:minorTickMark val="none"/>
        <c:tickLblPos val="nextTo"/>
        <c:crossAx val="3112241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11228040"/>
        <c:axId val="311224512"/>
      </c:barChart>
      <c:catAx>
        <c:axId val="311228040"/>
        <c:scaling>
          <c:orientation val="minMax"/>
        </c:scaling>
        <c:delete val="0"/>
        <c:axPos val="b"/>
        <c:numFmt formatCode="General" sourceLinked="1"/>
        <c:majorTickMark val="out"/>
        <c:minorTickMark val="none"/>
        <c:tickLblPos val="nextTo"/>
        <c:crossAx val="311224512"/>
        <c:crosses val="autoZero"/>
        <c:auto val="1"/>
        <c:lblAlgn val="ctr"/>
        <c:lblOffset val="100"/>
        <c:noMultiLvlLbl val="0"/>
      </c:catAx>
      <c:valAx>
        <c:axId val="311224512"/>
        <c:scaling>
          <c:orientation val="minMax"/>
        </c:scaling>
        <c:delete val="0"/>
        <c:axPos val="l"/>
        <c:majorGridlines/>
        <c:numFmt formatCode="_-* #,##0\ [$€-C0A]_-;\-* #,##0\ [$€-C0A]_-;_-* &quot;-&quot;??\ [$€-C0A]_-;_-@_-" sourceLinked="1"/>
        <c:majorTickMark val="out"/>
        <c:minorTickMark val="none"/>
        <c:tickLblPos val="nextTo"/>
        <c:crossAx val="311228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1224904"/>
        <c:axId val="311225296"/>
      </c:barChart>
      <c:catAx>
        <c:axId val="311224904"/>
        <c:scaling>
          <c:orientation val="minMax"/>
        </c:scaling>
        <c:delete val="0"/>
        <c:axPos val="b"/>
        <c:numFmt formatCode="General" sourceLinked="1"/>
        <c:majorTickMark val="out"/>
        <c:minorTickMark val="none"/>
        <c:tickLblPos val="nextTo"/>
        <c:crossAx val="311225296"/>
        <c:crosses val="autoZero"/>
        <c:auto val="1"/>
        <c:lblAlgn val="ctr"/>
        <c:lblOffset val="100"/>
        <c:noMultiLvlLbl val="0"/>
      </c:catAx>
      <c:valAx>
        <c:axId val="311225296"/>
        <c:scaling>
          <c:orientation val="minMax"/>
        </c:scaling>
        <c:delete val="0"/>
        <c:axPos val="l"/>
        <c:majorGridlines/>
        <c:numFmt formatCode="_-* #,##0\ [$€-C0A]_-;\-* #,##0\ [$€-C0A]_-;_-* &quot;-&quot;??\ [$€-C0A]_-;_-@_-" sourceLinked="1"/>
        <c:majorTickMark val="out"/>
        <c:minorTickMark val="none"/>
        <c:tickLblPos val="nextTo"/>
        <c:crossAx val="3112249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1226080"/>
        <c:axId val="311226472"/>
      </c:barChart>
      <c:catAx>
        <c:axId val="311226080"/>
        <c:scaling>
          <c:orientation val="minMax"/>
        </c:scaling>
        <c:delete val="0"/>
        <c:axPos val="b"/>
        <c:numFmt formatCode="General" sourceLinked="1"/>
        <c:majorTickMark val="out"/>
        <c:minorTickMark val="none"/>
        <c:tickLblPos val="nextTo"/>
        <c:crossAx val="311226472"/>
        <c:crosses val="autoZero"/>
        <c:auto val="1"/>
        <c:lblAlgn val="ctr"/>
        <c:lblOffset val="100"/>
        <c:noMultiLvlLbl val="0"/>
      </c:catAx>
      <c:valAx>
        <c:axId val="311226472"/>
        <c:scaling>
          <c:orientation val="minMax"/>
        </c:scaling>
        <c:delete val="0"/>
        <c:axPos val="l"/>
        <c:majorGridlines/>
        <c:numFmt formatCode="_-* #,##0\ [$€-C0A]_-;\-* #,##0\ [$€-C0A]_-;_-* &quot;-&quot;??\ [$€-C0A]_-;_-@_-" sourceLinked="1"/>
        <c:majorTickMark val="out"/>
        <c:minorTickMark val="none"/>
        <c:tickLblPos val="nextTo"/>
        <c:crossAx val="3112260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1227648"/>
        <c:axId val="311228432"/>
      </c:barChart>
      <c:catAx>
        <c:axId val="311227648"/>
        <c:scaling>
          <c:orientation val="minMax"/>
        </c:scaling>
        <c:delete val="0"/>
        <c:axPos val="b"/>
        <c:numFmt formatCode="General" sourceLinked="1"/>
        <c:majorTickMark val="out"/>
        <c:minorTickMark val="none"/>
        <c:tickLblPos val="nextTo"/>
        <c:crossAx val="311228432"/>
        <c:crosses val="autoZero"/>
        <c:auto val="1"/>
        <c:lblAlgn val="ctr"/>
        <c:lblOffset val="100"/>
        <c:noMultiLvlLbl val="0"/>
      </c:catAx>
      <c:valAx>
        <c:axId val="311228432"/>
        <c:scaling>
          <c:orientation val="minMax"/>
        </c:scaling>
        <c:delete val="0"/>
        <c:axPos val="l"/>
        <c:majorGridlines/>
        <c:numFmt formatCode="_-* #,##0\ [$€-C0A]_-;\-* #,##0\ [$€-C0A]_-;_-* &quot;-&quot;??\ [$€-C0A]_-;_-@_-" sourceLinked="1"/>
        <c:majorTickMark val="out"/>
        <c:minorTickMark val="none"/>
        <c:tickLblPos val="nextTo"/>
        <c:crossAx val="3112276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11222160"/>
        <c:axId val="311222552"/>
      </c:barChart>
      <c:catAx>
        <c:axId val="311222160"/>
        <c:scaling>
          <c:orientation val="minMax"/>
        </c:scaling>
        <c:delete val="0"/>
        <c:axPos val="b"/>
        <c:numFmt formatCode="General" sourceLinked="1"/>
        <c:majorTickMark val="out"/>
        <c:minorTickMark val="none"/>
        <c:tickLblPos val="nextTo"/>
        <c:crossAx val="311222552"/>
        <c:crosses val="autoZero"/>
        <c:auto val="1"/>
        <c:lblAlgn val="ctr"/>
        <c:lblOffset val="100"/>
        <c:noMultiLvlLbl val="0"/>
      </c:catAx>
      <c:valAx>
        <c:axId val="311222552"/>
        <c:scaling>
          <c:orientation val="minMax"/>
        </c:scaling>
        <c:delete val="0"/>
        <c:axPos val="l"/>
        <c:majorGridlines/>
        <c:numFmt formatCode="_-* #,##0\ [$€-C0A]_-;\-* #,##0\ [$€-C0A]_-;_-* &quot;-&quot;??\ [$€-C0A]_-;_-@_-" sourceLinked="1"/>
        <c:majorTickMark val="out"/>
        <c:minorTickMark val="none"/>
        <c:tickLblPos val="nextTo"/>
        <c:crossAx val="3112221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1532008"/>
        <c:axId val="291532400"/>
      </c:barChart>
      <c:catAx>
        <c:axId val="291532008"/>
        <c:scaling>
          <c:orientation val="minMax"/>
        </c:scaling>
        <c:delete val="0"/>
        <c:axPos val="b"/>
        <c:numFmt formatCode="General" sourceLinked="1"/>
        <c:majorTickMark val="out"/>
        <c:minorTickMark val="none"/>
        <c:tickLblPos val="nextTo"/>
        <c:crossAx val="291532400"/>
        <c:crosses val="autoZero"/>
        <c:auto val="1"/>
        <c:lblAlgn val="ctr"/>
        <c:lblOffset val="100"/>
        <c:noMultiLvlLbl val="0"/>
      </c:catAx>
      <c:valAx>
        <c:axId val="291532400"/>
        <c:scaling>
          <c:orientation val="minMax"/>
        </c:scaling>
        <c:delete val="0"/>
        <c:axPos val="l"/>
        <c:majorGridlines/>
        <c:numFmt formatCode="_-* #,##0\ [$€-C0A]_-;\-* #,##0\ [$€-C0A]_-;_-* &quot;-&quot;??\ [$€-C0A]_-;_-@_-" sourceLinked="1"/>
        <c:majorTickMark val="out"/>
        <c:minorTickMark val="none"/>
        <c:tickLblPos val="nextTo"/>
        <c:crossAx val="291532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2502640"/>
        <c:axId val="312506560"/>
      </c:barChart>
      <c:catAx>
        <c:axId val="312502640"/>
        <c:scaling>
          <c:orientation val="minMax"/>
        </c:scaling>
        <c:delete val="0"/>
        <c:axPos val="b"/>
        <c:numFmt formatCode="General" sourceLinked="1"/>
        <c:majorTickMark val="out"/>
        <c:minorTickMark val="none"/>
        <c:tickLblPos val="nextTo"/>
        <c:crossAx val="312506560"/>
        <c:crosses val="autoZero"/>
        <c:auto val="1"/>
        <c:lblAlgn val="ctr"/>
        <c:lblOffset val="100"/>
        <c:noMultiLvlLbl val="0"/>
      </c:catAx>
      <c:valAx>
        <c:axId val="312506560"/>
        <c:scaling>
          <c:orientation val="minMax"/>
        </c:scaling>
        <c:delete val="0"/>
        <c:axPos val="l"/>
        <c:majorGridlines/>
        <c:numFmt formatCode="_-* #,##0\ [$€-C0A]_-;\-* #,##0\ [$€-C0A]_-;_-* &quot;-&quot;??\ [$€-C0A]_-;_-@_-" sourceLinked="1"/>
        <c:majorTickMark val="out"/>
        <c:minorTickMark val="none"/>
        <c:tickLblPos val="nextTo"/>
        <c:crossAx val="3125026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12501072"/>
        <c:axId val="312507344"/>
      </c:barChart>
      <c:catAx>
        <c:axId val="312501072"/>
        <c:scaling>
          <c:orientation val="minMax"/>
        </c:scaling>
        <c:delete val="0"/>
        <c:axPos val="b"/>
        <c:numFmt formatCode="General" sourceLinked="1"/>
        <c:majorTickMark val="out"/>
        <c:minorTickMark val="none"/>
        <c:tickLblPos val="nextTo"/>
        <c:crossAx val="312507344"/>
        <c:crosses val="autoZero"/>
        <c:auto val="1"/>
        <c:lblAlgn val="ctr"/>
        <c:lblOffset val="100"/>
        <c:noMultiLvlLbl val="0"/>
      </c:catAx>
      <c:valAx>
        <c:axId val="312507344"/>
        <c:scaling>
          <c:orientation val="minMax"/>
        </c:scaling>
        <c:delete val="0"/>
        <c:axPos val="l"/>
        <c:majorGridlines/>
        <c:numFmt formatCode="_-* #,##0\ [$€-C0A]_-;\-* #,##0\ [$€-C0A]_-;_-* &quot;-&quot;??\ [$€-C0A]_-;_-@_-" sourceLinked="1"/>
        <c:majorTickMark val="out"/>
        <c:minorTickMark val="none"/>
        <c:tickLblPos val="nextTo"/>
        <c:crossAx val="3125010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2506168"/>
        <c:axId val="312501464"/>
      </c:barChart>
      <c:catAx>
        <c:axId val="312506168"/>
        <c:scaling>
          <c:orientation val="minMax"/>
        </c:scaling>
        <c:delete val="0"/>
        <c:axPos val="b"/>
        <c:numFmt formatCode="General" sourceLinked="1"/>
        <c:majorTickMark val="out"/>
        <c:minorTickMark val="none"/>
        <c:tickLblPos val="nextTo"/>
        <c:crossAx val="312501464"/>
        <c:crosses val="autoZero"/>
        <c:auto val="1"/>
        <c:lblAlgn val="ctr"/>
        <c:lblOffset val="100"/>
        <c:noMultiLvlLbl val="0"/>
      </c:catAx>
      <c:valAx>
        <c:axId val="312501464"/>
        <c:scaling>
          <c:orientation val="minMax"/>
        </c:scaling>
        <c:delete val="0"/>
        <c:axPos val="l"/>
        <c:majorGridlines/>
        <c:numFmt formatCode="_-* #,##0\ [$€-C0A]_-;\-* #,##0\ [$€-C0A]_-;_-* &quot;-&quot;??\ [$€-C0A]_-;_-@_-" sourceLinked="1"/>
        <c:majorTickMark val="out"/>
        <c:minorTickMark val="none"/>
        <c:tickLblPos val="nextTo"/>
        <c:crossAx val="3125061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12503816"/>
        <c:axId val="312507736"/>
      </c:lineChart>
      <c:catAx>
        <c:axId val="312503816"/>
        <c:scaling>
          <c:orientation val="minMax"/>
        </c:scaling>
        <c:delete val="0"/>
        <c:axPos val="b"/>
        <c:numFmt formatCode="General" sourceLinked="0"/>
        <c:majorTickMark val="out"/>
        <c:minorTickMark val="none"/>
        <c:tickLblPos val="nextTo"/>
        <c:crossAx val="312507736"/>
        <c:crosses val="autoZero"/>
        <c:auto val="1"/>
        <c:lblAlgn val="ctr"/>
        <c:lblOffset val="100"/>
        <c:noMultiLvlLbl val="0"/>
      </c:catAx>
      <c:valAx>
        <c:axId val="312507736"/>
        <c:scaling>
          <c:orientation val="minMax"/>
          <c:min val="0"/>
        </c:scaling>
        <c:delete val="0"/>
        <c:axPos val="l"/>
        <c:majorGridlines/>
        <c:numFmt formatCode="General" sourceLinked="1"/>
        <c:majorTickMark val="out"/>
        <c:minorTickMark val="none"/>
        <c:tickLblPos val="nextTo"/>
        <c:crossAx val="312503816"/>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1530440"/>
        <c:axId val="291533184"/>
      </c:barChart>
      <c:catAx>
        <c:axId val="291530440"/>
        <c:scaling>
          <c:orientation val="minMax"/>
        </c:scaling>
        <c:delete val="0"/>
        <c:axPos val="b"/>
        <c:numFmt formatCode="General" sourceLinked="1"/>
        <c:majorTickMark val="out"/>
        <c:minorTickMark val="none"/>
        <c:tickLblPos val="nextTo"/>
        <c:crossAx val="291533184"/>
        <c:crosses val="autoZero"/>
        <c:auto val="1"/>
        <c:lblAlgn val="ctr"/>
        <c:lblOffset val="100"/>
        <c:noMultiLvlLbl val="0"/>
      </c:catAx>
      <c:valAx>
        <c:axId val="291533184"/>
        <c:scaling>
          <c:orientation val="minMax"/>
        </c:scaling>
        <c:delete val="0"/>
        <c:axPos val="l"/>
        <c:majorGridlines/>
        <c:numFmt formatCode="_-* #,##0\ [$€-C0A]_-;\-* #,##0\ [$€-C0A]_-;_-* &quot;-&quot;??\ [$€-C0A]_-;_-@_-" sourceLinked="1"/>
        <c:majorTickMark val="out"/>
        <c:minorTickMark val="none"/>
        <c:tickLblPos val="nextTo"/>
        <c:crossAx val="291530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1530832"/>
        <c:axId val="291534360"/>
      </c:barChart>
      <c:catAx>
        <c:axId val="291530832"/>
        <c:scaling>
          <c:orientation val="minMax"/>
        </c:scaling>
        <c:delete val="0"/>
        <c:axPos val="b"/>
        <c:numFmt formatCode="General" sourceLinked="1"/>
        <c:majorTickMark val="out"/>
        <c:minorTickMark val="none"/>
        <c:tickLblPos val="nextTo"/>
        <c:crossAx val="291534360"/>
        <c:crosses val="autoZero"/>
        <c:auto val="1"/>
        <c:lblAlgn val="ctr"/>
        <c:lblOffset val="100"/>
        <c:noMultiLvlLbl val="0"/>
      </c:catAx>
      <c:valAx>
        <c:axId val="291534360"/>
        <c:scaling>
          <c:orientation val="minMax"/>
        </c:scaling>
        <c:delete val="0"/>
        <c:axPos val="l"/>
        <c:majorGridlines/>
        <c:numFmt formatCode="_-* #,##0\ [$€-C0A]_-;\-* #,##0\ [$€-C0A]_-;_-* &quot;-&quot;??\ [$€-C0A]_-;_-@_-" sourceLinked="1"/>
        <c:majorTickMark val="out"/>
        <c:minorTickMark val="none"/>
        <c:tickLblPos val="nextTo"/>
        <c:crossAx val="291530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91529656"/>
        <c:axId val="310039768"/>
      </c:barChart>
      <c:catAx>
        <c:axId val="291529656"/>
        <c:scaling>
          <c:orientation val="minMax"/>
        </c:scaling>
        <c:delete val="0"/>
        <c:axPos val="b"/>
        <c:numFmt formatCode="General" sourceLinked="1"/>
        <c:majorTickMark val="out"/>
        <c:minorTickMark val="none"/>
        <c:tickLblPos val="nextTo"/>
        <c:crossAx val="310039768"/>
        <c:crosses val="autoZero"/>
        <c:auto val="1"/>
        <c:lblAlgn val="ctr"/>
        <c:lblOffset val="100"/>
        <c:noMultiLvlLbl val="0"/>
      </c:catAx>
      <c:valAx>
        <c:axId val="310039768"/>
        <c:scaling>
          <c:orientation val="minMax"/>
        </c:scaling>
        <c:delete val="0"/>
        <c:axPos val="l"/>
        <c:majorGridlines/>
        <c:numFmt formatCode="_-* #,##0\ [$€-C0A]_-;\-* #,##0\ [$€-C0A]_-;_-* &quot;-&quot;??\ [$€-C0A]_-;_-@_-" sourceLinked="1"/>
        <c:majorTickMark val="out"/>
        <c:minorTickMark val="none"/>
        <c:tickLblPos val="nextTo"/>
        <c:crossAx val="291529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0040944"/>
        <c:axId val="310042904"/>
      </c:barChart>
      <c:catAx>
        <c:axId val="310040944"/>
        <c:scaling>
          <c:orientation val="minMax"/>
        </c:scaling>
        <c:delete val="0"/>
        <c:axPos val="b"/>
        <c:numFmt formatCode="General" sourceLinked="1"/>
        <c:majorTickMark val="out"/>
        <c:minorTickMark val="none"/>
        <c:tickLblPos val="nextTo"/>
        <c:crossAx val="310042904"/>
        <c:crosses val="autoZero"/>
        <c:auto val="1"/>
        <c:lblAlgn val="ctr"/>
        <c:lblOffset val="100"/>
        <c:noMultiLvlLbl val="0"/>
      </c:catAx>
      <c:valAx>
        <c:axId val="310042904"/>
        <c:scaling>
          <c:orientation val="minMax"/>
        </c:scaling>
        <c:delete val="0"/>
        <c:axPos val="l"/>
        <c:majorGridlines/>
        <c:numFmt formatCode="_-* #,##0\ [$€-C0A]_-;\-* #,##0\ [$€-C0A]_-;_-* &quot;-&quot;??\ [$€-C0A]_-;_-@_-" sourceLinked="1"/>
        <c:majorTickMark val="out"/>
        <c:minorTickMark val="none"/>
        <c:tickLblPos val="nextTo"/>
        <c:crossAx val="3100409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0041728"/>
        <c:axId val="310041336"/>
      </c:barChart>
      <c:catAx>
        <c:axId val="310041728"/>
        <c:scaling>
          <c:orientation val="minMax"/>
        </c:scaling>
        <c:delete val="0"/>
        <c:axPos val="b"/>
        <c:numFmt formatCode="General" sourceLinked="1"/>
        <c:majorTickMark val="out"/>
        <c:minorTickMark val="none"/>
        <c:tickLblPos val="nextTo"/>
        <c:crossAx val="310041336"/>
        <c:crosses val="autoZero"/>
        <c:auto val="1"/>
        <c:lblAlgn val="ctr"/>
        <c:lblOffset val="100"/>
        <c:noMultiLvlLbl val="0"/>
      </c:catAx>
      <c:valAx>
        <c:axId val="310041336"/>
        <c:scaling>
          <c:orientation val="minMax"/>
        </c:scaling>
        <c:delete val="0"/>
        <c:axPos val="l"/>
        <c:majorGridlines/>
        <c:numFmt formatCode="_-* #,##0\ [$€-C0A]_-;\-* #,##0\ [$€-C0A]_-;_-* &quot;-&quot;??\ [$€-C0A]_-;_-@_-" sourceLinked="1"/>
        <c:majorTickMark val="out"/>
        <c:minorTickMark val="none"/>
        <c:tickLblPos val="nextTo"/>
        <c:crossAx val="3100417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310044864"/>
        <c:axId val="310045648"/>
      </c:barChart>
      <c:catAx>
        <c:axId val="310044864"/>
        <c:scaling>
          <c:orientation val="minMax"/>
        </c:scaling>
        <c:delete val="0"/>
        <c:axPos val="b"/>
        <c:numFmt formatCode="General" sourceLinked="1"/>
        <c:majorTickMark val="out"/>
        <c:minorTickMark val="none"/>
        <c:tickLblPos val="nextTo"/>
        <c:crossAx val="310045648"/>
        <c:crosses val="autoZero"/>
        <c:auto val="1"/>
        <c:lblAlgn val="ctr"/>
        <c:lblOffset val="100"/>
        <c:noMultiLvlLbl val="0"/>
      </c:catAx>
      <c:valAx>
        <c:axId val="310045648"/>
        <c:scaling>
          <c:orientation val="minMax"/>
        </c:scaling>
        <c:delete val="0"/>
        <c:axPos val="l"/>
        <c:majorGridlines/>
        <c:numFmt formatCode="_-* #,##0\ [$€-C0A]_-;\-* #,##0\ [$€-C0A]_-;_-* &quot;-&quot;??\ [$€-C0A]_-;_-@_-" sourceLinked="1"/>
        <c:majorTickMark val="out"/>
        <c:minorTickMark val="none"/>
        <c:tickLblPos val="nextTo"/>
        <c:crossAx val="3100448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310040160"/>
        <c:axId val="310046040"/>
      </c:barChart>
      <c:catAx>
        <c:axId val="310040160"/>
        <c:scaling>
          <c:orientation val="minMax"/>
        </c:scaling>
        <c:delete val="0"/>
        <c:axPos val="b"/>
        <c:numFmt formatCode="General" sourceLinked="1"/>
        <c:majorTickMark val="out"/>
        <c:minorTickMark val="none"/>
        <c:tickLblPos val="nextTo"/>
        <c:crossAx val="310046040"/>
        <c:crosses val="autoZero"/>
        <c:auto val="1"/>
        <c:lblAlgn val="ctr"/>
        <c:lblOffset val="100"/>
        <c:noMultiLvlLbl val="0"/>
      </c:catAx>
      <c:valAx>
        <c:axId val="310046040"/>
        <c:scaling>
          <c:orientation val="minMax"/>
        </c:scaling>
        <c:delete val="0"/>
        <c:axPos val="l"/>
        <c:majorGridlines/>
        <c:numFmt formatCode="_-* #,##0\ [$€-C0A]_-;\-* #,##0\ [$€-C0A]_-;_-* &quot;-&quot;??\ [$€-C0A]_-;_-@_-" sourceLinked="1"/>
        <c:majorTickMark val="out"/>
        <c:minorTickMark val="none"/>
        <c:tickLblPos val="nextTo"/>
        <c:crossAx val="3100401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43069</v>
      </c>
      <c r="D1" s="713">
        <v>41471</v>
      </c>
      <c r="E1" s="713"/>
      <c r="F1" s="713"/>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856</v>
      </c>
      <c r="F4" s="451" t="s">
        <v>855</v>
      </c>
      <c r="G4" s="451" t="s">
        <v>857</v>
      </c>
      <c r="H4" s="451" t="s">
        <v>829</v>
      </c>
      <c r="I4" s="451" t="s">
        <v>63</v>
      </c>
      <c r="J4" s="326" t="s">
        <v>185</v>
      </c>
      <c r="K4" s="555" t="s">
        <v>1</v>
      </c>
      <c r="L4" s="555" t="s">
        <v>2</v>
      </c>
      <c r="M4" s="555" t="s">
        <v>837</v>
      </c>
      <c r="N4" s="555" t="s">
        <v>703</v>
      </c>
      <c r="O4" s="555" t="s">
        <v>838</v>
      </c>
      <c r="P4" s="555" t="s">
        <v>712</v>
      </c>
      <c r="Q4" s="555" t="s">
        <v>0</v>
      </c>
    </row>
    <row r="5" spans="1:17" s="266" customFormat="1" x14ac:dyDescent="0.25">
      <c r="A5" s="416" t="s">
        <v>577</v>
      </c>
      <c r="B5" s="416" t="s">
        <v>1</v>
      </c>
      <c r="C5" s="480" t="s">
        <v>306</v>
      </c>
      <c r="D5" s="420" t="s">
        <v>175</v>
      </c>
      <c r="E5" s="546">
        <v>41400</v>
      </c>
      <c r="F5" s="625">
        <f ca="1">TODAY()-E5</f>
        <v>1669</v>
      </c>
      <c r="G5" s="626">
        <f ca="1">F5/112</f>
        <v>14.901785714285714</v>
      </c>
      <c r="H5" s="543">
        <v>19</v>
      </c>
      <c r="I5" s="543">
        <v>11</v>
      </c>
      <c r="J5" s="420" t="s">
        <v>175</v>
      </c>
      <c r="K5" s="556" t="s">
        <v>858</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1669</v>
      </c>
      <c r="G6" s="626">
        <f t="shared" ref="G6:G20" ca="1" si="1">F6/112</f>
        <v>14.901785714285714</v>
      </c>
      <c r="H6" s="348">
        <v>20</v>
      </c>
      <c r="I6" s="348">
        <v>2</v>
      </c>
      <c r="J6" s="420" t="s">
        <v>595</v>
      </c>
      <c r="K6" s="556" t="s">
        <v>858</v>
      </c>
      <c r="L6" s="388" t="s">
        <v>471</v>
      </c>
      <c r="M6" s="557"/>
      <c r="N6" s="557"/>
      <c r="O6" s="557"/>
      <c r="P6" s="557"/>
      <c r="Q6" s="557"/>
    </row>
    <row r="7" spans="1:17" s="272" customFormat="1" x14ac:dyDescent="0.25">
      <c r="A7" s="332" t="s">
        <v>452</v>
      </c>
      <c r="B7" s="285" t="s">
        <v>2</v>
      </c>
      <c r="C7" s="481" t="s">
        <v>315</v>
      </c>
      <c r="D7" s="287" t="s">
        <v>595</v>
      </c>
      <c r="E7" s="547">
        <v>41519</v>
      </c>
      <c r="F7" s="625">
        <f t="shared" ca="1" si="0"/>
        <v>1550</v>
      </c>
      <c r="G7" s="626">
        <f t="shared" ca="1" si="1"/>
        <v>13.839285714285714</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1542</v>
      </c>
      <c r="G8" s="626">
        <f t="shared" ca="1" si="1"/>
        <v>13.767857142857142</v>
      </c>
      <c r="H8" s="544">
        <f>24-7</f>
        <v>17</v>
      </c>
      <c r="I8" s="544">
        <f>41-(4*7)</f>
        <v>13</v>
      </c>
      <c r="J8" s="287"/>
      <c r="K8" s="556"/>
      <c r="L8" s="556" t="s">
        <v>464</v>
      </c>
      <c r="M8" s="556"/>
      <c r="N8" s="556" t="s">
        <v>858</v>
      </c>
      <c r="O8" s="556" t="s">
        <v>464</v>
      </c>
      <c r="P8" s="556" t="s">
        <v>573</v>
      </c>
      <c r="Q8" s="556"/>
    </row>
    <row r="9" spans="1:17" s="265" customFormat="1" x14ac:dyDescent="0.25">
      <c r="A9" s="416" t="s">
        <v>597</v>
      </c>
      <c r="B9" s="416" t="s">
        <v>2</v>
      </c>
      <c r="C9" s="480" t="s">
        <v>309</v>
      </c>
      <c r="D9" s="420"/>
      <c r="E9" s="548">
        <v>41539</v>
      </c>
      <c r="F9" s="625">
        <f t="shared" ca="1" si="0"/>
        <v>1530</v>
      </c>
      <c r="G9" s="626">
        <f t="shared" ca="1" si="1"/>
        <v>13.660714285714286</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1517</v>
      </c>
      <c r="G10" s="626">
        <f t="shared" ca="1" si="1"/>
        <v>13.544642857142858</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1486</v>
      </c>
      <c r="G11" s="626">
        <f t="shared" ca="1" si="1"/>
        <v>13.267857142857142</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1416</v>
      </c>
      <c r="G12" s="626">
        <f t="shared" ca="1" si="1"/>
        <v>12.642857142857142</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1405</v>
      </c>
      <c r="G13" s="626">
        <f t="shared" ca="1" si="1"/>
        <v>12.544642857142858</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1383</v>
      </c>
      <c r="G14" s="626">
        <f t="shared" ca="1" si="1"/>
        <v>12.348214285714286</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1347</v>
      </c>
      <c r="G15" s="626">
        <f t="shared" ca="1" si="1"/>
        <v>12.026785714285714</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1332</v>
      </c>
      <c r="G16" s="626">
        <f t="shared" ca="1" si="1"/>
        <v>11.892857142857142</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752</v>
      </c>
      <c r="D17" s="420" t="s">
        <v>308</v>
      </c>
      <c r="E17" s="549">
        <v>41747</v>
      </c>
      <c r="F17" s="625">
        <f t="shared" ca="1" si="0"/>
        <v>1322</v>
      </c>
      <c r="G17" s="626">
        <f t="shared" ca="1" si="1"/>
        <v>11.803571428571429</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1158</v>
      </c>
      <c r="G18" s="626">
        <f t="shared" ca="1" si="1"/>
        <v>10.339285714285714</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1096</v>
      </c>
      <c r="G19" s="626">
        <f t="shared" ca="1" si="1"/>
        <v>9.7857142857142865</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701</v>
      </c>
      <c r="D20" s="287"/>
      <c r="E20" s="549">
        <v>42106</v>
      </c>
      <c r="F20" s="625">
        <f t="shared" ca="1" si="0"/>
        <v>963</v>
      </c>
      <c r="G20" s="626">
        <f t="shared" ca="1" si="1"/>
        <v>8.5982142857142865</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923</v>
      </c>
      <c r="B24" s="416" t="s">
        <v>67</v>
      </c>
      <c r="C24" s="418" t="s">
        <v>924</v>
      </c>
      <c r="D24" s="420" t="s">
        <v>595</v>
      </c>
      <c r="H24" s="545">
        <v>19</v>
      </c>
      <c r="I24" s="545">
        <v>0</v>
      </c>
      <c r="J24" s="420" t="s">
        <v>595</v>
      </c>
      <c r="K24" s="558"/>
      <c r="L24" s="559" t="s">
        <v>464</v>
      </c>
      <c r="M24" s="559" t="s">
        <v>470</v>
      </c>
      <c r="N24" s="599" t="s">
        <v>271</v>
      </c>
      <c r="O24" s="559" t="s">
        <v>464</v>
      </c>
      <c r="P24" s="599" t="s">
        <v>926</v>
      </c>
      <c r="Q24" s="558" t="s">
        <v>573</v>
      </c>
    </row>
    <row r="25" spans="1:17" s="272" customFormat="1" x14ac:dyDescent="0.25">
      <c r="A25" s="416" t="s">
        <v>772</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717</v>
      </c>
      <c r="B26" s="416" t="s">
        <v>2</v>
      </c>
      <c r="C26" s="321" t="s">
        <v>710</v>
      </c>
      <c r="D26" s="287"/>
      <c r="E26" s="544"/>
      <c r="F26" s="544"/>
      <c r="G26" s="544"/>
      <c r="H26" s="544"/>
      <c r="I26" s="544"/>
      <c r="J26" s="287"/>
      <c r="K26" s="553"/>
      <c r="L26" s="553"/>
      <c r="M26" s="553"/>
      <c r="N26" s="553"/>
      <c r="O26" s="553"/>
      <c r="P26" s="553"/>
      <c r="Q26" s="553"/>
    </row>
    <row r="27" spans="1:17" s="284" customFormat="1" x14ac:dyDescent="0.25">
      <c r="A27" s="332" t="s">
        <v>771</v>
      </c>
      <c r="B27" s="285" t="s">
        <v>65</v>
      </c>
      <c r="C27" s="321" t="s">
        <v>763</v>
      </c>
      <c r="D27" s="420" t="s">
        <v>595</v>
      </c>
      <c r="E27" s="545"/>
      <c r="F27" s="545"/>
      <c r="G27" s="545"/>
      <c r="H27" s="545"/>
      <c r="I27" s="545"/>
      <c r="J27" s="420" t="s">
        <v>595</v>
      </c>
      <c r="K27" s="552"/>
      <c r="L27" s="552"/>
      <c r="M27" s="552"/>
      <c r="N27" s="552"/>
      <c r="O27" s="552"/>
      <c r="P27" s="552"/>
      <c r="Q27" s="552"/>
    </row>
    <row r="28" spans="1:17" s="288" customFormat="1" x14ac:dyDescent="0.25">
      <c r="A28" s="331" t="s">
        <v>718</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851</v>
      </c>
      <c r="B29" s="416" t="s">
        <v>67</v>
      </c>
      <c r="C29" s="418" t="s">
        <v>850</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822</v>
      </c>
      <c r="Y1" t="s">
        <v>823</v>
      </c>
      <c r="AC1" t="s">
        <v>824</v>
      </c>
      <c r="AG1" s="4" t="s">
        <v>825</v>
      </c>
      <c r="AK1" t="s">
        <v>826</v>
      </c>
      <c r="AO1" t="s">
        <v>821</v>
      </c>
      <c r="AV1" t="s">
        <v>827</v>
      </c>
      <c r="BC1" t="s">
        <v>596</v>
      </c>
      <c r="BH1" t="s">
        <v>828</v>
      </c>
      <c r="BM1" t="s">
        <v>770</v>
      </c>
      <c r="BR1" t="s">
        <v>970</v>
      </c>
      <c r="BW1" t="s">
        <v>764</v>
      </c>
      <c r="CB1" t="s">
        <v>736</v>
      </c>
      <c r="CF1" t="s">
        <v>67</v>
      </c>
    </row>
    <row r="2" spans="1:87" x14ac:dyDescent="0.25">
      <c r="A2" s="522" t="s">
        <v>182</v>
      </c>
      <c r="B2" s="522" t="s">
        <v>1017</v>
      </c>
      <c r="C2" s="522" t="s">
        <v>829</v>
      </c>
      <c r="D2" s="522" t="s">
        <v>63</v>
      </c>
      <c r="E2" s="523" t="s">
        <v>830</v>
      </c>
      <c r="F2" s="522" t="s">
        <v>831</v>
      </c>
      <c r="G2" s="525" t="s">
        <v>835</v>
      </c>
      <c r="H2" s="526" t="s">
        <v>836</v>
      </c>
      <c r="I2" s="526" t="s">
        <v>1019</v>
      </c>
      <c r="J2" s="526" t="s">
        <v>1</v>
      </c>
      <c r="K2" s="526" t="s">
        <v>2</v>
      </c>
      <c r="L2" s="526" t="s">
        <v>837</v>
      </c>
      <c r="M2" s="526" t="s">
        <v>66</v>
      </c>
      <c r="N2" s="526" t="s">
        <v>712</v>
      </c>
      <c r="O2" s="526" t="s">
        <v>838</v>
      </c>
      <c r="P2" s="526" t="s">
        <v>0</v>
      </c>
      <c r="Q2" s="527" t="s">
        <v>699</v>
      </c>
      <c r="R2" s="527" t="s">
        <v>992</v>
      </c>
      <c r="S2" s="527" t="s">
        <v>839</v>
      </c>
      <c r="T2" s="527" t="s">
        <v>840</v>
      </c>
      <c r="U2" s="527" t="s">
        <v>722</v>
      </c>
      <c r="V2" s="528" t="s">
        <v>841</v>
      </c>
      <c r="W2" s="528" t="s">
        <v>842</v>
      </c>
      <c r="X2" s="528" t="s">
        <v>841</v>
      </c>
      <c r="Y2" s="529" t="s">
        <v>841</v>
      </c>
      <c r="Z2" s="529" t="s">
        <v>842</v>
      </c>
      <c r="AA2" s="529" t="s">
        <v>841</v>
      </c>
      <c r="AB2" s="529" t="s">
        <v>65</v>
      </c>
      <c r="AC2" s="529" t="s">
        <v>841</v>
      </c>
      <c r="AD2" s="529" t="s">
        <v>842</v>
      </c>
      <c r="AE2" s="529" t="s">
        <v>841</v>
      </c>
      <c r="AF2" s="529" t="s">
        <v>65</v>
      </c>
      <c r="AG2" s="528" t="s">
        <v>841</v>
      </c>
      <c r="AH2" s="528" t="s">
        <v>842</v>
      </c>
      <c r="AI2" s="528" t="s">
        <v>65</v>
      </c>
      <c r="AJ2" s="528" t="s">
        <v>843</v>
      </c>
      <c r="AK2" s="528" t="s">
        <v>841</v>
      </c>
      <c r="AL2" s="528" t="s">
        <v>842</v>
      </c>
      <c r="AM2" s="528" t="s">
        <v>65</v>
      </c>
      <c r="AN2" s="528" t="s">
        <v>843</v>
      </c>
      <c r="AO2" s="528" t="s">
        <v>841</v>
      </c>
      <c r="AP2" s="528" t="s">
        <v>842</v>
      </c>
      <c r="AQ2" s="528" t="s">
        <v>841</v>
      </c>
      <c r="AR2" s="528" t="s">
        <v>65</v>
      </c>
      <c r="AS2" s="528" t="s">
        <v>843</v>
      </c>
      <c r="AT2" s="528" t="s">
        <v>844</v>
      </c>
      <c r="AU2" s="528" t="s">
        <v>843</v>
      </c>
      <c r="AV2" s="528" t="s">
        <v>841</v>
      </c>
      <c r="AW2" s="528" t="s">
        <v>842</v>
      </c>
      <c r="AX2" s="528" t="s">
        <v>841</v>
      </c>
      <c r="AY2" s="528" t="s">
        <v>65</v>
      </c>
      <c r="AZ2" s="528" t="s">
        <v>843</v>
      </c>
      <c r="BA2" s="528" t="s">
        <v>844</v>
      </c>
      <c r="BB2" s="528" t="s">
        <v>843</v>
      </c>
      <c r="BC2" s="529" t="s">
        <v>841</v>
      </c>
      <c r="BD2" s="529" t="s">
        <v>842</v>
      </c>
      <c r="BE2" s="529" t="s">
        <v>65</v>
      </c>
      <c r="BF2" s="529" t="s">
        <v>843</v>
      </c>
      <c r="BG2" s="529" t="s">
        <v>844</v>
      </c>
      <c r="BH2" s="529" t="s">
        <v>841</v>
      </c>
      <c r="BI2" s="529" t="s">
        <v>842</v>
      </c>
      <c r="BJ2" s="529" t="s">
        <v>65</v>
      </c>
      <c r="BK2" s="529" t="s">
        <v>843</v>
      </c>
      <c r="BL2" s="529" t="s">
        <v>844</v>
      </c>
      <c r="BM2" s="528" t="s">
        <v>841</v>
      </c>
      <c r="BN2" s="528" t="s">
        <v>842</v>
      </c>
      <c r="BO2" s="528" t="s">
        <v>65</v>
      </c>
      <c r="BP2" s="528" t="s">
        <v>843</v>
      </c>
      <c r="BQ2" s="528" t="s">
        <v>844</v>
      </c>
      <c r="BR2" s="528" t="s">
        <v>841</v>
      </c>
      <c r="BS2" s="528" t="s">
        <v>842</v>
      </c>
      <c r="BT2" s="528" t="s">
        <v>65</v>
      </c>
      <c r="BU2" s="528" t="s">
        <v>843</v>
      </c>
      <c r="BV2" s="528" t="s">
        <v>844</v>
      </c>
      <c r="BW2" s="528" t="s">
        <v>841</v>
      </c>
      <c r="BX2" s="528" t="s">
        <v>842</v>
      </c>
      <c r="BY2" s="528" t="s">
        <v>65</v>
      </c>
      <c r="BZ2" s="528" t="s">
        <v>843</v>
      </c>
      <c r="CA2" s="528" t="s">
        <v>844</v>
      </c>
      <c r="CB2" s="529" t="s">
        <v>65</v>
      </c>
      <c r="CC2" s="529" t="s">
        <v>843</v>
      </c>
      <c r="CD2" s="529" t="s">
        <v>844</v>
      </c>
      <c r="CE2" s="529" t="s">
        <v>843</v>
      </c>
      <c r="CF2" s="528" t="s">
        <v>843</v>
      </c>
      <c r="CG2" s="528" t="s">
        <v>844</v>
      </c>
      <c r="CH2" s="528" t="s">
        <v>843</v>
      </c>
      <c r="CI2" s="528" t="s">
        <v>65</v>
      </c>
    </row>
    <row r="3" spans="1:87" x14ac:dyDescent="0.25">
      <c r="A3" t="str">
        <f>PLANTILLA!D5</f>
        <v>D. Gehmacher</v>
      </c>
      <c r="C3" s="666">
        <f>PLANTILLA!E5</f>
        <v>29</v>
      </c>
      <c r="D3" s="371">
        <f ca="1">PLANTILLA!F5</f>
        <v>103</v>
      </c>
      <c r="E3" s="666"/>
      <c r="F3" s="317">
        <v>42468</v>
      </c>
      <c r="G3" s="530">
        <v>1</v>
      </c>
      <c r="H3" s="531">
        <f>PLANTILLA!I5</f>
        <v>18</v>
      </c>
      <c r="I3" s="531"/>
      <c r="J3" s="163">
        <f>PLANTILLA!X5</f>
        <v>16.666666666666668</v>
      </c>
      <c r="K3" s="163">
        <f>PLANTILLA!Y5</f>
        <v>11.832727272727276</v>
      </c>
      <c r="L3" s="163">
        <f>PLANTILLA!Z5</f>
        <v>2.0299999999999994</v>
      </c>
      <c r="M3" s="163">
        <f>PLANTILLA!AA5</f>
        <v>2.1199999999999992</v>
      </c>
      <c r="N3" s="163">
        <f>PLANTILLA!AB5</f>
        <v>1.0400000000000003</v>
      </c>
      <c r="O3" s="163">
        <f>PLANTILLA!AC5</f>
        <v>0.14055555555555557</v>
      </c>
      <c r="P3" s="163">
        <f>PLANTILLA!AD5</f>
        <v>17.849999999999998</v>
      </c>
      <c r="Q3" s="163">
        <f>((2*(N3+1))+(K3+1))/8</f>
        <v>2.1140909090909092</v>
      </c>
      <c r="R3" s="163">
        <f>1.66*(O3+(LOG(H3)*4/3)+G3)+0.55*(P3+(LOG(H3)*4/3)+G3)-7.6</f>
        <v>8.3596918705932968</v>
      </c>
      <c r="S3" s="163">
        <f>(0.5*O3+ 0.3*P3)/10</f>
        <v>0.54252777777777772</v>
      </c>
      <c r="T3" s="163">
        <f>(0.4*K3+0.3*P3)/10</f>
        <v>1.008809090909091</v>
      </c>
      <c r="U3" s="163">
        <f t="shared" ref="U3:U22" ca="1" si="0">IF(TODAY()-F3&gt;335,(P3+1+(LOG(H3)*4/3)),(P3+((TODAY()-F3)^0.5)/(336^0.5)+(LOG(H3)*4/3)))</f>
        <v>20.523696673471072</v>
      </c>
      <c r="V3" s="159">
        <f t="shared" ref="V3:V22" si="1">((J3+G3+(LOG(H3)*4/3))*0.597)+((K3+G3+(LOG(H3)*4/3))*0.276)</f>
        <v>15.549969923212977</v>
      </c>
      <c r="W3" s="159">
        <f t="shared" ref="W3:W22" si="2">((J3+G3+(LOG(H3)*4/3))*0.866)+((K3+G3+(LOG(H3)*4/3))*0.425)</f>
        <v>22.913984829693582</v>
      </c>
      <c r="X3" s="159">
        <f>V3</f>
        <v>15.549969923212977</v>
      </c>
      <c r="Y3" s="159">
        <f t="shared" ref="Y3:Y22" si="3">((K3+G3+(LOG(H3)*4/3))*0.516)</f>
        <v>7.4853147562383491</v>
      </c>
      <c r="Z3" s="159">
        <f t="shared" ref="Z3:Z22" si="4">(K3+G3+(LOG(H3)*4/3))*1</f>
        <v>14.50642394619835</v>
      </c>
      <c r="AA3" s="159">
        <f>Y3/2</f>
        <v>3.7426573781191745</v>
      </c>
      <c r="AB3" s="159">
        <f t="shared" ref="AB3:AB22" si="5">(L3+G3+(LOG(H3)*4/3))*0.238</f>
        <v>1.1194798082861157</v>
      </c>
      <c r="AC3" s="159">
        <f t="shared" ref="AC3:AC22" si="6">((K3+G3+(LOG(H3)*4/3))*0.378)</f>
        <v>5.4834282516629766</v>
      </c>
      <c r="AD3" s="159">
        <f t="shared" ref="AD3:AD22" si="7">(K3+G3+(LOG(H3)*4/3))*0.723</f>
        <v>10.488144513101407</v>
      </c>
      <c r="AE3" s="159">
        <f>AC3/2</f>
        <v>2.7417141258314883</v>
      </c>
      <c r="AF3" s="159">
        <f t="shared" ref="AF3:AF22" si="8">(L3+G3+(LOG(H3)*4/3))*0.385</f>
        <v>1.8109232192863636</v>
      </c>
      <c r="AG3" s="387">
        <f t="shared" ref="AG3:AG22" si="9">((K3+G3+(LOG(H3)*4/3))*0.92)</f>
        <v>13.345910030502482</v>
      </c>
      <c r="AH3" s="159">
        <f t="shared" ref="AH3:AH22" si="10">(K3+G3+(LOG(H3)*4/3))*0.414</f>
        <v>6.0056595137261164</v>
      </c>
      <c r="AI3" s="159">
        <f t="shared" ref="AI3:AI22" si="11">((L3+G3+(LOG(H3)*4/3))*0.167)</f>
        <v>0.78551734446966948</v>
      </c>
      <c r="AJ3" s="387">
        <f t="shared" ref="AJ3:AJ22" si="12">(M3+G3+(LOG(H3)*4/3))*0.588</f>
        <v>2.8186936440009913</v>
      </c>
      <c r="AK3" s="159">
        <f t="shared" ref="AK3:AK22" si="13">((K3+G3+(LOG(H3)*4/3))*0.754)</f>
        <v>10.937843655433555</v>
      </c>
      <c r="AL3" s="159">
        <f t="shared" ref="AL3:AL22" si="14">((K3+G3+(LOG(H3)*4/3))*0.708)</f>
        <v>10.270548153908431</v>
      </c>
      <c r="AM3" s="159">
        <f t="shared" ref="AM3:AM22" si="15">((P3+G3+(LOG(H3)*4/3))*0.167)</f>
        <v>3.4274573444696692</v>
      </c>
      <c r="AN3" s="159">
        <f t="shared" ref="AN3:AN22" si="16">((Q3+G3+(LOG(H3)*4/3))*0.288)</f>
        <v>1.3788828237778514</v>
      </c>
      <c r="AO3" s="159">
        <f t="shared" ref="AO3:AO22" si="17">((K3+G3+(LOG(H3)*4/3))*0.27)</f>
        <v>3.9167344654735547</v>
      </c>
      <c r="AP3" s="159">
        <f t="shared" ref="AP3:AP22" si="18">((K3+G3+(LOG(H3)*4/3))*0.594)</f>
        <v>8.6168158240418187</v>
      </c>
      <c r="AQ3" s="159">
        <f>AO3/2</f>
        <v>1.9583672327367774</v>
      </c>
      <c r="AR3" s="159">
        <f t="shared" ref="AR3:AR22" si="19">((L3+G3+(LOG(H3)*4/3))*0.944)</f>
        <v>4.4402896597566937</v>
      </c>
      <c r="AS3" s="159">
        <f t="shared" ref="AS3:AS22" si="20">((N3+G3+(LOG(H3)*4/3))*0.13)</f>
        <v>0.48278056755123977</v>
      </c>
      <c r="AT3" s="159">
        <f t="shared" ref="AT3:AT22" si="21">((O3+G3+(LOG(H3)*4/3))*0.173)+((N3+G3+(LOG(H3)*4/3))*0.12)</f>
        <v>0.93250923643813599</v>
      </c>
      <c r="AU3" s="159">
        <f>AS3/2</f>
        <v>0.24139028377561988</v>
      </c>
      <c r="AV3" s="159">
        <f t="shared" ref="AV3:AV22" si="22">((K3+G3+(LOG(H3)*4/3))*0.189)</f>
        <v>2.7417141258314883</v>
      </c>
      <c r="AW3" s="159">
        <f t="shared" ref="AW3:AW22" si="23">((K3+G3+(LOG(H3)*4/3))*0.4)</f>
        <v>5.8025695784793401</v>
      </c>
      <c r="AX3" s="159">
        <f>AV3/2</f>
        <v>1.3708570629157442</v>
      </c>
      <c r="AY3" s="159">
        <f t="shared" ref="AY3:AY22" si="24">((L3+G3+(LOG(H3)*4/3))*1)</f>
        <v>4.7036966734710743</v>
      </c>
      <c r="AZ3" s="159">
        <f t="shared" ref="AZ3:AZ22" si="25">((N3+G3+(LOG(H3)*4/3))*0.253)</f>
        <v>0.93956525838818195</v>
      </c>
      <c r="BA3" s="159">
        <f t="shared" ref="BA3:BA22" si="26">((O3+G3+(LOG(H3)*4/3))*0.21)+((N3+G3+(LOG(H3)*4/3))*0.341)</f>
        <v>1.8573635337492289</v>
      </c>
      <c r="BB3" s="159">
        <f>AZ3/2</f>
        <v>0.46978262919409097</v>
      </c>
      <c r="BC3" s="159">
        <f t="shared" ref="BC3:BC22" si="27">((K3+G3+(LOG(H3)*4/3))*0.291)</f>
        <v>4.2213693683437192</v>
      </c>
      <c r="BD3" s="159">
        <f t="shared" ref="BD3:BD22" si="28">((K3+G3+(LOG(H3)*4/3))*0.348)</f>
        <v>5.0482355332770252</v>
      </c>
      <c r="BE3" s="159">
        <f t="shared" ref="BE3:BE22" si="29">((L3+G3+(LOG(H3)*4/3))*0.881)</f>
        <v>4.1439567693280166</v>
      </c>
      <c r="BF3" s="159">
        <f t="shared" ref="BF3:BF22" si="30">((M3+G3+(LOG(H3)*4/3))*0.574)+((N3+G3+(LOG(H3)*4/3))*0.315)</f>
        <v>3.9213963427157852</v>
      </c>
      <c r="BG3" s="159">
        <f t="shared" ref="BG3:BG22" si="31">((N3+G3+(LOG(H3)*4/3))*0.241)</f>
        <v>0.89500089830652907</v>
      </c>
      <c r="BH3" s="159">
        <f t="shared" ref="BH3:BH22" si="32">((K3+G3+(LOG(H3)*4/3))*0.485)</f>
        <v>7.0356156139061996</v>
      </c>
      <c r="BI3" s="159">
        <f t="shared" ref="BI3:BI22" si="33">((K3+G3+(LOG(H3)*4/3))*0.264)</f>
        <v>3.8296959217963646</v>
      </c>
      <c r="BJ3" s="159">
        <f t="shared" ref="BJ3:BJ22" si="34">((L3+G3+(LOG(H3)*4/3))*0.381)</f>
        <v>1.7921084325924794</v>
      </c>
      <c r="BK3" s="159">
        <f t="shared" ref="BK3:BK22" si="35">((M3+G3+(LOG(H3)*4/3))*0.673)+((N3+G3+(LOG(H3)*4/3))*0.201)</f>
        <v>3.9726108926137194</v>
      </c>
      <c r="BL3" s="159">
        <f t="shared" ref="BL3:BL22" si="36">((N3+G3+(LOG(H3)*4/3))*0.052)</f>
        <v>0.19311222702049588</v>
      </c>
      <c r="BM3" s="159">
        <f t="shared" ref="BM3:BM22" si="37">((K3+G3+(LOG(H3)*4/3))*0.18)</f>
        <v>2.6111563103157027</v>
      </c>
      <c r="BN3" s="159">
        <f t="shared" ref="BN3:BN22" si="38">(K3+G3+(LOG(H3)*4/3))*0.068</f>
        <v>0.98643682834148783</v>
      </c>
      <c r="BO3" s="159">
        <f t="shared" ref="BO3:BO22" si="39">((L3+G3+(LOG(H3)*4/3))*0.305)</f>
        <v>1.4346274854086776</v>
      </c>
      <c r="BP3" s="159">
        <f t="shared" ref="BP3:BP22" si="40">((M3+G3+(LOG(H3)*4/3))*1)+((N3+G3+(LOG(H3)*4/3))*0.286)</f>
        <v>5.8558139220838017</v>
      </c>
      <c r="BQ3" s="159">
        <f t="shared" ref="BQ3:BQ22" si="41">((N3+G3+(LOG(H3)*4/3))*0.135)</f>
        <v>0.50134905091859516</v>
      </c>
      <c r="BR3" s="159">
        <f t="shared" ref="BR3:BR22" si="42">((K3+G3+(LOG(H3)*4/3))*0.284)</f>
        <v>4.1198244007203311</v>
      </c>
      <c r="BS3" s="159">
        <f t="shared" ref="BS3:BS22" si="43">(K3+G3+(LOG(H3)*4/3))*0.244</f>
        <v>3.5395674428723973</v>
      </c>
      <c r="BT3" s="159">
        <f t="shared" ref="BT3:BT22" si="44">((L3+G3+(LOG(H3)*4/3))*0.455)</f>
        <v>2.1401819864293388</v>
      </c>
      <c r="BU3" s="159">
        <f t="shared" ref="BU3:BU22" si="45">((M3+G3+(LOG(H3)*4/3))*0.864)+((N3+G3+(LOG(H3)*4/3))*0.244)</f>
        <v>5.0478959142059496</v>
      </c>
      <c r="BV3" s="159">
        <f t="shared" ref="BV3:BV22" si="46">((N3+G3+(LOG(H3)*4/3))*0.121)</f>
        <v>0.44935729749000008</v>
      </c>
      <c r="BW3" s="159">
        <f t="shared" ref="BW3:BW22" si="47">((K3+G3+(LOG(H3)*4/3))*0.284)</f>
        <v>4.1198244007203311</v>
      </c>
      <c r="BX3" s="159">
        <f t="shared" ref="BX3:BX22" si="48">((K3+G3+(LOG(H3)*4/3))*0.244)</f>
        <v>3.5395674428723973</v>
      </c>
      <c r="BY3" s="159">
        <f t="shared" ref="BY3:BY22" si="49">((L3+G3+(LOG(H3)*4/3))*0.631)</f>
        <v>2.9680326009602478</v>
      </c>
      <c r="BZ3" s="159">
        <f t="shared" ref="BZ3:BZ22" si="50">((M3+G3+(LOG(H3)*4/3))*0.702)+((N3+G3+(LOG(H3)*4/3))*0.193)</f>
        <v>4.0819185227566113</v>
      </c>
      <c r="CA3" s="159">
        <f t="shared" ref="CA3:CA22" si="51">((N3+G3+(LOG(H3)*4/3))*0.148)</f>
        <v>0.54962710767371903</v>
      </c>
      <c r="CB3" s="159">
        <f t="shared" ref="CB3:CB22" si="52">((L3+G3+(LOG(H3)*4/3))*0.406)</f>
        <v>1.9097008494292562</v>
      </c>
      <c r="CC3" s="159">
        <f t="shared" ref="CC3:CC22" si="53">IF(E3="TEC",((M3+G3+(LOG(H3)*4/3))*0.15)+((N3+G3+(LOG(H3)*4/3))*0.324)+((O3+G3+(LOG(H3)*4/3))*0.127),(((M3+G3+(LOG(H3)*4/3))*0.144)+((N3+G3+(LOG(H3)*4/3))*0.25)+((O3+G3+(LOG(H3)*4/3))*0.127)))</f>
        <v>1.9761265224339855</v>
      </c>
      <c r="CD3" s="159">
        <f t="shared" ref="CD3:CD22" si="54">((N3+G3+(LOG(H3)*4/3))*0.543)+((O3+G3+(LOG(H3)*4/3))*0.583)</f>
        <v>3.6572463432173192</v>
      </c>
      <c r="CE3" s="159">
        <f>CC3</f>
        <v>1.9761265224339855</v>
      </c>
      <c r="CF3" s="159">
        <f t="shared" ref="CF3:CF22" si="55">((O3+1+(LOG(H3)*4/3))*0.26)+((M3+G3+(LOG(H3)*4/3))*0.221)+((N3+G3+(LOG(H3)*4/3))*0.142)</f>
        <v>2.3184574720169238</v>
      </c>
      <c r="CG3" s="159">
        <f t="shared" ref="CG3:CG22" si="56">((O3+G3+(LOG(H3)*4/3))*1)+((N3+G3+(LOG(H3)*4/3))*0.369)</f>
        <v>4.1846063015374568</v>
      </c>
      <c r="CH3" s="159">
        <f>CF3</f>
        <v>2.3184574720169238</v>
      </c>
      <c r="CI3" s="159">
        <f>((L3+G3+(LOG(H3)*4/3))*0.25)</f>
        <v>1.1759241683677686</v>
      </c>
    </row>
    <row r="4" spans="1:87" x14ac:dyDescent="0.25">
      <c r="A4" t="str">
        <f>PLANTILLA!D6</f>
        <v>T. Hammond</v>
      </c>
      <c r="B4" t="s">
        <v>1018</v>
      </c>
      <c r="C4" s="666">
        <f>PLANTILLA!E6</f>
        <v>34</v>
      </c>
      <c r="D4" s="666">
        <f ca="1">PLANTILLA!F6</f>
        <v>0</v>
      </c>
      <c r="E4" s="666" t="str">
        <f>PLANTILLA!G6</f>
        <v>CAB</v>
      </c>
      <c r="F4" s="317">
        <v>41400</v>
      </c>
      <c r="G4" s="530">
        <v>1.5</v>
      </c>
      <c r="H4" s="531">
        <f>PLANTILLA!I6</f>
        <v>7.8</v>
      </c>
      <c r="I4" s="531"/>
      <c r="J4" s="163">
        <f>PLANTILLA!X6</f>
        <v>10.3</v>
      </c>
      <c r="K4" s="163">
        <f>PLANTILLA!Y6</f>
        <v>10.794999999999998</v>
      </c>
      <c r="L4" s="163">
        <f>PLANTILLA!Z6</f>
        <v>4.620000000000001</v>
      </c>
      <c r="M4" s="163">
        <f>PLANTILLA!AA6</f>
        <v>4.95</v>
      </c>
      <c r="N4" s="163">
        <f>PLANTILLA!AB6</f>
        <v>6.5444444444444434</v>
      </c>
      <c r="O4" s="163">
        <f>PLANTILLA!AC6</f>
        <v>3.99</v>
      </c>
      <c r="P4" s="163">
        <f>PLANTILLA!AD6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1.7396513539204459</v>
      </c>
      <c r="AC4" s="159">
        <f t="shared" si="6"/>
        <v>5.0971256797560018</v>
      </c>
      <c r="AD4" s="159">
        <f t="shared" si="7"/>
        <v>9.7492641969936216</v>
      </c>
      <c r="AE4" s="159">
        <f t="shared" ref="AE4:AE22" si="63">AC4/2</f>
        <v>2.5485628398780009</v>
      </c>
      <c r="AF4" s="159">
        <f t="shared" si="8"/>
        <v>2.8141418960477802</v>
      </c>
      <c r="AG4" s="387">
        <f t="shared" si="9"/>
        <v>12.405702712633655</v>
      </c>
      <c r="AH4" s="159">
        <f t="shared" si="10"/>
        <v>5.5825662206851439</v>
      </c>
      <c r="AI4" s="159">
        <f t="shared" si="11"/>
        <v>1.2206797315324138</v>
      </c>
      <c r="AJ4" s="387">
        <f t="shared" si="12"/>
        <v>4.4920021685093365</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6.9001297399197519</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7.3094594702539748</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6.4396337932937522</v>
      </c>
      <c r="BF4" s="159">
        <f t="shared" si="30"/>
        <v>7.2937294690557817</v>
      </c>
      <c r="BG4" s="159">
        <f t="shared" si="31"/>
        <v>2.2253708434423185</v>
      </c>
      <c r="BH4" s="159">
        <f t="shared" si="32"/>
        <v>6.5399628430731767</v>
      </c>
      <c r="BI4" s="159">
        <f t="shared" si="33"/>
        <v>3.5598973001470489</v>
      </c>
      <c r="BJ4" s="159">
        <f t="shared" si="34"/>
        <v>2.7849040581667643</v>
      </c>
      <c r="BK4" s="159">
        <f t="shared" si="35"/>
        <v>6.9973709103353068</v>
      </c>
      <c r="BL4" s="159">
        <f t="shared" si="36"/>
        <v>0.48016300356431774</v>
      </c>
      <c r="BM4" s="159">
        <f t="shared" si="37"/>
        <v>2.427202704645715</v>
      </c>
      <c r="BN4" s="159">
        <f t="shared" si="38"/>
        <v>0.91694324397727012</v>
      </c>
      <c r="BO4" s="159">
        <f t="shared" si="39"/>
        <v>2.2293851384274621</v>
      </c>
      <c r="BP4" s="159">
        <f t="shared" si="40"/>
        <v>10.280355989857721</v>
      </c>
      <c r="BQ4" s="159">
        <f t="shared" si="41"/>
        <v>1.2465770284842865</v>
      </c>
      <c r="BR4" s="159">
        <f t="shared" si="42"/>
        <v>3.8295864895521277</v>
      </c>
      <c r="BS4" s="159">
        <f t="shared" si="43"/>
        <v>3.2902081107419692</v>
      </c>
      <c r="BT4" s="159">
        <f t="shared" si="44"/>
        <v>3.3258040589655589</v>
      </c>
      <c r="BU4" s="159">
        <f t="shared" si="45"/>
        <v>8.8535655374858475</v>
      </c>
      <c r="BV4" s="159">
        <f t="shared" si="46"/>
        <v>1.1173023736785086</v>
      </c>
      <c r="BW4" s="159">
        <f t="shared" si="47"/>
        <v>3.8295864895521277</v>
      </c>
      <c r="BX4" s="159">
        <f t="shared" si="48"/>
        <v>3.2902081107419692</v>
      </c>
      <c r="BY4" s="159">
        <f t="shared" si="49"/>
        <v>4.612268925730258</v>
      </c>
      <c r="BZ4" s="159">
        <f t="shared" si="50"/>
        <v>7.1450440036550837</v>
      </c>
      <c r="CA4" s="159">
        <f t="shared" si="51"/>
        <v>1.3666177793753658</v>
      </c>
      <c r="CB4" s="159">
        <f t="shared" si="52"/>
        <v>2.967640544923114</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1.8273648675634937</v>
      </c>
    </row>
    <row r="5" spans="1:87" x14ac:dyDescent="0.25">
      <c r="A5" t="str">
        <f>PLANTILLA!D8</f>
        <v>D. Toh</v>
      </c>
      <c r="B5" t="s">
        <v>1018</v>
      </c>
      <c r="C5" s="666">
        <f>PLANTILLA!E8</f>
        <v>31</v>
      </c>
      <c r="D5" s="666">
        <f ca="1">PLANTILLA!F8</f>
        <v>48</v>
      </c>
      <c r="E5" s="666" t="str">
        <f>PLANTILLA!G8</f>
        <v>CAB</v>
      </c>
      <c r="F5" s="317">
        <v>41519</v>
      </c>
      <c r="G5" s="530">
        <v>1.5</v>
      </c>
      <c r="H5" s="531">
        <f>PLANTILLA!I8</f>
        <v>7.5</v>
      </c>
      <c r="I5" s="371"/>
      <c r="J5" s="163">
        <f>PLANTILLA!X8</f>
        <v>0</v>
      </c>
      <c r="K5" s="163">
        <f>PLANTILLA!Y8</f>
        <v>11</v>
      </c>
      <c r="L5" s="163">
        <f>PLANTILLA!Z8</f>
        <v>6.1794444444444414</v>
      </c>
      <c r="M5" s="163">
        <f>PLANTILLA!AA8</f>
        <v>5.98</v>
      </c>
      <c r="N5" s="163">
        <f>PLANTILLA!AB8</f>
        <v>7.7227777777777789</v>
      </c>
      <c r="O5" s="163">
        <f>PLANTILLA!AC8</f>
        <v>4.383333333333332</v>
      </c>
      <c r="P5" s="163">
        <f>PLANTILLA!AD8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2.1053938853607432</v>
      </c>
      <c r="AC5" s="159">
        <f t="shared" si="6"/>
        <v>5.1660308767494172</v>
      </c>
      <c r="AD5" s="159">
        <f t="shared" si="7"/>
        <v>9.8810590579095994</v>
      </c>
      <c r="AE5" s="159">
        <f t="shared" si="63"/>
        <v>2.5830154383747086</v>
      </c>
      <c r="AF5" s="159">
        <f t="shared" si="8"/>
        <v>3.4057842263188491</v>
      </c>
      <c r="AG5" s="387">
        <f t="shared" si="9"/>
        <v>12.57340848309382</v>
      </c>
      <c r="AH5" s="159">
        <f t="shared" si="10"/>
        <v>5.6580338173922184</v>
      </c>
      <c r="AI5" s="159">
        <f t="shared" si="11"/>
        <v>1.4773141968707737</v>
      </c>
      <c r="AJ5" s="387">
        <f t="shared" si="12"/>
        <v>5.0842880304990929</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8.350805999077906</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8.8461927956333746</v>
      </c>
      <c r="AZ5" s="159">
        <f t="shared" si="25"/>
        <v>2.6285501106285785</v>
      </c>
      <c r="BA5" s="159">
        <f t="shared" si="26"/>
        <v>5.0233455637273252</v>
      </c>
      <c r="BB5" s="159">
        <f t="shared" si="67"/>
        <v>1.3142750553142892</v>
      </c>
      <c r="BC5" s="159">
        <f t="shared" si="27"/>
        <v>3.9770237701959794</v>
      </c>
      <c r="BD5" s="159">
        <f t="shared" si="28"/>
        <v>4.7560284262137484</v>
      </c>
      <c r="BE5" s="159">
        <f t="shared" si="29"/>
        <v>7.7934958529530034</v>
      </c>
      <c r="BF5" s="159">
        <f t="shared" si="30"/>
        <v>8.2359342842069623</v>
      </c>
      <c r="BG5" s="159">
        <f t="shared" si="31"/>
        <v>2.5038757970809775</v>
      </c>
      <c r="BH5" s="159">
        <f t="shared" si="32"/>
        <v>6.6283729503266331</v>
      </c>
      <c r="BI5" s="159">
        <f t="shared" si="33"/>
        <v>3.6080215647138787</v>
      </c>
      <c r="BJ5" s="159">
        <f t="shared" si="34"/>
        <v>3.3703994551363157</v>
      </c>
      <c r="BK5" s="159">
        <f t="shared" si="35"/>
        <v>7.907556392272463</v>
      </c>
      <c r="BL5" s="159">
        <f t="shared" si="36"/>
        <v>0.54025535870626906</v>
      </c>
      <c r="BM5" s="159">
        <f t="shared" si="37"/>
        <v>2.4600147032140081</v>
      </c>
      <c r="BN5" s="159">
        <f t="shared" si="38"/>
        <v>0.92933888788084762</v>
      </c>
      <c r="BO5" s="159">
        <f t="shared" si="39"/>
        <v>2.6980888026681793</v>
      </c>
      <c r="BP5" s="159">
        <f t="shared" si="40"/>
        <v>11.618152824073414</v>
      </c>
      <c r="BQ5" s="159">
        <f t="shared" si="41"/>
        <v>1.4025860274105064</v>
      </c>
      <c r="BR5" s="159">
        <f t="shared" si="42"/>
        <v>3.8813565317376568</v>
      </c>
      <c r="BS5" s="159">
        <f t="shared" si="43"/>
        <v>3.3346865976900997</v>
      </c>
      <c r="BT5" s="159">
        <f t="shared" si="44"/>
        <v>4.0250177220131853</v>
      </c>
      <c r="BU5" s="159">
        <f t="shared" si="45"/>
        <v>10.005834950895117</v>
      </c>
      <c r="BV5" s="159">
        <f t="shared" si="46"/>
        <v>1.2571326616049723</v>
      </c>
      <c r="BW5" s="159">
        <f t="shared" si="47"/>
        <v>3.8813565317376568</v>
      </c>
      <c r="BX5" s="159">
        <f t="shared" si="48"/>
        <v>3.3346865976900997</v>
      </c>
      <c r="BY5" s="159">
        <f t="shared" si="49"/>
        <v>5.5819476540446598</v>
      </c>
      <c r="BZ5" s="159">
        <f t="shared" si="50"/>
        <v>8.0751958854252077</v>
      </c>
      <c r="CA5" s="159">
        <f t="shared" si="51"/>
        <v>1.5376498670870735</v>
      </c>
      <c r="CB5" s="159">
        <f t="shared" si="52"/>
        <v>3.5915542750271503</v>
      </c>
      <c r="CC5" s="159">
        <f t="shared" si="53"/>
        <v>4.7378736687472127</v>
      </c>
      <c r="CD5" s="159">
        <f t="shared" si="54"/>
        <v>9.7517103101054055</v>
      </c>
      <c r="CE5" s="159">
        <f t="shared" si="68"/>
        <v>4.7378736687472127</v>
      </c>
      <c r="CF5" s="159">
        <f t="shared" si="55"/>
        <v>5.0892653339018166</v>
      </c>
      <c r="CG5" s="159">
        <f t="shared" si="56"/>
        <v>10.883816826110982</v>
      </c>
      <c r="CH5" s="159">
        <f t="shared" si="69"/>
        <v>5.0892653339018166</v>
      </c>
      <c r="CI5" s="159">
        <f t="shared" si="70"/>
        <v>2.2115481989083436</v>
      </c>
    </row>
    <row r="6" spans="1:87" x14ac:dyDescent="0.25">
      <c r="A6" t="str">
        <f>PLANTILLA!D9</f>
        <v>E. Toney</v>
      </c>
      <c r="B6" t="s">
        <v>1018</v>
      </c>
      <c r="C6" s="666">
        <f>PLANTILLA!E9</f>
        <v>31</v>
      </c>
      <c r="D6" s="666">
        <f ca="1">PLANTILLA!F9</f>
        <v>2</v>
      </c>
      <c r="E6" s="666"/>
      <c r="F6" s="317">
        <v>41539</v>
      </c>
      <c r="G6" s="530">
        <v>1.5</v>
      </c>
      <c r="H6" s="531">
        <f>PLANTILLA!I9</f>
        <v>12.1</v>
      </c>
      <c r="I6" s="371"/>
      <c r="J6" s="163">
        <f>PLANTILLA!X9</f>
        <v>0</v>
      </c>
      <c r="K6" s="163">
        <f>PLANTILLA!Y9</f>
        <v>12.060000000000004</v>
      </c>
      <c r="L6" s="163">
        <f>PLANTILLA!Z9</f>
        <v>13.076555555555554</v>
      </c>
      <c r="M6" s="163">
        <f>PLANTILLA!AA9</f>
        <v>9.7100000000000062</v>
      </c>
      <c r="N6" s="163">
        <f>PLANTILLA!AB9</f>
        <v>9.6</v>
      </c>
      <c r="O6" s="163">
        <f>PLANTILLA!AC9</f>
        <v>3.6816666666666658</v>
      </c>
      <c r="P6" s="163">
        <f>PLANTILLA!AD9</f>
        <v>16.627777777777773</v>
      </c>
      <c r="Q6" s="163">
        <f t="shared" si="57"/>
        <v>4.2825000000000006</v>
      </c>
      <c r="R6" s="163">
        <f t="shared" si="58"/>
        <v>14.162452002310248</v>
      </c>
      <c r="S6" s="163">
        <f t="shared" si="59"/>
        <v>0.68291666666666639</v>
      </c>
      <c r="T6" s="163">
        <f t="shared" si="60"/>
        <v>0.98123333333333329</v>
      </c>
      <c r="U6" s="163">
        <f t="shared" ca="1" si="0"/>
        <v>19.071491604866374</v>
      </c>
      <c r="V6" s="159">
        <f t="shared" si="1"/>
        <v>5.8984221710483489</v>
      </c>
      <c r="W6" s="159">
        <f t="shared" si="2"/>
        <v>8.9258345507713841</v>
      </c>
      <c r="X6" s="159">
        <f t="shared" si="61"/>
        <v>5.8984221710483489</v>
      </c>
      <c r="Y6" s="159">
        <f t="shared" si="3"/>
        <v>7.7419163347777191</v>
      </c>
      <c r="Z6" s="159">
        <f t="shared" si="4"/>
        <v>15.003713827088603</v>
      </c>
      <c r="AA6" s="159">
        <f t="shared" si="62"/>
        <v>3.8709581673888596</v>
      </c>
      <c r="AB6" s="159">
        <f t="shared" si="5"/>
        <v>3.812824113069309</v>
      </c>
      <c r="AC6" s="159">
        <f t="shared" si="6"/>
        <v>5.6714038266394917</v>
      </c>
      <c r="AD6" s="159">
        <f t="shared" si="7"/>
        <v>10.84768509698506</v>
      </c>
      <c r="AE6" s="159">
        <f t="shared" si="63"/>
        <v>2.8357019133197459</v>
      </c>
      <c r="AF6" s="159">
        <f t="shared" si="8"/>
        <v>6.1678037123180003</v>
      </c>
      <c r="AG6" s="387">
        <f t="shared" si="9"/>
        <v>13.803416720921515</v>
      </c>
      <c r="AH6" s="159">
        <f t="shared" si="10"/>
        <v>6.2115375244146813</v>
      </c>
      <c r="AI6" s="159">
        <f t="shared" si="11"/>
        <v>2.675384986901574</v>
      </c>
      <c r="AJ6" s="387">
        <f t="shared" si="12"/>
        <v>7.4403837303281</v>
      </c>
      <c r="AK6" s="159">
        <f t="shared" si="13"/>
        <v>11.312800225624807</v>
      </c>
      <c r="AL6" s="159">
        <f t="shared" si="14"/>
        <v>10.62262938957873</v>
      </c>
      <c r="AM6" s="159">
        <f t="shared" si="15"/>
        <v>3.2684390980126845</v>
      </c>
      <c r="AN6" s="159">
        <f t="shared" si="16"/>
        <v>2.0811495822015167</v>
      </c>
      <c r="AO6" s="159">
        <f t="shared" si="17"/>
        <v>4.0510027333139229</v>
      </c>
      <c r="AP6" s="159">
        <f t="shared" si="18"/>
        <v>8.9122060132906302</v>
      </c>
      <c r="AQ6" s="159">
        <f t="shared" si="64"/>
        <v>2.0255013666569615</v>
      </c>
      <c r="AR6" s="159">
        <f t="shared" si="19"/>
        <v>15.123134297216081</v>
      </c>
      <c r="AS6" s="159">
        <f t="shared" si="20"/>
        <v>1.6306827975215179</v>
      </c>
      <c r="AT6" s="159">
        <f t="shared" si="21"/>
        <v>2.6514364846702927</v>
      </c>
      <c r="AU6" s="159">
        <f t="shared" si="65"/>
        <v>0.81534139876075895</v>
      </c>
      <c r="AV6" s="159">
        <f t="shared" si="22"/>
        <v>2.8357019133197459</v>
      </c>
      <c r="AW6" s="159">
        <f t="shared" si="23"/>
        <v>6.001485530835442</v>
      </c>
      <c r="AX6" s="159">
        <f t="shared" si="66"/>
        <v>1.4178509566598729</v>
      </c>
      <c r="AY6" s="159">
        <f t="shared" si="24"/>
        <v>16.020269382644155</v>
      </c>
      <c r="AZ6" s="159">
        <f t="shared" si="25"/>
        <v>3.1735595982534157</v>
      </c>
      <c r="BA6" s="159">
        <f t="shared" si="26"/>
        <v>5.6687363187258182</v>
      </c>
      <c r="BB6" s="159">
        <f t="shared" si="67"/>
        <v>1.5867797991267079</v>
      </c>
      <c r="BC6" s="159">
        <f t="shared" si="27"/>
        <v>4.3660807236827832</v>
      </c>
      <c r="BD6" s="159">
        <f t="shared" si="28"/>
        <v>5.2212924118268331</v>
      </c>
      <c r="BE6" s="159">
        <f t="shared" si="29"/>
        <v>14.113857326109501</v>
      </c>
      <c r="BF6" s="159">
        <f t="shared" si="30"/>
        <v>11.214501592281767</v>
      </c>
      <c r="BG6" s="159">
        <f t="shared" si="31"/>
        <v>3.0230350323283521</v>
      </c>
      <c r="BH6" s="159">
        <f t="shared" si="32"/>
        <v>7.2768012061379723</v>
      </c>
      <c r="BI6" s="159">
        <f t="shared" si="33"/>
        <v>3.9609804503513915</v>
      </c>
      <c r="BJ6" s="159">
        <f t="shared" si="34"/>
        <v>6.1037226347874229</v>
      </c>
      <c r="BK6" s="159">
        <f t="shared" si="35"/>
        <v>11.037235884875441</v>
      </c>
      <c r="BL6" s="159">
        <f t="shared" si="36"/>
        <v>0.65227311900860707</v>
      </c>
      <c r="BM6" s="159">
        <f t="shared" si="37"/>
        <v>2.7006684888759485</v>
      </c>
      <c r="BN6" s="159">
        <f t="shared" si="38"/>
        <v>1.0202525402420251</v>
      </c>
      <c r="BO6" s="159">
        <f t="shared" si="39"/>
        <v>4.8861821617064676</v>
      </c>
      <c r="BP6" s="159">
        <f t="shared" si="40"/>
        <v>16.241215981635946</v>
      </c>
      <c r="BQ6" s="159">
        <f t="shared" si="41"/>
        <v>1.6934013666569609</v>
      </c>
      <c r="BR6" s="159">
        <f t="shared" si="42"/>
        <v>4.2610547268931631</v>
      </c>
      <c r="BS6" s="159">
        <f t="shared" si="43"/>
        <v>3.6609061738096189</v>
      </c>
      <c r="BT6" s="159">
        <f t="shared" si="44"/>
        <v>7.2892225691030905</v>
      </c>
      <c r="BU6" s="159">
        <f t="shared" si="45"/>
        <v>13.993474920414174</v>
      </c>
      <c r="BV6" s="159">
        <f t="shared" si="46"/>
        <v>1.5177893730777203</v>
      </c>
      <c r="BW6" s="159">
        <f t="shared" si="47"/>
        <v>4.2610547268931631</v>
      </c>
      <c r="BX6" s="159">
        <f t="shared" si="48"/>
        <v>3.6609061738096189</v>
      </c>
      <c r="BY6" s="159">
        <f t="shared" si="49"/>
        <v>10.108789980448462</v>
      </c>
      <c r="BZ6" s="159">
        <f t="shared" si="50"/>
        <v>11.303843875244299</v>
      </c>
      <c r="CA6" s="159">
        <f t="shared" si="51"/>
        <v>1.8564696464091126</v>
      </c>
      <c r="CB6" s="159">
        <f t="shared" si="52"/>
        <v>6.5042293693535278</v>
      </c>
      <c r="CC6" s="159">
        <f t="shared" si="53"/>
        <v>5.7994865705798277</v>
      </c>
      <c r="CD6" s="159">
        <f t="shared" si="54"/>
        <v>10.673833435968429</v>
      </c>
      <c r="CE6" s="159">
        <f t="shared" si="68"/>
        <v>5.7994865705798277</v>
      </c>
      <c r="CF6" s="159">
        <f t="shared" si="55"/>
        <v>6.1702770476095319</v>
      </c>
      <c r="CG6" s="159">
        <f t="shared" si="56"/>
        <v>11.254010895950959</v>
      </c>
      <c r="CH6" s="159">
        <f t="shared" si="69"/>
        <v>6.1702770476095319</v>
      </c>
      <c r="CI6" s="159">
        <f t="shared" si="70"/>
        <v>4.0050673456610388</v>
      </c>
    </row>
    <row r="7" spans="1:87" x14ac:dyDescent="0.25">
      <c r="A7" t="str">
        <f>PLANTILLA!D10</f>
        <v>B. Bartolache</v>
      </c>
      <c r="B7" t="s">
        <v>1018</v>
      </c>
      <c r="C7" s="666">
        <f>PLANTILLA!E10</f>
        <v>30</v>
      </c>
      <c r="D7" s="666">
        <f ca="1">PLANTILLA!F10</f>
        <v>99</v>
      </c>
      <c r="E7" s="666"/>
      <c r="F7" s="317">
        <v>41527</v>
      </c>
      <c r="G7" s="530">
        <v>1.5</v>
      </c>
      <c r="H7" s="531">
        <f>PLANTILLA!I10</f>
        <v>9.1999999999999993</v>
      </c>
      <c r="I7" s="371"/>
      <c r="J7" s="163">
        <f>PLANTILLA!X10</f>
        <v>0</v>
      </c>
      <c r="K7" s="163">
        <f>PLANTILLA!Y10</f>
        <v>11.649999999999997</v>
      </c>
      <c r="L7" s="163">
        <f>PLANTILLA!Z10</f>
        <v>6.6900000000000022</v>
      </c>
      <c r="M7" s="163">
        <f>PLANTILLA!AA10</f>
        <v>7.3600000000000012</v>
      </c>
      <c r="N7" s="163">
        <f>PLANTILLA!AB10</f>
        <v>9.0199999999999978</v>
      </c>
      <c r="O7" s="163">
        <f>PLANTILLA!AC10</f>
        <v>4.6199999999999966</v>
      </c>
      <c r="P7" s="163">
        <f>PLANTILLA!AD10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2.2550620038776561</v>
      </c>
      <c r="AC7" s="159">
        <f t="shared" si="6"/>
        <v>5.4564490649821584</v>
      </c>
      <c r="AD7" s="159">
        <f t="shared" si="7"/>
        <v>10.436541465561112</v>
      </c>
      <c r="AE7" s="159">
        <f t="shared" si="63"/>
        <v>2.7282245324910792</v>
      </c>
      <c r="AF7" s="159">
        <f t="shared" si="8"/>
        <v>3.6478944180373851</v>
      </c>
      <c r="AG7" s="387">
        <f t="shared" si="9"/>
        <v>13.280246401543877</v>
      </c>
      <c r="AH7" s="159">
        <f t="shared" si="10"/>
        <v>5.9761108806947449</v>
      </c>
      <c r="AI7" s="159">
        <f t="shared" si="11"/>
        <v>1.5823334228889439</v>
      </c>
      <c r="AJ7" s="387">
        <f t="shared" si="12"/>
        <v>5.9652896566389151</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8.9444476120189389</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9.4750504364607409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8.3475194345219119</v>
      </c>
      <c r="BF7" s="159">
        <f t="shared" si="30"/>
        <v>9.5418498380135972</v>
      </c>
      <c r="BG7" s="159">
        <f t="shared" si="31"/>
        <v>2.8450171551870378</v>
      </c>
      <c r="BH7" s="159">
        <f t="shared" si="32"/>
        <v>7.000999461683457</v>
      </c>
      <c r="BI7" s="159">
        <f t="shared" si="33"/>
        <v>3.8108533152256348</v>
      </c>
      <c r="BJ7" s="159">
        <f t="shared" si="34"/>
        <v>3.6099942162915424</v>
      </c>
      <c r="BK7" s="159">
        <f t="shared" si="35"/>
        <v>9.2004340814666872</v>
      </c>
      <c r="BL7" s="159">
        <f t="shared" si="36"/>
        <v>0.61386262269595826</v>
      </c>
      <c r="BM7" s="159">
        <f t="shared" si="37"/>
        <v>2.5983090785629326</v>
      </c>
      <c r="BN7" s="159">
        <f t="shared" si="38"/>
        <v>0.9815834296793301</v>
      </c>
      <c r="BO7" s="159">
        <f t="shared" si="39"/>
        <v>2.8898903831205258</v>
      </c>
      <c r="BP7" s="159">
        <f t="shared" si="40"/>
        <v>13.521294861288512</v>
      </c>
      <c r="BQ7" s="159">
        <f t="shared" si="41"/>
        <v>1.5936818089221996</v>
      </c>
      <c r="BR7" s="159">
        <f t="shared" si="42"/>
        <v>4.0995543239548491</v>
      </c>
      <c r="BS7" s="159">
        <f t="shared" si="43"/>
        <v>3.5221523064964195</v>
      </c>
      <c r="BT7" s="159">
        <f t="shared" si="44"/>
        <v>4.3111479485896371</v>
      </c>
      <c r="BU7" s="159">
        <f t="shared" si="45"/>
        <v>11.6457558835985</v>
      </c>
      <c r="BV7" s="159">
        <f t="shared" si="46"/>
        <v>1.4284111028117492</v>
      </c>
      <c r="BW7" s="159">
        <f t="shared" si="47"/>
        <v>4.0995543239548491</v>
      </c>
      <c r="BX7" s="159">
        <f t="shared" si="48"/>
        <v>3.5221523064964195</v>
      </c>
      <c r="BY7" s="159">
        <f t="shared" si="49"/>
        <v>5.9787568254067276</v>
      </c>
      <c r="BZ7" s="159">
        <f t="shared" si="50"/>
        <v>9.4002001406323608</v>
      </c>
      <c r="CA7" s="159">
        <f t="shared" si="51"/>
        <v>1.7471474645961891</v>
      </c>
      <c r="CB7" s="159">
        <f t="shared" si="52"/>
        <v>3.8468704772030611</v>
      </c>
      <c r="CC7" s="159">
        <f t="shared" si="53"/>
        <v>5.3525912773960451</v>
      </c>
      <c r="CD7" s="159">
        <f t="shared" si="54"/>
        <v>10.727286791454791</v>
      </c>
      <c r="CE7" s="159">
        <f t="shared" si="68"/>
        <v>5.3525912773960451</v>
      </c>
      <c r="CF7" s="159">
        <f t="shared" si="55"/>
        <v>5.7136864219150398</v>
      </c>
      <c r="CG7" s="159">
        <f t="shared" si="56"/>
        <v>11.761114047514749</v>
      </c>
      <c r="CH7" s="159">
        <f t="shared" si="69"/>
        <v>5.7136864219150398</v>
      </c>
      <c r="CI7" s="159">
        <f t="shared" si="70"/>
        <v>2.3687626091151852</v>
      </c>
    </row>
    <row r="8" spans="1:87" x14ac:dyDescent="0.25">
      <c r="A8" t="str">
        <f>PLANTILLA!D11</f>
        <v>F. Lasprilla</v>
      </c>
      <c r="B8" t="s">
        <v>1018</v>
      </c>
      <c r="C8" s="666">
        <f>PLANTILLA!E11</f>
        <v>27</v>
      </c>
      <c r="D8" s="666">
        <f ca="1">PLANTILLA!F11</f>
        <v>10</v>
      </c>
      <c r="E8" s="666"/>
      <c r="F8" s="317">
        <v>42106</v>
      </c>
      <c r="G8" s="530">
        <v>1.5</v>
      </c>
      <c r="H8" s="531">
        <f>PLANTILLA!I11</f>
        <v>4.9000000000000004</v>
      </c>
      <c r="I8" s="371"/>
      <c r="J8" s="163">
        <f>PLANTILLA!X11</f>
        <v>0</v>
      </c>
      <c r="K8" s="163">
        <f>PLANTILLA!Y11</f>
        <v>9.5796666666666663</v>
      </c>
      <c r="L8" s="163">
        <f>PLANTILLA!Z11</f>
        <v>7.7307222222222229</v>
      </c>
      <c r="M8" s="163">
        <f>PLANTILLA!AA11</f>
        <v>6.129999999999999</v>
      </c>
      <c r="N8" s="163">
        <f>PLANTILLA!AB11</f>
        <v>8.8633333333333315</v>
      </c>
      <c r="O8" s="163">
        <f>PLANTILLA!AC11</f>
        <v>3.2566666666666673</v>
      </c>
      <c r="P8" s="163">
        <f>PLANTILLA!AD11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2.4159341116179371</v>
      </c>
      <c r="AC8" s="159">
        <f t="shared" si="6"/>
        <v>4.5359728243343707</v>
      </c>
      <c r="AD8" s="159">
        <f t="shared" si="7"/>
        <v>8.6759480211474873</v>
      </c>
      <c r="AE8" s="159">
        <f t="shared" si="63"/>
        <v>2.2679864121671853</v>
      </c>
      <c r="AF8" s="159">
        <f t="shared" si="8"/>
        <v>3.9081287099701929</v>
      </c>
      <c r="AG8" s="387">
        <f t="shared" si="9"/>
        <v>11.039933858168311</v>
      </c>
      <c r="AH8" s="159">
        <f t="shared" si="10"/>
        <v>4.9679702361757396</v>
      </c>
      <c r="AI8" s="159">
        <f t="shared" si="11"/>
        <v>1.6952142715974605</v>
      </c>
      <c r="AJ8" s="387">
        <f t="shared" si="12"/>
        <v>5.0275537267423536</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9.582528577173667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10.150983662260241</v>
      </c>
      <c r="AZ8" s="159">
        <f t="shared" si="25"/>
        <v>2.8547494776629514</v>
      </c>
      <c r="BA8" s="159">
        <f t="shared" si="26"/>
        <v>5.0398607201276144</v>
      </c>
      <c r="BB8" s="159">
        <f t="shared" si="67"/>
        <v>1.4273747388314757</v>
      </c>
      <c r="BC8" s="159">
        <f t="shared" si="27"/>
        <v>3.4919790790510632</v>
      </c>
      <c r="BD8" s="159">
        <f t="shared" si="28"/>
        <v>4.1759749811332298</v>
      </c>
      <c r="BE8" s="159">
        <f t="shared" si="29"/>
        <v>8.9430166064512733</v>
      </c>
      <c r="BF8" s="159">
        <f t="shared" si="30"/>
        <v>8.4621824201937965</v>
      </c>
      <c r="BG8" s="159">
        <f t="shared" si="31"/>
        <v>2.7193463403824953</v>
      </c>
      <c r="BH8" s="159">
        <f t="shared" si="32"/>
        <v>5.819965131751772</v>
      </c>
      <c r="BI8" s="159">
        <f t="shared" si="33"/>
        <v>3.1679810201700369</v>
      </c>
      <c r="BJ8" s="159">
        <f t="shared" si="34"/>
        <v>3.8675247753211521</v>
      </c>
      <c r="BK8" s="159">
        <f t="shared" si="35"/>
        <v>8.0223284985932271</v>
      </c>
      <c r="BL8" s="159">
        <f t="shared" si="36"/>
        <v>0.58674692821531016</v>
      </c>
      <c r="BM8" s="159">
        <f t="shared" si="37"/>
        <v>2.1599870592068431</v>
      </c>
      <c r="BN8" s="159">
        <f t="shared" si="38"/>
        <v>0.81599511125591861</v>
      </c>
      <c r="BO8" s="159">
        <f t="shared" si="39"/>
        <v>3.0960500169893734</v>
      </c>
      <c r="BP8" s="159">
        <f t="shared" si="40"/>
        <v>11.777369545222223</v>
      </c>
      <c r="BQ8" s="159">
        <f t="shared" si="41"/>
        <v>1.5232852944051323</v>
      </c>
      <c r="BR8" s="159">
        <f t="shared" si="42"/>
        <v>3.4079795823041303</v>
      </c>
      <c r="BS8" s="159">
        <f t="shared" si="43"/>
        <v>2.927982458035943</v>
      </c>
      <c r="BT8" s="159">
        <f t="shared" si="44"/>
        <v>4.61869756632841</v>
      </c>
      <c r="BU8" s="159">
        <f t="shared" si="45"/>
        <v>10.140623008895457</v>
      </c>
      <c r="BV8" s="159">
        <f t="shared" si="46"/>
        <v>1.3653149675779332</v>
      </c>
      <c r="BW8" s="159">
        <f t="shared" si="47"/>
        <v>3.4079795823041303</v>
      </c>
      <c r="BX8" s="159">
        <f t="shared" si="48"/>
        <v>2.927982458035943</v>
      </c>
      <c r="BY8" s="159">
        <f t="shared" si="49"/>
        <v>6.405270690886212</v>
      </c>
      <c r="BZ8" s="159">
        <f t="shared" si="50"/>
        <v>8.1800173221673589</v>
      </c>
      <c r="CA8" s="159">
        <f t="shared" si="51"/>
        <v>1.6699720264589597</v>
      </c>
      <c r="CB8" s="159">
        <f t="shared" si="52"/>
        <v>4.1212993668776585</v>
      </c>
      <c r="CC8" s="159">
        <f t="shared" si="53"/>
        <v>4.7731062102598072</v>
      </c>
      <c r="CD8" s="159">
        <f t="shared" si="54"/>
        <v>9.4366410481494754</v>
      </c>
      <c r="CE8" s="159">
        <f t="shared" si="68"/>
        <v>4.7731062102598072</v>
      </c>
      <c r="CF8" s="159">
        <f t="shared" si="55"/>
        <v>4.8378795438103515</v>
      </c>
      <c r="CG8" s="159">
        <f t="shared" si="56"/>
        <v>9.8405745780787139</v>
      </c>
      <c r="CH8" s="159">
        <f t="shared" si="69"/>
        <v>4.8378795438103515</v>
      </c>
      <c r="CI8" s="159">
        <f t="shared" si="70"/>
        <v>2.5377459155650604</v>
      </c>
    </row>
    <row r="9" spans="1:87" x14ac:dyDescent="0.25">
      <c r="A9" t="str">
        <f>PLANTILLA!D7</f>
        <v>B. Pinczehelyi</v>
      </c>
      <c r="C9" s="666">
        <f>PLANTILLA!E7</f>
        <v>30</v>
      </c>
      <c r="D9" s="666">
        <f ca="1">PLANTILLA!F7</f>
        <v>3</v>
      </c>
      <c r="E9" s="666" t="str">
        <f>PLANTILLA!G7</f>
        <v>CAB</v>
      </c>
      <c r="F9" s="317">
        <v>41400</v>
      </c>
      <c r="G9" s="530">
        <v>1</v>
      </c>
      <c r="H9" s="531">
        <f>PLANTILLA!I7</f>
        <v>14</v>
      </c>
      <c r="I9" s="371"/>
      <c r="J9" s="163">
        <f>PLANTILLA!X7</f>
        <v>0</v>
      </c>
      <c r="K9" s="163">
        <f>PLANTILLA!Y7</f>
        <v>14.200000000000003</v>
      </c>
      <c r="L9" s="163">
        <f>PLANTILLA!Z7</f>
        <v>9.299333333333335</v>
      </c>
      <c r="M9" s="163">
        <f>PLANTILLA!AA7</f>
        <v>14.249999999999996</v>
      </c>
      <c r="N9" s="163">
        <f>PLANTILLA!AB7</f>
        <v>9.4199999999999982</v>
      </c>
      <c r="O9" s="163">
        <f>PLANTILLA!AC7</f>
        <v>1.1428571428571428</v>
      </c>
      <c r="P9" s="163">
        <f>PLANTILLA!AD7</f>
        <v>9.4</v>
      </c>
      <c r="Q9" s="163">
        <f>((2*(N9+1))+(K9+1))/8</f>
        <v>4.5049999999999999</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2.8149459633218945</v>
      </c>
      <c r="AC9" s="159">
        <f t="shared" si="6"/>
        <v>6.3232485299818331</v>
      </c>
      <c r="AD9" s="159">
        <f t="shared" si="7"/>
        <v>12.094467426393823</v>
      </c>
      <c r="AE9" s="159">
        <f>AC9/2</f>
        <v>3.1616242649909165</v>
      </c>
      <c r="AF9" s="159">
        <f t="shared" si="8"/>
        <v>4.55358905831483</v>
      </c>
      <c r="AG9" s="387">
        <f t="shared" si="9"/>
        <v>15.389917057098641</v>
      </c>
      <c r="AH9" s="159">
        <f t="shared" si="10"/>
        <v>6.925462675694388</v>
      </c>
      <c r="AI9" s="159">
        <f t="shared" si="11"/>
        <v>1.9751931759443548</v>
      </c>
      <c r="AJ9" s="387">
        <f t="shared" si="12"/>
        <v>9.865564379971735</v>
      </c>
      <c r="AK9" s="159">
        <f t="shared" si="13"/>
        <v>12.61304071853519</v>
      </c>
      <c r="AL9" s="159">
        <f t="shared" si="14"/>
        <v>11.843544865680258</v>
      </c>
      <c r="AM9" s="159">
        <f t="shared" si="15"/>
        <v>1.9920045092776879</v>
      </c>
      <c r="AN9" s="159">
        <f t="shared" si="16"/>
        <v>2.0255531657004431</v>
      </c>
      <c r="AO9" s="159">
        <f t="shared" si="17"/>
        <v>4.5166060928441665</v>
      </c>
      <c r="AP9" s="159">
        <f t="shared" si="18"/>
        <v>9.9365334042571654</v>
      </c>
      <c r="AQ9" s="159">
        <f>AO9/2</f>
        <v>2.2583030464220832</v>
      </c>
      <c r="AR9" s="159">
        <f t="shared" si="19"/>
        <v>11.165163820907011</v>
      </c>
      <c r="AS9" s="159">
        <f t="shared" si="20"/>
        <v>1.5532621928508943</v>
      </c>
      <c r="AT9" s="159">
        <f t="shared" si="21"/>
        <v>2.0688683049859167</v>
      </c>
      <c r="AU9" s="159">
        <f>AS9/2</f>
        <v>0.77663109642544714</v>
      </c>
      <c r="AV9" s="159">
        <f t="shared" si="22"/>
        <v>3.1616242649909165</v>
      </c>
      <c r="AW9" s="159">
        <f t="shared" si="23"/>
        <v>6.6912682856950614</v>
      </c>
      <c r="AX9" s="159">
        <f>AV9/2</f>
        <v>1.5808121324954583</v>
      </c>
      <c r="AY9" s="159">
        <f t="shared" si="24"/>
        <v>11.827504047570987</v>
      </c>
      <c r="AZ9" s="159">
        <f t="shared" si="25"/>
        <v>3.0228871907021251</v>
      </c>
      <c r="BA9" s="159">
        <f t="shared" si="26"/>
        <v>4.8452420635449451</v>
      </c>
      <c r="BB9" s="159">
        <f>AZ9/2</f>
        <v>1.5114435953510625</v>
      </c>
      <c r="BC9" s="159">
        <f t="shared" si="27"/>
        <v>4.8678976778431569</v>
      </c>
      <c r="BD9" s="159">
        <f t="shared" si="28"/>
        <v>5.8214034085547031</v>
      </c>
      <c r="BE9" s="159">
        <f t="shared" si="29"/>
        <v>10.42003106591004</v>
      </c>
      <c r="BF9" s="159">
        <f t="shared" si="30"/>
        <v>13.394343764957267</v>
      </c>
      <c r="BG9" s="159">
        <f t="shared" si="31"/>
        <v>2.8795091421312731</v>
      </c>
      <c r="BH9" s="159">
        <f t="shared" si="32"/>
        <v>8.1131627964052608</v>
      </c>
      <c r="BI9" s="159">
        <f t="shared" si="33"/>
        <v>4.4162370685587407</v>
      </c>
      <c r="BJ9" s="159">
        <f t="shared" si="34"/>
        <v>4.5062790421245458</v>
      </c>
      <c r="BK9" s="159">
        <f t="shared" si="35"/>
        <v>13.693291204243705</v>
      </c>
      <c r="BL9" s="159">
        <f t="shared" si="36"/>
        <v>0.62130487714035765</v>
      </c>
      <c r="BM9" s="159">
        <f t="shared" si="37"/>
        <v>3.0110707285627774</v>
      </c>
      <c r="BN9" s="159">
        <f t="shared" si="38"/>
        <v>1.1375156085681604</v>
      </c>
      <c r="BO9" s="159">
        <f t="shared" si="39"/>
        <v>3.6073887345091507</v>
      </c>
      <c r="BP9" s="159">
        <f t="shared" si="40"/>
        <v>20.195347538509612</v>
      </c>
      <c r="BQ9" s="159">
        <f t="shared" si="41"/>
        <v>1.6130030464220826</v>
      </c>
      <c r="BR9" s="159">
        <f t="shared" si="42"/>
        <v>4.7508004828434931</v>
      </c>
      <c r="BS9" s="159">
        <f t="shared" si="43"/>
        <v>4.0816736542739873</v>
      </c>
      <c r="BT9" s="159">
        <f t="shared" si="44"/>
        <v>5.3815143416447988</v>
      </c>
      <c r="BU9" s="159">
        <f t="shared" si="45"/>
        <v>17.411693151375314</v>
      </c>
      <c r="BV9" s="159">
        <f t="shared" si="46"/>
        <v>1.4457286564227554</v>
      </c>
      <c r="BW9" s="159">
        <f t="shared" si="47"/>
        <v>4.7508004828434931</v>
      </c>
      <c r="BX9" s="159">
        <f t="shared" si="48"/>
        <v>4.0816736542739873</v>
      </c>
      <c r="BY9" s="159">
        <f t="shared" si="49"/>
        <v>7.4631550540172924</v>
      </c>
      <c r="BZ9" s="159">
        <f t="shared" si="50"/>
        <v>14.084272789242693</v>
      </c>
      <c r="CA9" s="159">
        <f t="shared" si="51"/>
        <v>1.7683292657071719</v>
      </c>
      <c r="CB9" s="159">
        <f t="shared" si="52"/>
        <v>4.8019666433138211</v>
      </c>
      <c r="CC9" s="159">
        <f t="shared" si="53"/>
        <v>5.8693197992606718</v>
      </c>
      <c r="CD9" s="159">
        <f t="shared" si="54"/>
        <v>8.6280659385173077</v>
      </c>
      <c r="CE9" s="159">
        <f>CC9</f>
        <v>5.8693197992606718</v>
      </c>
      <c r="CF9" s="159">
        <f t="shared" si="55"/>
        <v>6.3590832121129122</v>
      </c>
      <c r="CG9" s="159">
        <f t="shared" si="56"/>
        <v>8.0799028506484856</v>
      </c>
      <c r="CH9" s="159">
        <f>CF9</f>
        <v>6.3590832121129122</v>
      </c>
      <c r="CI9" s="159">
        <f>((L9+G9+(LOG(H9)*4/3))*0.25)</f>
        <v>2.9568760118927466</v>
      </c>
    </row>
    <row r="10" spans="1:87" x14ac:dyDescent="0.25">
      <c r="A10" t="str">
        <f>PLANTILLA!D12</f>
        <v>E. Romweber</v>
      </c>
      <c r="B10" t="s">
        <v>1018</v>
      </c>
      <c r="C10" s="666">
        <f>PLANTILLA!E12</f>
        <v>30</v>
      </c>
      <c r="D10" s="666">
        <f ca="1">PLANTILLA!F12</f>
        <v>76</v>
      </c>
      <c r="E10" s="666" t="str">
        <f>PLANTILLA!G12</f>
        <v>IMP</v>
      </c>
      <c r="F10" s="317">
        <v>41583</v>
      </c>
      <c r="G10" s="530">
        <v>1.5</v>
      </c>
      <c r="H10" s="531">
        <f>PLANTILLA!I12</f>
        <v>12.2</v>
      </c>
      <c r="I10" s="371"/>
      <c r="J10" s="163">
        <f>PLANTILLA!X12</f>
        <v>0</v>
      </c>
      <c r="K10" s="163">
        <f>PLANTILLA!Y12</f>
        <v>11.95</v>
      </c>
      <c r="L10" s="163">
        <f>PLANTILLA!Z12</f>
        <v>12.444111111111114</v>
      </c>
      <c r="M10" s="163">
        <f>PLANTILLA!AA12</f>
        <v>13.05</v>
      </c>
      <c r="N10" s="163">
        <f>PLANTILLA!AB12</f>
        <v>10.91</v>
      </c>
      <c r="O10" s="163">
        <f>PLANTILLA!AC12</f>
        <v>7.7700000000000005</v>
      </c>
      <c r="P10" s="163">
        <f>PLANTILLA!AD12</f>
        <v>17.13</v>
      </c>
      <c r="Q10" s="163">
        <f t="shared" si="57"/>
        <v>4.5962499999999995</v>
      </c>
      <c r="R10" s="163">
        <f t="shared" si="58"/>
        <v>21.235840301054928</v>
      </c>
      <c r="S10" s="163">
        <f t="shared" si="59"/>
        <v>0.90239999999999987</v>
      </c>
      <c r="T10" s="163">
        <f t="shared" si="60"/>
        <v>0.9919</v>
      </c>
      <c r="U10" s="163">
        <f t="shared" ca="1" si="0"/>
        <v>19.578479774232996</v>
      </c>
      <c r="V10" s="159">
        <f t="shared" si="1"/>
        <v>5.8722228429054066</v>
      </c>
      <c r="W10" s="159">
        <f t="shared" si="2"/>
        <v>8.8852373885347991</v>
      </c>
      <c r="X10" s="159">
        <f t="shared" si="61"/>
        <v>5.8722228429054066</v>
      </c>
      <c r="Y10" s="159">
        <f t="shared" si="3"/>
        <v>7.6876155635042265</v>
      </c>
      <c r="Z10" s="159">
        <f t="shared" si="4"/>
        <v>14.898479774232996</v>
      </c>
      <c r="AA10" s="159">
        <f t="shared" si="62"/>
        <v>3.8438077817521132</v>
      </c>
      <c r="AB10" s="159">
        <f t="shared" si="5"/>
        <v>3.6634366307118986</v>
      </c>
      <c r="AC10" s="159">
        <f t="shared" si="6"/>
        <v>5.6316253546600725</v>
      </c>
      <c r="AD10" s="159">
        <f t="shared" si="7"/>
        <v>10.771600876770457</v>
      </c>
      <c r="AE10" s="159">
        <f t="shared" si="63"/>
        <v>2.8158126773300363</v>
      </c>
      <c r="AF10" s="159">
        <f t="shared" si="8"/>
        <v>5.9261474908574838</v>
      </c>
      <c r="AG10" s="387">
        <f t="shared" si="9"/>
        <v>13.706601392294356</v>
      </c>
      <c r="AH10" s="159">
        <f t="shared" si="10"/>
        <v>6.1679706265324601</v>
      </c>
      <c r="AI10" s="159">
        <f t="shared" si="11"/>
        <v>2.5705626778524668</v>
      </c>
      <c r="AJ10" s="387">
        <f t="shared" si="12"/>
        <v>9.4071061072490014</v>
      </c>
      <c r="AK10" s="159">
        <f t="shared" si="13"/>
        <v>11.233453749771678</v>
      </c>
      <c r="AL10" s="159">
        <f t="shared" si="14"/>
        <v>10.54812368015696</v>
      </c>
      <c r="AM10" s="159">
        <f t="shared" si="15"/>
        <v>3.3531061222969103</v>
      </c>
      <c r="AN10" s="159">
        <f t="shared" si="16"/>
        <v>2.1728821749791032</v>
      </c>
      <c r="AO10" s="159">
        <f t="shared" si="17"/>
        <v>4.0225895390429089</v>
      </c>
      <c r="AP10" s="159">
        <f t="shared" si="18"/>
        <v>8.8496969858943988</v>
      </c>
      <c r="AQ10" s="159">
        <f t="shared" si="64"/>
        <v>2.0112947695214545</v>
      </c>
      <c r="AR10" s="159">
        <f t="shared" si="19"/>
        <v>14.530605795764842</v>
      </c>
      <c r="AS10" s="159">
        <f t="shared" si="20"/>
        <v>1.8016023706502897</v>
      </c>
      <c r="AT10" s="159">
        <f t="shared" si="21"/>
        <v>3.5173145738502676</v>
      </c>
      <c r="AU10" s="159">
        <f t="shared" si="65"/>
        <v>0.90080118532514486</v>
      </c>
      <c r="AV10" s="159">
        <f t="shared" si="22"/>
        <v>2.8158126773300363</v>
      </c>
      <c r="AW10" s="159">
        <f t="shared" si="23"/>
        <v>5.9593919096931991</v>
      </c>
      <c r="AX10" s="159">
        <f t="shared" si="66"/>
        <v>1.4079063386650181</v>
      </c>
      <c r="AY10" s="159">
        <f t="shared" si="24"/>
        <v>15.392590885344113</v>
      </c>
      <c r="AZ10" s="159">
        <f t="shared" si="25"/>
        <v>3.5061953828809482</v>
      </c>
      <c r="BA10" s="159">
        <f t="shared" si="26"/>
        <v>6.9766223556023821</v>
      </c>
      <c r="BB10" s="159">
        <f t="shared" si="67"/>
        <v>1.7530976914404741</v>
      </c>
      <c r="BC10" s="159">
        <f t="shared" si="27"/>
        <v>4.3354576143018013</v>
      </c>
      <c r="BD10" s="159">
        <f t="shared" si="28"/>
        <v>5.1846709614330821</v>
      </c>
      <c r="BE10" s="159">
        <f t="shared" si="29"/>
        <v>13.560872569988163</v>
      </c>
      <c r="BF10" s="159">
        <f t="shared" si="30"/>
        <v>13.548548519293133</v>
      </c>
      <c r="BG10" s="159">
        <f t="shared" si="31"/>
        <v>3.3398936255901521</v>
      </c>
      <c r="BH10" s="159">
        <f t="shared" si="32"/>
        <v>7.2257626905030028</v>
      </c>
      <c r="BI10" s="159">
        <f t="shared" si="33"/>
        <v>3.9331986603975113</v>
      </c>
      <c r="BJ10" s="159">
        <f t="shared" si="34"/>
        <v>5.8645771273161067</v>
      </c>
      <c r="BK10" s="159">
        <f t="shared" si="35"/>
        <v>13.552531322679641</v>
      </c>
      <c r="BL10" s="159">
        <f t="shared" si="36"/>
        <v>0.72064094826011582</v>
      </c>
      <c r="BM10" s="159">
        <f t="shared" si="37"/>
        <v>2.6817263593619391</v>
      </c>
      <c r="BN10" s="159">
        <f t="shared" si="38"/>
        <v>1.0130966246478439</v>
      </c>
      <c r="BO10" s="159">
        <f t="shared" si="39"/>
        <v>4.6947402200299546</v>
      </c>
      <c r="BP10" s="159">
        <f t="shared" si="40"/>
        <v>19.962004989663633</v>
      </c>
      <c r="BQ10" s="159">
        <f t="shared" si="41"/>
        <v>1.8708947695214546</v>
      </c>
      <c r="BR10" s="159">
        <f t="shared" si="42"/>
        <v>4.2311682558821708</v>
      </c>
      <c r="BS10" s="159">
        <f t="shared" si="43"/>
        <v>3.6352290649128509</v>
      </c>
      <c r="BT10" s="159">
        <f t="shared" si="44"/>
        <v>7.0036288528315715</v>
      </c>
      <c r="BU10" s="159">
        <f t="shared" si="45"/>
        <v>17.20415558985016</v>
      </c>
      <c r="BV10" s="159">
        <f t="shared" si="46"/>
        <v>1.6768760526821926</v>
      </c>
      <c r="BW10" s="159">
        <f t="shared" si="47"/>
        <v>4.2311682558821708</v>
      </c>
      <c r="BX10" s="159">
        <f t="shared" si="48"/>
        <v>3.6352290649128509</v>
      </c>
      <c r="BY10" s="159">
        <f t="shared" si="49"/>
        <v>9.7127248486521349</v>
      </c>
      <c r="BZ10" s="159">
        <f t="shared" si="50"/>
        <v>13.905619397938533</v>
      </c>
      <c r="CA10" s="159">
        <f t="shared" si="51"/>
        <v>2.0510550065864832</v>
      </c>
      <c r="CB10" s="159">
        <f t="shared" si="52"/>
        <v>6.2493918994497104</v>
      </c>
      <c r="CC10" s="159">
        <f t="shared" si="53"/>
        <v>7.1296479623753912</v>
      </c>
      <c r="CD10" s="159">
        <f t="shared" si="54"/>
        <v>13.774028225786353</v>
      </c>
      <c r="CE10" s="159">
        <f t="shared" si="68"/>
        <v>7.1296479623753912</v>
      </c>
      <c r="CF10" s="159">
        <f t="shared" si="55"/>
        <v>8.1603728993471574</v>
      </c>
      <c r="CG10" s="159">
        <f t="shared" si="56"/>
        <v>15.832258810924973</v>
      </c>
      <c r="CH10" s="159">
        <f t="shared" si="69"/>
        <v>8.1603728993471574</v>
      </c>
      <c r="CI10" s="159">
        <f t="shared" si="70"/>
        <v>3.8481477213360282</v>
      </c>
    </row>
    <row r="11" spans="1:87" x14ac:dyDescent="0.25">
      <c r="A11" t="str">
        <f>PLANTILLA!D13</f>
        <v>K. Helms</v>
      </c>
      <c r="B11" t="s">
        <v>1018</v>
      </c>
      <c r="C11" s="666">
        <f>PLANTILLA!E13</f>
        <v>30</v>
      </c>
      <c r="D11" s="666">
        <f ca="1">PLANTILLA!F13</f>
        <v>23</v>
      </c>
      <c r="E11" s="666" t="str">
        <f>PLANTILLA!G13</f>
        <v>TEC</v>
      </c>
      <c r="F11" s="317">
        <v>41722</v>
      </c>
      <c r="G11" s="530">
        <v>1.5</v>
      </c>
      <c r="H11" s="531">
        <f>PLANTILLA!I13</f>
        <v>10.199999999999999</v>
      </c>
      <c r="I11" s="371"/>
      <c r="J11" s="163">
        <f>PLANTILLA!X13</f>
        <v>0</v>
      </c>
      <c r="K11" s="163">
        <f>PLANTILLA!Y13</f>
        <v>7.11</v>
      </c>
      <c r="L11" s="163">
        <f>PLANTILLA!Z13</f>
        <v>10.350000000000003</v>
      </c>
      <c r="M11" s="163">
        <f>PLANTILLA!AA13</f>
        <v>13.305</v>
      </c>
      <c r="N11" s="163">
        <f>PLANTILLA!AB13</f>
        <v>10.359999999999998</v>
      </c>
      <c r="O11" s="163">
        <f>PLANTILLA!AC13</f>
        <v>5.4050000000000002</v>
      </c>
      <c r="P11" s="163">
        <f>PLANTILLA!AD13</f>
        <v>17.300000000000004</v>
      </c>
      <c r="Q11" s="163">
        <f t="shared" si="57"/>
        <v>3.8537499999999993</v>
      </c>
      <c r="R11" s="163">
        <f t="shared" si="58"/>
        <v>17.174308506125115</v>
      </c>
      <c r="S11" s="163">
        <f t="shared" si="59"/>
        <v>0.78925000000000023</v>
      </c>
      <c r="T11" s="163">
        <f t="shared" si="60"/>
        <v>0.80340000000000023</v>
      </c>
      <c r="U11" s="163">
        <f t="shared" ca="1" si="0"/>
        <v>19.644800229015893</v>
      </c>
      <c r="V11" s="159">
        <f t="shared" si="1"/>
        <v>4.4458705999308723</v>
      </c>
      <c r="W11" s="159">
        <f t="shared" si="2"/>
        <v>6.694387095659514</v>
      </c>
      <c r="X11" s="159">
        <f t="shared" si="61"/>
        <v>4.4458705999308723</v>
      </c>
      <c r="Y11" s="159">
        <f t="shared" si="3"/>
        <v>5.1366769181721992</v>
      </c>
      <c r="Z11" s="159">
        <f t="shared" si="4"/>
        <v>9.9548002290158895</v>
      </c>
      <c r="AA11" s="159">
        <f t="shared" si="62"/>
        <v>2.5683384590860996</v>
      </c>
      <c r="AB11" s="159">
        <f t="shared" si="5"/>
        <v>3.1403624545057824</v>
      </c>
      <c r="AC11" s="159">
        <f t="shared" si="6"/>
        <v>3.7629144865680062</v>
      </c>
      <c r="AD11" s="159">
        <f t="shared" si="7"/>
        <v>7.1973205655784875</v>
      </c>
      <c r="AE11" s="159">
        <f t="shared" si="63"/>
        <v>1.8814572432840031</v>
      </c>
      <c r="AF11" s="159">
        <f t="shared" si="8"/>
        <v>5.0799980881711191</v>
      </c>
      <c r="AG11" s="387">
        <f t="shared" si="9"/>
        <v>9.1584162106946181</v>
      </c>
      <c r="AH11" s="159">
        <f t="shared" si="10"/>
        <v>4.1212872948125776</v>
      </c>
      <c r="AI11" s="159">
        <f t="shared" si="11"/>
        <v>2.2035316382456545</v>
      </c>
      <c r="AJ11" s="387">
        <f t="shared" si="12"/>
        <v>9.4960825346613422</v>
      </c>
      <c r="AK11" s="159">
        <f t="shared" si="13"/>
        <v>7.5059193726779805</v>
      </c>
      <c r="AL11" s="159">
        <f t="shared" si="14"/>
        <v>7.047998562143249</v>
      </c>
      <c r="AM11" s="159">
        <f t="shared" si="15"/>
        <v>3.3641816382456544</v>
      </c>
      <c r="AN11" s="159">
        <f t="shared" si="16"/>
        <v>1.9291824659565762</v>
      </c>
      <c r="AO11" s="159">
        <f t="shared" si="17"/>
        <v>2.6877960618342902</v>
      </c>
      <c r="AP11" s="159">
        <f t="shared" si="18"/>
        <v>5.9131513360354377</v>
      </c>
      <c r="AQ11" s="159">
        <f t="shared" si="64"/>
        <v>1.3438980309171451</v>
      </c>
      <c r="AR11" s="159">
        <f t="shared" si="19"/>
        <v>12.455891416191003</v>
      </c>
      <c r="AS11" s="159">
        <f t="shared" si="20"/>
        <v>1.7166240297720654</v>
      </c>
      <c r="AT11" s="159">
        <f t="shared" si="21"/>
        <v>3.0117914671016552</v>
      </c>
      <c r="AU11" s="159">
        <f t="shared" si="65"/>
        <v>0.8583120148860327</v>
      </c>
      <c r="AV11" s="159">
        <f t="shared" si="22"/>
        <v>1.8814572432840031</v>
      </c>
      <c r="AW11" s="159">
        <f t="shared" si="23"/>
        <v>3.981920091606356</v>
      </c>
      <c r="AX11" s="159">
        <f t="shared" si="66"/>
        <v>0.94072862164200155</v>
      </c>
      <c r="AY11" s="159">
        <f t="shared" si="24"/>
        <v>13.194800229015893</v>
      </c>
      <c r="AZ11" s="159">
        <f t="shared" si="25"/>
        <v>3.3408144579410197</v>
      </c>
      <c r="BA11" s="159">
        <f t="shared" si="26"/>
        <v>6.2352949261877546</v>
      </c>
      <c r="BB11" s="159">
        <f t="shared" si="67"/>
        <v>1.6704072289705099</v>
      </c>
      <c r="BC11" s="159">
        <f t="shared" si="27"/>
        <v>2.8968468666436236</v>
      </c>
      <c r="BD11" s="159">
        <f t="shared" si="28"/>
        <v>3.4642704796975292</v>
      </c>
      <c r="BE11" s="159">
        <f t="shared" si="29"/>
        <v>11.624619001763001</v>
      </c>
      <c r="BF11" s="159">
        <f t="shared" si="30"/>
        <v>13.429497403595125</v>
      </c>
      <c r="BG11" s="159">
        <f t="shared" si="31"/>
        <v>3.182356855192829</v>
      </c>
      <c r="BH11" s="159">
        <f t="shared" si="32"/>
        <v>4.8280781110727062</v>
      </c>
      <c r="BI11" s="159">
        <f t="shared" si="33"/>
        <v>2.6280672604601949</v>
      </c>
      <c r="BJ11" s="159">
        <f t="shared" si="34"/>
        <v>5.0272188872550556</v>
      </c>
      <c r="BK11" s="159">
        <f t="shared" si="35"/>
        <v>13.522980400159886</v>
      </c>
      <c r="BL11" s="159">
        <f t="shared" si="36"/>
        <v>0.68664961190882612</v>
      </c>
      <c r="BM11" s="159">
        <f t="shared" si="37"/>
        <v>1.7918640412228601</v>
      </c>
      <c r="BN11" s="159">
        <f t="shared" si="38"/>
        <v>0.67692641557308053</v>
      </c>
      <c r="BO11" s="159">
        <f t="shared" si="39"/>
        <v>4.024414069849847</v>
      </c>
      <c r="BP11" s="159">
        <f t="shared" si="40"/>
        <v>19.926373094514432</v>
      </c>
      <c r="BQ11" s="159">
        <f t="shared" si="41"/>
        <v>1.7826480309171449</v>
      </c>
      <c r="BR11" s="159">
        <f t="shared" si="42"/>
        <v>2.8271632650405123</v>
      </c>
      <c r="BS11" s="159">
        <f t="shared" si="43"/>
        <v>2.4289712558798771</v>
      </c>
      <c r="BT11" s="159">
        <f t="shared" si="44"/>
        <v>6.0036341042022316</v>
      </c>
      <c r="BU11" s="159">
        <f t="shared" si="45"/>
        <v>17.175398653749603</v>
      </c>
      <c r="BV11" s="159">
        <f t="shared" si="46"/>
        <v>1.5977808277109224</v>
      </c>
      <c r="BW11" s="159">
        <f t="shared" si="47"/>
        <v>2.8271632650405123</v>
      </c>
      <c r="BX11" s="159">
        <f t="shared" si="48"/>
        <v>2.4289712558798771</v>
      </c>
      <c r="BY11" s="159">
        <f t="shared" si="49"/>
        <v>8.3259189445090289</v>
      </c>
      <c r="BZ11" s="159">
        <f t="shared" si="50"/>
        <v>13.885686204969218</v>
      </c>
      <c r="CA11" s="159">
        <f t="shared" si="51"/>
        <v>1.9543104338943513</v>
      </c>
      <c r="CB11" s="159">
        <f t="shared" si="52"/>
        <v>5.3570888929804532</v>
      </c>
      <c r="CC11" s="159">
        <f t="shared" si="53"/>
        <v>7.7485499376385487</v>
      </c>
      <c r="CD11" s="159">
        <f t="shared" si="54"/>
        <v>11.97984005787189</v>
      </c>
      <c r="CE11" s="159">
        <f t="shared" si="68"/>
        <v>7.7485499376385487</v>
      </c>
      <c r="CF11" s="159">
        <f t="shared" si="55"/>
        <v>7.4591355426768988</v>
      </c>
      <c r="CG11" s="159">
        <f t="shared" si="56"/>
        <v>13.122371513522751</v>
      </c>
      <c r="CH11" s="159">
        <f t="shared" si="69"/>
        <v>7.4591355426768988</v>
      </c>
      <c r="CI11" s="159">
        <f t="shared" si="70"/>
        <v>3.2987000572539733</v>
      </c>
    </row>
    <row r="12" spans="1:87" x14ac:dyDescent="0.25">
      <c r="A12" t="str">
        <f>PLANTILLA!D14</f>
        <v>S. Zobbe</v>
      </c>
      <c r="B12" t="s">
        <v>1018</v>
      </c>
      <c r="C12" s="666">
        <f>PLANTILLA!E14</f>
        <v>27</v>
      </c>
      <c r="D12" s="666">
        <f ca="1">PLANTILLA!F14</f>
        <v>38</v>
      </c>
      <c r="E12" s="666" t="str">
        <f>PLANTILLA!G14</f>
        <v>CAB</v>
      </c>
      <c r="F12" s="317">
        <v>41911</v>
      </c>
      <c r="G12" s="530">
        <v>1.5</v>
      </c>
      <c r="H12" s="531">
        <f>PLANTILLA!I14</f>
        <v>8.6</v>
      </c>
      <c r="I12" s="371"/>
      <c r="J12" s="163">
        <f>PLANTILLA!X14</f>
        <v>0</v>
      </c>
      <c r="K12" s="163">
        <f>PLANTILLA!Y14</f>
        <v>8.1199999999999992</v>
      </c>
      <c r="L12" s="163">
        <f>PLANTILLA!Z14</f>
        <v>12.008412698412698</v>
      </c>
      <c r="M12" s="163">
        <f>PLANTILLA!AA14</f>
        <v>12.13</v>
      </c>
      <c r="N12" s="163">
        <f>PLANTILLA!AB14</f>
        <v>10.24</v>
      </c>
      <c r="O12" s="163">
        <f>PLANTILLA!AC14</f>
        <v>7.4766666666666666</v>
      </c>
      <c r="P12" s="163">
        <f>PLANTILLA!AD14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3.5115497307501808</v>
      </c>
      <c r="AC12" s="159">
        <f t="shared" si="6"/>
        <v>4.1073472194267575</v>
      </c>
      <c r="AD12" s="159">
        <f t="shared" si="7"/>
        <v>7.8561165069987986</v>
      </c>
      <c r="AE12" s="159">
        <f t="shared" si="63"/>
        <v>2.0536736097133788</v>
      </c>
      <c r="AF12" s="159">
        <f t="shared" si="8"/>
        <v>5.680448093860587</v>
      </c>
      <c r="AG12" s="387">
        <f t="shared" si="9"/>
        <v>9.9967181001921102</v>
      </c>
      <c r="AH12" s="159">
        <f t="shared" si="10"/>
        <v>4.4985231450864491</v>
      </c>
      <c r="AI12" s="159">
        <f t="shared" si="11"/>
        <v>2.4639865757784887</v>
      </c>
      <c r="AJ12" s="387">
        <f t="shared" si="12"/>
        <v>8.7470867857749575</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13.928163637933491</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14.754410633404122</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12.998635768029031</v>
      </c>
      <c r="BF12" s="159">
        <f t="shared" si="30"/>
        <v>12.629412164207375</v>
      </c>
      <c r="BG12" s="159">
        <f t="shared" si="31"/>
        <v>3.1296255023329329</v>
      </c>
      <c r="BH12" s="159">
        <f t="shared" si="32"/>
        <v>5.27000899847084</v>
      </c>
      <c r="BI12" s="159">
        <f t="shared" si="33"/>
        <v>2.8686234548377358</v>
      </c>
      <c r="BJ12" s="159">
        <f t="shared" si="34"/>
        <v>5.6214304513269706</v>
      </c>
      <c r="BK12" s="159">
        <f t="shared" si="35"/>
        <v>12.621732195182506</v>
      </c>
      <c r="BL12" s="159">
        <f t="shared" si="36"/>
        <v>0.675271892619554</v>
      </c>
      <c r="BM12" s="159">
        <f t="shared" si="37"/>
        <v>1.9558796282984561</v>
      </c>
      <c r="BN12" s="159">
        <f t="shared" si="38"/>
        <v>0.73888785957941683</v>
      </c>
      <c r="BO12" s="159">
        <f t="shared" si="39"/>
        <v>4.500095243188257</v>
      </c>
      <c r="BP12" s="159">
        <f t="shared" si="40"/>
        <v>18.589993344398973</v>
      </c>
      <c r="BQ12" s="159">
        <f t="shared" si="41"/>
        <v>1.7531097212238425</v>
      </c>
      <c r="BR12" s="159">
        <f t="shared" si="42"/>
        <v>3.0859434135375641</v>
      </c>
      <c r="BS12" s="159">
        <f t="shared" si="43"/>
        <v>2.6513034961379072</v>
      </c>
      <c r="BT12" s="159">
        <f t="shared" si="44"/>
        <v>6.713256838198876</v>
      </c>
      <c r="BU12" s="159">
        <f t="shared" si="45"/>
        <v>16.0214457119705</v>
      </c>
      <c r="BV12" s="159">
        <f t="shared" si="46"/>
        <v>1.5713057501339622</v>
      </c>
      <c r="BW12" s="159">
        <f t="shared" si="47"/>
        <v>3.0859434135375641</v>
      </c>
      <c r="BX12" s="159">
        <f t="shared" si="48"/>
        <v>2.6513034961379072</v>
      </c>
      <c r="BY12" s="159">
        <f t="shared" si="49"/>
        <v>9.3100331096780007</v>
      </c>
      <c r="BZ12" s="159">
        <f t="shared" si="50"/>
        <v>12.949248151817326</v>
      </c>
      <c r="CA12" s="159">
        <f t="shared" si="51"/>
        <v>1.9219276943787307</v>
      </c>
      <c r="CB12" s="159">
        <f t="shared" si="52"/>
        <v>5.9902907171620736</v>
      </c>
      <c r="CC12" s="159">
        <f t="shared" si="53"/>
        <v>6.6869215907971986</v>
      </c>
      <c r="CD12" s="159">
        <f t="shared" si="54"/>
        <v>13.011210341467009</v>
      </c>
      <c r="CE12" s="159">
        <f t="shared" si="68"/>
        <v>6.6869215907971986</v>
      </c>
      <c r="CF12" s="159">
        <f t="shared" si="55"/>
        <v>7.6595000468329903</v>
      </c>
      <c r="CG12" s="159">
        <f t="shared" si="56"/>
        <v>15.014497839669925</v>
      </c>
      <c r="CH12" s="159">
        <f t="shared" si="69"/>
        <v>7.6595000468329903</v>
      </c>
      <c r="CI12" s="159">
        <f t="shared" si="70"/>
        <v>3.6886026583510305</v>
      </c>
    </row>
    <row r="13" spans="1:87" x14ac:dyDescent="0.25">
      <c r="A13" t="str">
        <f>PLANTILLA!D15</f>
        <v>S. Buschelman</v>
      </c>
      <c r="B13" t="s">
        <v>1018</v>
      </c>
      <c r="C13" s="666">
        <f>PLANTILLA!E15</f>
        <v>29</v>
      </c>
      <c r="D13" s="666">
        <f ca="1">PLANTILLA!F15</f>
        <v>35</v>
      </c>
      <c r="E13" s="666" t="str">
        <f>PLANTILLA!G15</f>
        <v>TEC</v>
      </c>
      <c r="F13" s="317">
        <v>41747</v>
      </c>
      <c r="G13" s="530">
        <v>1.5</v>
      </c>
      <c r="H13" s="531">
        <f>PLANTILLA!I15</f>
        <v>10.4</v>
      </c>
      <c r="I13" s="371"/>
      <c r="J13" s="163">
        <f>PLANTILLA!X15</f>
        <v>0</v>
      </c>
      <c r="K13" s="163">
        <f>PLANTILLA!Y15</f>
        <v>9.1936666666666653</v>
      </c>
      <c r="L13" s="163">
        <f>PLANTILLA!Z15</f>
        <v>13.599999999999998</v>
      </c>
      <c r="M13" s="163">
        <f>PLANTILLA!AA15</f>
        <v>12.725000000000001</v>
      </c>
      <c r="N13" s="163">
        <f>PLANTILLA!AB15</f>
        <v>9.6733333333333356</v>
      </c>
      <c r="O13" s="163">
        <f>PLANTILLA!AC15</f>
        <v>5.0296666666666656</v>
      </c>
      <c r="P13" s="163">
        <f>PLANTILLA!AD15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3.9165385796708128</v>
      </c>
      <c r="AC13" s="159">
        <f t="shared" si="6"/>
        <v>4.5547908030065845</v>
      </c>
      <c r="AD13" s="159">
        <f t="shared" si="7"/>
        <v>8.7119411390840238</v>
      </c>
      <c r="AE13" s="159">
        <f t="shared" si="63"/>
        <v>2.2773954015032922</v>
      </c>
      <c r="AF13" s="159">
        <f t="shared" si="8"/>
        <v>6.3355771141733737</v>
      </c>
      <c r="AG13" s="387">
        <f t="shared" si="9"/>
        <v>11.085734229539836</v>
      </c>
      <c r="AH13" s="159">
        <f t="shared" si="10"/>
        <v>4.988580403292926</v>
      </c>
      <c r="AI13" s="159">
        <f t="shared" si="11"/>
        <v>2.7481594235505287</v>
      </c>
      <c r="AJ13" s="387">
        <f t="shared" si="12"/>
        <v>9.1616541380102436</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15.534505963064063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16.456044452398373</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14.497775162562966</v>
      </c>
      <c r="BF13" s="159">
        <f t="shared" si="30"/>
        <v>12.890273518182155</v>
      </c>
      <c r="BG13" s="159">
        <f t="shared" si="31"/>
        <v>3.0195800463613418</v>
      </c>
      <c r="BH13" s="159">
        <f t="shared" si="32"/>
        <v>5.8441098927465438</v>
      </c>
      <c r="BI13" s="159">
        <f t="shared" si="33"/>
        <v>3.1811237354331703</v>
      </c>
      <c r="BJ13" s="159">
        <f t="shared" si="34"/>
        <v>6.2697529363637807</v>
      </c>
      <c r="BK13" s="159">
        <f t="shared" si="35"/>
        <v>13.004447851396181</v>
      </c>
      <c r="BL13" s="159">
        <f t="shared" si="36"/>
        <v>0.65152764485804882</v>
      </c>
      <c r="BM13" s="159">
        <f t="shared" si="37"/>
        <v>2.1689480014317071</v>
      </c>
      <c r="BN13" s="159">
        <f t="shared" si="38"/>
        <v>0.81938035609642268</v>
      </c>
      <c r="BO13" s="159">
        <f t="shared" si="39"/>
        <v>5.0190935579815035</v>
      </c>
      <c r="BP13" s="159">
        <f t="shared" si="40"/>
        <v>19.164446499117645</v>
      </c>
      <c r="BQ13" s="159">
        <f t="shared" si="41"/>
        <v>1.6914660010737808</v>
      </c>
      <c r="BR13" s="159">
        <f t="shared" si="42"/>
        <v>3.4221179578144709</v>
      </c>
      <c r="BS13" s="159">
        <f t="shared" si="43"/>
        <v>2.9401295130518696</v>
      </c>
      <c r="BT13" s="159">
        <f t="shared" si="44"/>
        <v>7.4875002258412602</v>
      </c>
      <c r="BU13" s="159">
        <f t="shared" si="45"/>
        <v>16.519190586590732</v>
      </c>
      <c r="BV13" s="159">
        <f t="shared" si="46"/>
        <v>1.5160547120735368</v>
      </c>
      <c r="BW13" s="159">
        <f t="shared" si="47"/>
        <v>3.4221179578144709</v>
      </c>
      <c r="BX13" s="159">
        <f t="shared" si="48"/>
        <v>2.9401295130518696</v>
      </c>
      <c r="BY13" s="159">
        <f t="shared" si="49"/>
        <v>10.383764049463373</v>
      </c>
      <c r="BZ13" s="159">
        <f t="shared" si="50"/>
        <v>13.35606311822988</v>
      </c>
      <c r="CA13" s="159">
        <f t="shared" si="51"/>
        <v>1.8543479122882929</v>
      </c>
      <c r="CB13" s="159">
        <f t="shared" si="52"/>
        <v>6.6811540476737399</v>
      </c>
      <c r="CC13" s="159">
        <f t="shared" si="53"/>
        <v>7.3981603825580899</v>
      </c>
      <c r="CD13" s="159">
        <f t="shared" si="54"/>
        <v>11.400821720067237</v>
      </c>
      <c r="CE13" s="159">
        <f t="shared" si="68"/>
        <v>7.3981603825580899</v>
      </c>
      <c r="CF13" s="159">
        <f t="shared" si="55"/>
        <v>7.1428673605108539</v>
      </c>
      <c r="CG13" s="159">
        <f t="shared" si="56"/>
        <v>12.509051522000039</v>
      </c>
      <c r="CH13" s="159">
        <f t="shared" si="69"/>
        <v>7.1428673605108539</v>
      </c>
      <c r="CI13" s="159">
        <f t="shared" si="70"/>
        <v>4.1140111130995933</v>
      </c>
    </row>
    <row r="14" spans="1:87" x14ac:dyDescent="0.25">
      <c r="A14" t="str">
        <f>PLANTILLA!D16</f>
        <v>C. Rojas</v>
      </c>
      <c r="B14" t="s">
        <v>1018</v>
      </c>
      <c r="C14" s="666">
        <f>PLANTILLA!E16</f>
        <v>31</v>
      </c>
      <c r="D14" s="666">
        <f ca="1">PLANTILLA!F16</f>
        <v>69</v>
      </c>
      <c r="E14" s="666" t="str">
        <f>PLANTILLA!G16</f>
        <v>TEC</v>
      </c>
      <c r="F14" s="317">
        <v>41653</v>
      </c>
      <c r="G14" s="530">
        <v>1.5</v>
      </c>
      <c r="H14" s="531">
        <f>PLANTILLA!I16</f>
        <v>11</v>
      </c>
      <c r="I14" s="371"/>
      <c r="J14" s="163">
        <f>PLANTILLA!X16</f>
        <v>0</v>
      </c>
      <c r="K14" s="163">
        <f>PLANTILLA!Y16</f>
        <v>8.6075555555555585</v>
      </c>
      <c r="L14" s="163">
        <f>PLANTILLA!Z16</f>
        <v>14.142779365079358</v>
      </c>
      <c r="M14" s="163">
        <f>PLANTILLA!AA16</f>
        <v>9.99</v>
      </c>
      <c r="N14" s="163">
        <f>PLANTILLA!AB16</f>
        <v>10.09</v>
      </c>
      <c r="O14" s="163">
        <f>PLANTILLA!AC16</f>
        <v>4.3999999999999995</v>
      </c>
      <c r="P14" s="163">
        <f>PLANTILLA!AD16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4.0534501009790969</v>
      </c>
      <c r="AC14" s="159">
        <f t="shared" si="6"/>
        <v>4.3455179133197461</v>
      </c>
      <c r="AD14" s="159">
        <f t="shared" si="7"/>
        <v>8.3116652151591968</v>
      </c>
      <c r="AE14" s="159">
        <f t="shared" si="63"/>
        <v>2.1727589566598731</v>
      </c>
      <c r="AF14" s="159">
        <f t="shared" si="8"/>
        <v>6.5570516339367755</v>
      </c>
      <c r="AG14" s="387">
        <f t="shared" si="9"/>
        <v>10.576392804905204</v>
      </c>
      <c r="AH14" s="159">
        <f t="shared" si="10"/>
        <v>4.7593767622073413</v>
      </c>
      <c r="AI14" s="159">
        <f t="shared" si="11"/>
        <v>2.8442275918634845</v>
      </c>
      <c r="AJ14" s="387">
        <f t="shared" si="12"/>
        <v>7.5725718651640479</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16.077549980354064</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17.031302945290324</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15.004577894800775</v>
      </c>
      <c r="BF14" s="159">
        <f t="shared" si="30"/>
        <v>11.480507462807548</v>
      </c>
      <c r="BG14" s="159">
        <f t="shared" si="31"/>
        <v>3.1278241828308428</v>
      </c>
      <c r="BH14" s="159">
        <f t="shared" si="32"/>
        <v>5.5755983808467642</v>
      </c>
      <c r="BI14" s="159">
        <f t="shared" si="33"/>
        <v>3.0349648918423626</v>
      </c>
      <c r="BJ14" s="159">
        <f t="shared" si="34"/>
        <v>6.4889264221556138</v>
      </c>
      <c r="BK14" s="159">
        <f t="shared" si="35"/>
        <v>11.275929609104386</v>
      </c>
      <c r="BL14" s="159">
        <f t="shared" si="36"/>
        <v>0.67488322617097019</v>
      </c>
      <c r="BM14" s="159">
        <f t="shared" si="37"/>
        <v>2.0692942444379745</v>
      </c>
      <c r="BN14" s="159">
        <f t="shared" si="38"/>
        <v>0.78173338123212377</v>
      </c>
      <c r="BO14" s="159">
        <f t="shared" si="39"/>
        <v>5.1945473983135484</v>
      </c>
      <c r="BP14" s="159">
        <f t="shared" si="40"/>
        <v>16.590381324151302</v>
      </c>
      <c r="BQ14" s="159">
        <f t="shared" si="41"/>
        <v>1.7521006833284807</v>
      </c>
      <c r="BR14" s="159">
        <f t="shared" si="42"/>
        <v>3.2648864745576929</v>
      </c>
      <c r="BS14" s="159">
        <f t="shared" si="43"/>
        <v>2.8050433091270319</v>
      </c>
      <c r="BT14" s="159">
        <f t="shared" si="44"/>
        <v>7.7492428401070983</v>
      </c>
      <c r="BU14" s="159">
        <f t="shared" si="45"/>
        <v>14.293804126873752</v>
      </c>
      <c r="BV14" s="159">
        <f t="shared" si="46"/>
        <v>1.570401353205527</v>
      </c>
      <c r="BW14" s="159">
        <f t="shared" si="47"/>
        <v>3.2648864745576929</v>
      </c>
      <c r="BX14" s="159">
        <f t="shared" si="48"/>
        <v>2.8050433091270319</v>
      </c>
      <c r="BY14" s="159">
        <f t="shared" si="49"/>
        <v>10.746752158478195</v>
      </c>
      <c r="BZ14" s="159">
        <f t="shared" si="50"/>
        <v>11.545578604288814</v>
      </c>
      <c r="CA14" s="159">
        <f t="shared" si="51"/>
        <v>1.920821489871223</v>
      </c>
      <c r="CB14" s="159">
        <f t="shared" si="52"/>
        <v>6.9147089957878718</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4.2578257363225811</v>
      </c>
    </row>
    <row r="15" spans="1:87" x14ac:dyDescent="0.25">
      <c r="A15" t="str">
        <f>PLANTILLA!D17</f>
        <v>E. Gross</v>
      </c>
      <c r="B15" t="s">
        <v>1018</v>
      </c>
      <c r="C15" s="666">
        <f>PLANTILLA!E17</f>
        <v>30</v>
      </c>
      <c r="D15" s="666">
        <f ca="1">PLANTILLA!F17</f>
        <v>63</v>
      </c>
      <c r="E15" s="666"/>
      <c r="F15" s="317">
        <v>41552</v>
      </c>
      <c r="G15" s="530">
        <v>1.5</v>
      </c>
      <c r="H15" s="531">
        <f>PLANTILLA!I17</f>
        <v>9</v>
      </c>
      <c r="I15" s="371"/>
      <c r="J15" s="163">
        <f>PLANTILLA!X17</f>
        <v>0</v>
      </c>
      <c r="K15" s="163">
        <f>PLANTILLA!Y17</f>
        <v>10.349999999999996</v>
      </c>
      <c r="L15" s="163">
        <f>PLANTILLA!Z17</f>
        <v>12.849777777777778</v>
      </c>
      <c r="M15" s="163">
        <f>PLANTILLA!AA17</f>
        <v>5.1199999999999983</v>
      </c>
      <c r="N15" s="163">
        <f>PLANTILLA!AB17</f>
        <v>9.24</v>
      </c>
      <c r="O15" s="163">
        <f>PLANTILLA!AC17</f>
        <v>2.98</v>
      </c>
      <c r="P15" s="163">
        <f>PLANTILLA!AD17</f>
        <v>16.959999999999997</v>
      </c>
      <c r="Q15" s="163">
        <f t="shared" si="57"/>
        <v>3.9787499999999998</v>
      </c>
      <c r="R15" s="163">
        <f t="shared" si="58"/>
        <v>12.801634594481213</v>
      </c>
      <c r="S15" s="163">
        <f t="shared" si="59"/>
        <v>0.65779999999999994</v>
      </c>
      <c r="T15" s="163">
        <f t="shared" si="60"/>
        <v>0.92279999999999984</v>
      </c>
      <c r="U15" s="163">
        <f t="shared" ca="1" si="0"/>
        <v>19.232323345919099</v>
      </c>
      <c r="V15" s="159">
        <f t="shared" si="1"/>
        <v>5.2768382809873735</v>
      </c>
      <c r="W15" s="159">
        <f t="shared" si="2"/>
        <v>7.9778194395815554</v>
      </c>
      <c r="X15" s="159">
        <f t="shared" si="61"/>
        <v>5.2768382809873735</v>
      </c>
      <c r="Y15" s="159">
        <f t="shared" si="3"/>
        <v>6.7711188464942538</v>
      </c>
      <c r="Z15" s="159">
        <f t="shared" si="4"/>
        <v>13.122323345919096</v>
      </c>
      <c r="AA15" s="159">
        <f t="shared" si="62"/>
        <v>3.3855594232471269</v>
      </c>
      <c r="AB15" s="159">
        <f t="shared" si="5"/>
        <v>3.7180600674398567</v>
      </c>
      <c r="AC15" s="159">
        <f t="shared" si="6"/>
        <v>4.9602382247574184</v>
      </c>
      <c r="AD15" s="159">
        <f t="shared" si="7"/>
        <v>9.4874397790995051</v>
      </c>
      <c r="AE15" s="159">
        <f t="shared" si="63"/>
        <v>2.4801191123787092</v>
      </c>
      <c r="AF15" s="159">
        <f t="shared" si="8"/>
        <v>6.0145089326232979</v>
      </c>
      <c r="AG15" s="387">
        <f t="shared" si="9"/>
        <v>12.072537478245568</v>
      </c>
      <c r="AH15" s="159">
        <f t="shared" si="10"/>
        <v>5.4326418652105053</v>
      </c>
      <c r="AI15" s="159">
        <f t="shared" si="11"/>
        <v>2.6088908876573789</v>
      </c>
      <c r="AJ15" s="387">
        <f t="shared" si="12"/>
        <v>4.6406861274004294</v>
      </c>
      <c r="AK15" s="159">
        <f t="shared" si="13"/>
        <v>9.8942318028229987</v>
      </c>
      <c r="AL15" s="159">
        <f t="shared" si="14"/>
        <v>9.2906049289107191</v>
      </c>
      <c r="AM15" s="159">
        <f t="shared" si="15"/>
        <v>3.2952979987684898</v>
      </c>
      <c r="AN15" s="159">
        <f t="shared" si="16"/>
        <v>1.9443091236247005</v>
      </c>
      <c r="AO15" s="159">
        <f t="shared" si="17"/>
        <v>3.5430273033981563</v>
      </c>
      <c r="AP15" s="159">
        <f t="shared" si="18"/>
        <v>7.7946600674759425</v>
      </c>
      <c r="AQ15" s="159">
        <f t="shared" si="64"/>
        <v>1.7715136516990782</v>
      </c>
      <c r="AR15" s="159">
        <f t="shared" si="19"/>
        <v>14.747263460769851</v>
      </c>
      <c r="AS15" s="159">
        <f t="shared" si="20"/>
        <v>1.561602034969483</v>
      </c>
      <c r="AT15" s="159">
        <f t="shared" si="21"/>
        <v>2.4366307403542962</v>
      </c>
      <c r="AU15" s="159">
        <f t="shared" si="65"/>
        <v>0.78080101748474151</v>
      </c>
      <c r="AV15" s="159">
        <f t="shared" si="22"/>
        <v>2.4801191123787092</v>
      </c>
      <c r="AW15" s="159">
        <f t="shared" si="23"/>
        <v>5.2489293383676383</v>
      </c>
      <c r="AX15" s="159">
        <f t="shared" si="66"/>
        <v>1.2400595561893546</v>
      </c>
      <c r="AY15" s="159">
        <f t="shared" si="24"/>
        <v>15.622101123696877</v>
      </c>
      <c r="AZ15" s="159">
        <f t="shared" si="25"/>
        <v>3.0391178065175324</v>
      </c>
      <c r="BA15" s="159">
        <f t="shared" si="26"/>
        <v>5.3041901636014241</v>
      </c>
      <c r="BB15" s="159">
        <f t="shared" si="67"/>
        <v>1.5195589032587662</v>
      </c>
      <c r="BC15" s="159">
        <f t="shared" si="27"/>
        <v>3.8185960936624568</v>
      </c>
      <c r="BD15" s="159">
        <f t="shared" si="28"/>
        <v>4.5665685243798446</v>
      </c>
      <c r="BE15" s="159">
        <f t="shared" si="29"/>
        <v>13.763071089976949</v>
      </c>
      <c r="BF15" s="159">
        <f t="shared" si="30"/>
        <v>8.3140754545220776</v>
      </c>
      <c r="BG15" s="159">
        <f t="shared" si="31"/>
        <v>2.8949699263665032</v>
      </c>
      <c r="BH15" s="159">
        <f t="shared" si="32"/>
        <v>6.364326822770761</v>
      </c>
      <c r="BI15" s="159">
        <f t="shared" si="33"/>
        <v>3.4642933633226414</v>
      </c>
      <c r="BJ15" s="159">
        <f t="shared" si="34"/>
        <v>5.9520205281285108</v>
      </c>
      <c r="BK15" s="159">
        <f t="shared" si="35"/>
        <v>7.7260106043332932</v>
      </c>
      <c r="BL15" s="159">
        <f t="shared" si="36"/>
        <v>0.62464081398779314</v>
      </c>
      <c r="BM15" s="159">
        <f t="shared" si="37"/>
        <v>2.3620182022654372</v>
      </c>
      <c r="BN15" s="159">
        <f t="shared" si="38"/>
        <v>0.89231798752249858</v>
      </c>
      <c r="BO15" s="159">
        <f t="shared" si="39"/>
        <v>4.7647408427275479</v>
      </c>
      <c r="BP15" s="159">
        <f t="shared" si="40"/>
        <v>11.327847822851961</v>
      </c>
      <c r="BQ15" s="159">
        <f t="shared" si="41"/>
        <v>1.6216636516990786</v>
      </c>
      <c r="BR15" s="159">
        <f t="shared" si="42"/>
        <v>3.7267398302410228</v>
      </c>
      <c r="BS15" s="159">
        <f t="shared" si="43"/>
        <v>3.2018468964042595</v>
      </c>
      <c r="BT15" s="159">
        <f t="shared" si="44"/>
        <v>7.1080560112820796</v>
      </c>
      <c r="BU15" s="159">
        <f t="shared" si="45"/>
        <v>9.7499742672783611</v>
      </c>
      <c r="BV15" s="159">
        <f t="shared" si="46"/>
        <v>1.453491124856211</v>
      </c>
      <c r="BW15" s="159">
        <f t="shared" si="47"/>
        <v>3.7267398302410228</v>
      </c>
      <c r="BX15" s="159">
        <f t="shared" si="48"/>
        <v>3.2018468964042595</v>
      </c>
      <c r="BY15" s="159">
        <f t="shared" si="49"/>
        <v>9.8575458090527306</v>
      </c>
      <c r="BZ15" s="159">
        <f t="shared" si="50"/>
        <v>7.8587893945975926</v>
      </c>
      <c r="CA15" s="159">
        <f t="shared" si="51"/>
        <v>1.7778238551960266</v>
      </c>
      <c r="CB15" s="159">
        <f t="shared" si="52"/>
        <v>6.3425730562209326</v>
      </c>
      <c r="CC15" s="159">
        <f t="shared" si="53"/>
        <v>4.8701204632238513</v>
      </c>
      <c r="CD15" s="159">
        <f t="shared" si="54"/>
        <v>9.8762960875049082</v>
      </c>
      <c r="CE15" s="159">
        <f t="shared" si="68"/>
        <v>4.8701204632238513</v>
      </c>
      <c r="CF15" s="159">
        <f t="shared" si="55"/>
        <v>4.8155574445075988</v>
      </c>
      <c r="CG15" s="159">
        <f t="shared" si="56"/>
        <v>10.184870660563249</v>
      </c>
      <c r="CH15" s="159">
        <f t="shared" si="69"/>
        <v>4.8155574445075988</v>
      </c>
      <c r="CI15" s="159">
        <f t="shared" si="70"/>
        <v>3.9055252809242194</v>
      </c>
    </row>
    <row r="16" spans="1:87" x14ac:dyDescent="0.25">
      <c r="A16" t="str">
        <f>PLANTILLA!D18</f>
        <v>L. Bauman</v>
      </c>
      <c r="B16" t="s">
        <v>1018</v>
      </c>
      <c r="C16" s="666">
        <f>PLANTILLA!E18</f>
        <v>30</v>
      </c>
      <c r="D16" s="666">
        <f ca="1">PLANTILLA!F18</f>
        <v>38</v>
      </c>
      <c r="E16" s="666"/>
      <c r="F16" s="317">
        <v>41686</v>
      </c>
      <c r="G16" s="530">
        <v>1.5</v>
      </c>
      <c r="H16" s="531">
        <f>PLANTILLA!I18</f>
        <v>8</v>
      </c>
      <c r="I16" s="371"/>
      <c r="J16" s="163">
        <f>PLANTILLA!X18</f>
        <v>0</v>
      </c>
      <c r="K16" s="163">
        <f>PLANTILLA!Y18</f>
        <v>5.2811111111111115</v>
      </c>
      <c r="L16" s="163">
        <f>PLANTILLA!Z18</f>
        <v>14.23617089947089</v>
      </c>
      <c r="M16" s="163">
        <f>PLANTILLA!AA18</f>
        <v>3.4924999999999993</v>
      </c>
      <c r="N16" s="163">
        <f>PLANTILLA!AB18</f>
        <v>9.1400000000000041</v>
      </c>
      <c r="O16" s="163">
        <f>PLANTILLA!AC18</f>
        <v>7.4318888888888894</v>
      </c>
      <c r="P16" s="163">
        <f>PLANTILLA!AD18</f>
        <v>16.07</v>
      </c>
      <c r="Q16" s="163">
        <f t="shared" si="57"/>
        <v>3.3201388888888901</v>
      </c>
      <c r="R16" s="163">
        <f t="shared" si="58"/>
        <v>19.551540717225151</v>
      </c>
      <c r="S16" s="163">
        <f t="shared" si="59"/>
        <v>0.85369444444444442</v>
      </c>
      <c r="T16" s="163">
        <f t="shared" si="60"/>
        <v>0.69334444444444443</v>
      </c>
      <c r="U16" s="163">
        <f t="shared" ca="1" si="0"/>
        <v>18.274119982655925</v>
      </c>
      <c r="V16" s="159">
        <f t="shared" si="1"/>
        <v>3.8182834115252895</v>
      </c>
      <c r="W16" s="159">
        <f t="shared" si="2"/>
        <v>5.7354911198310212</v>
      </c>
      <c r="X16" s="159">
        <f t="shared" si="61"/>
        <v>3.8182834115252895</v>
      </c>
      <c r="Y16" s="159">
        <f t="shared" si="3"/>
        <v>4.1203792443837912</v>
      </c>
      <c r="Z16" s="159">
        <f t="shared" si="4"/>
        <v>7.9852310937670365</v>
      </c>
      <c r="AA16" s="159">
        <f t="shared" si="62"/>
        <v>2.0601896221918956</v>
      </c>
      <c r="AB16" s="159">
        <f t="shared" si="5"/>
        <v>4.0317892299461811</v>
      </c>
      <c r="AC16" s="159">
        <f t="shared" si="6"/>
        <v>3.0184173534439398</v>
      </c>
      <c r="AD16" s="159">
        <f t="shared" si="7"/>
        <v>5.7733220807935668</v>
      </c>
      <c r="AE16" s="159">
        <f t="shared" si="63"/>
        <v>1.5092086767219699</v>
      </c>
      <c r="AF16" s="159">
        <f t="shared" si="8"/>
        <v>6.5220119896188233</v>
      </c>
      <c r="AG16" s="387">
        <f t="shared" si="9"/>
        <v>7.3464126062656741</v>
      </c>
      <c r="AH16" s="159">
        <f t="shared" si="10"/>
        <v>3.3058856728195529</v>
      </c>
      <c r="AI16" s="159">
        <f t="shared" si="11"/>
        <v>2.829028577315178</v>
      </c>
      <c r="AJ16" s="387">
        <f t="shared" si="12"/>
        <v>3.6436125498016834</v>
      </c>
      <c r="AK16" s="159">
        <f t="shared" si="13"/>
        <v>6.0208642447003458</v>
      </c>
      <c r="AL16" s="159">
        <f t="shared" si="14"/>
        <v>5.6535436143870612</v>
      </c>
      <c r="AM16" s="159">
        <f t="shared" si="15"/>
        <v>3.1352780371035398</v>
      </c>
      <c r="AN16" s="159">
        <f t="shared" si="16"/>
        <v>1.7349865550049064</v>
      </c>
      <c r="AO16" s="159">
        <f t="shared" si="17"/>
        <v>2.1560123953171</v>
      </c>
      <c r="AP16" s="159">
        <f t="shared" si="18"/>
        <v>4.7432272696976199</v>
      </c>
      <c r="AQ16" s="159">
        <f t="shared" si="64"/>
        <v>1.07800619765855</v>
      </c>
      <c r="AR16" s="159">
        <f t="shared" si="19"/>
        <v>15.991634592727712</v>
      </c>
      <c r="AS16" s="159">
        <f t="shared" si="20"/>
        <v>1.5397355977452709</v>
      </c>
      <c r="AT16" s="159">
        <f t="shared" si="21"/>
        <v>3.174823932695964</v>
      </c>
      <c r="AU16" s="159">
        <f t="shared" si="65"/>
        <v>0.76986779887263546</v>
      </c>
      <c r="AV16" s="159">
        <f t="shared" si="22"/>
        <v>1.5092086767219699</v>
      </c>
      <c r="AW16" s="159">
        <f t="shared" si="23"/>
        <v>3.1940924375068147</v>
      </c>
      <c r="AX16" s="159">
        <f t="shared" si="66"/>
        <v>0.75460433836098495</v>
      </c>
      <c r="AY16" s="159">
        <f t="shared" si="24"/>
        <v>16.940290882126813</v>
      </c>
      <c r="AZ16" s="159">
        <f t="shared" si="25"/>
        <v>2.9965623556119501</v>
      </c>
      <c r="BA16" s="159">
        <f t="shared" si="26"/>
        <v>6.1674067771100827</v>
      </c>
      <c r="BB16" s="159">
        <f t="shared" si="67"/>
        <v>1.498281177805975</v>
      </c>
      <c r="BC16" s="159">
        <f t="shared" si="27"/>
        <v>2.3237022482862075</v>
      </c>
      <c r="BD16" s="159">
        <f t="shared" si="28"/>
        <v>2.7788604206309286</v>
      </c>
      <c r="BE16" s="159">
        <f t="shared" si="29"/>
        <v>14.924396267153723</v>
      </c>
      <c r="BF16" s="159">
        <f t="shared" si="30"/>
        <v>7.2877576645811182</v>
      </c>
      <c r="BG16" s="159">
        <f t="shared" si="31"/>
        <v>2.854432915820079</v>
      </c>
      <c r="BH16" s="159">
        <f t="shared" si="32"/>
        <v>3.8728370804770127</v>
      </c>
      <c r="BI16" s="159">
        <f t="shared" si="33"/>
        <v>2.1081010087544976</v>
      </c>
      <c r="BJ16" s="159">
        <f t="shared" si="34"/>
        <v>6.4542508260903162</v>
      </c>
      <c r="BK16" s="159">
        <f t="shared" si="35"/>
        <v>6.550993364841279</v>
      </c>
      <c r="BL16" s="159">
        <f t="shared" si="36"/>
        <v>0.61589423909810825</v>
      </c>
      <c r="BM16" s="159">
        <f t="shared" si="37"/>
        <v>1.4373415968780665</v>
      </c>
      <c r="BN16" s="159">
        <f t="shared" si="38"/>
        <v>0.54299571437615857</v>
      </c>
      <c r="BO16" s="159">
        <f t="shared" si="39"/>
        <v>5.1667887190486779</v>
      </c>
      <c r="BP16" s="159">
        <f t="shared" si="40"/>
        <v>9.5840382976955212</v>
      </c>
      <c r="BQ16" s="159">
        <f t="shared" si="41"/>
        <v>1.5989561976585505</v>
      </c>
      <c r="BR16" s="159">
        <f t="shared" si="42"/>
        <v>2.2678056306298382</v>
      </c>
      <c r="BS16" s="159">
        <f t="shared" si="43"/>
        <v>1.9483963868791569</v>
      </c>
      <c r="BT16" s="159">
        <f t="shared" si="44"/>
        <v>7.7078323513677001</v>
      </c>
      <c r="BU16" s="159">
        <f t="shared" si="45"/>
        <v>8.2438449407827648</v>
      </c>
      <c r="BV16" s="159">
        <f t="shared" si="46"/>
        <v>1.4331385179013674</v>
      </c>
      <c r="BW16" s="159">
        <f t="shared" si="47"/>
        <v>2.2678056306298382</v>
      </c>
      <c r="BX16" s="159">
        <f t="shared" si="48"/>
        <v>1.9483963868791569</v>
      </c>
      <c r="BY16" s="159">
        <f t="shared" si="49"/>
        <v>10.689323546622019</v>
      </c>
      <c r="BZ16" s="159">
        <f t="shared" si="50"/>
        <v>6.6359423844770529</v>
      </c>
      <c r="CA16" s="159">
        <f t="shared" si="51"/>
        <v>1.7529297574330773</v>
      </c>
      <c r="CB16" s="159">
        <f t="shared" si="52"/>
        <v>6.8777580981434872</v>
      </c>
      <c r="CC16" s="159">
        <f t="shared" si="53"/>
        <v>5.1406163998526271</v>
      </c>
      <c r="CD16" s="159">
        <f t="shared" si="54"/>
        <v>12.340650322692795</v>
      </c>
      <c r="CE16" s="159">
        <f t="shared" si="68"/>
        <v>5.1406163998526271</v>
      </c>
      <c r="CF16" s="159">
        <f t="shared" si="55"/>
        <v>5.5566803603057524</v>
      </c>
      <c r="CG16" s="159">
        <f t="shared" si="56"/>
        <v>14.506489145144851</v>
      </c>
      <c r="CH16" s="159">
        <f t="shared" si="69"/>
        <v>5.5566803603057524</v>
      </c>
      <c r="CI16" s="159">
        <f t="shared" si="70"/>
        <v>4.2350727205317034</v>
      </c>
    </row>
    <row r="17" spans="1:87" x14ac:dyDescent="0.25">
      <c r="A17" t="str">
        <f>PLANTILLA!D19</f>
        <v>W. Gelifini</v>
      </c>
      <c r="B17" t="s">
        <v>1018</v>
      </c>
      <c r="C17" s="666">
        <f>PLANTILLA!E19</f>
        <v>28</v>
      </c>
      <c r="D17" s="666">
        <f ca="1">PLANTILLA!F19</f>
        <v>100</v>
      </c>
      <c r="E17" s="666"/>
      <c r="F17" s="317">
        <v>41737</v>
      </c>
      <c r="G17" s="530">
        <v>1.5</v>
      </c>
      <c r="H17" s="531">
        <f>PLANTILLA!I19</f>
        <v>4</v>
      </c>
      <c r="I17" s="371"/>
      <c r="J17" s="163">
        <f>PLANTILLA!X19</f>
        <v>0</v>
      </c>
      <c r="K17" s="163">
        <f>PLANTILLA!Y19</f>
        <v>5.6315555555555523</v>
      </c>
      <c r="L17" s="163">
        <f>PLANTILLA!Z19</f>
        <v>9.8423388888888876</v>
      </c>
      <c r="M17" s="163">
        <f>PLANTILLA!AA19</f>
        <v>7.0526666666666671</v>
      </c>
      <c r="N17" s="163">
        <f>PLANTILLA!AB19</f>
        <v>9.2666666666666639</v>
      </c>
      <c r="O17" s="163">
        <f>PLANTILLA!AC19</f>
        <v>3.5417777777777766</v>
      </c>
      <c r="P17" s="163">
        <f>PLANTILLA!AD19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2.8905303594702954</v>
      </c>
      <c r="AC17" s="159">
        <f t="shared" si="6"/>
        <v>2.9991662356292919</v>
      </c>
      <c r="AD17" s="159">
        <f t="shared" si="7"/>
        <v>5.7365004983068202</v>
      </c>
      <c r="AE17" s="159">
        <f t="shared" si="63"/>
        <v>1.4995831178146459</v>
      </c>
      <c r="AF17" s="159">
        <f t="shared" si="8"/>
        <v>4.6758579344372428</v>
      </c>
      <c r="AG17" s="387">
        <f t="shared" si="9"/>
        <v>7.2995580338067425</v>
      </c>
      <c r="AH17" s="159">
        <f t="shared" si="10"/>
        <v>3.2848011152130336</v>
      </c>
      <c r="AI17" s="159">
        <f t="shared" si="11"/>
        <v>2.0282292858468041</v>
      </c>
      <c r="AJ17" s="387">
        <f t="shared" si="12"/>
        <v>5.5009830332011225</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11.464960753529239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12.145085543992838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10.69982036425769</v>
      </c>
      <c r="BF17" s="159">
        <f t="shared" si="30"/>
        <v>9.0143724430540768</v>
      </c>
      <c r="BG17" s="159">
        <f t="shared" si="31"/>
        <v>2.7882286105467182</v>
      </c>
      <c r="BH17" s="159">
        <f t="shared" si="32"/>
        <v>3.8481365721698584</v>
      </c>
      <c r="BI17" s="159">
        <f t="shared" si="33"/>
        <v>2.0946557836141086</v>
      </c>
      <c r="BJ17" s="159">
        <f t="shared" si="34"/>
        <v>4.6272775922612714</v>
      </c>
      <c r="BK17" s="159">
        <f t="shared" si="35"/>
        <v>8.621645243227519</v>
      </c>
      <c r="BL17" s="159">
        <f t="shared" si="36"/>
        <v>0.60160949273207198</v>
      </c>
      <c r="BM17" s="159">
        <f t="shared" si="37"/>
        <v>1.4281743979187103</v>
      </c>
      <c r="BN17" s="159">
        <f t="shared" si="38"/>
        <v>0.53953255032484615</v>
      </c>
      <c r="BO17" s="159">
        <f t="shared" si="39"/>
        <v>3.7042510909178157</v>
      </c>
      <c r="BP17" s="159">
        <f t="shared" si="40"/>
        <v>12.664265531797014</v>
      </c>
      <c r="BQ17" s="159">
        <f t="shared" si="41"/>
        <v>1.561870798439033</v>
      </c>
      <c r="BR17" s="159">
        <f t="shared" si="42"/>
        <v>2.2533418278272985</v>
      </c>
      <c r="BS17" s="159">
        <f t="shared" si="43"/>
        <v>1.9359697394009185</v>
      </c>
      <c r="BT17" s="159">
        <f t="shared" si="44"/>
        <v>5.5260139225167419</v>
      </c>
      <c r="BU17" s="159">
        <f t="shared" si="45"/>
        <v>10.906013960521843</v>
      </c>
      <c r="BV17" s="159">
        <f t="shared" si="46"/>
        <v>1.3998990119342443</v>
      </c>
      <c r="BW17" s="159">
        <f t="shared" si="47"/>
        <v>2.2533418278272985</v>
      </c>
      <c r="BX17" s="159">
        <f t="shared" si="48"/>
        <v>1.9359697394009185</v>
      </c>
      <c r="BY17" s="159">
        <f t="shared" si="49"/>
        <v>7.663548978259481</v>
      </c>
      <c r="BZ17" s="159">
        <f t="shared" si="50"/>
        <v>8.800396922984703</v>
      </c>
      <c r="CA17" s="159">
        <f t="shared" si="51"/>
        <v>1.7122731716220509</v>
      </c>
      <c r="CB17" s="159">
        <f t="shared" si="52"/>
        <v>4.9309047308610925</v>
      </c>
      <c r="CC17" s="159">
        <f t="shared" si="53"/>
        <v>4.9817874517536023</v>
      </c>
      <c r="CD17" s="159">
        <f t="shared" si="54"/>
        <v>9.6895491780914895</v>
      </c>
      <c r="CE17" s="159">
        <f t="shared" si="68"/>
        <v>4.9817874517536023</v>
      </c>
      <c r="CF17" s="159">
        <f t="shared" si="55"/>
        <v>5.0999793883519828</v>
      </c>
      <c r="CG17" s="159">
        <f t="shared" si="56"/>
        <v>10.113637948615082</v>
      </c>
      <c r="CH17" s="159">
        <f t="shared" si="69"/>
        <v>5.0999793883519828</v>
      </c>
      <c r="CI17" s="159">
        <f t="shared" si="70"/>
        <v>3.0362713859982096</v>
      </c>
    </row>
    <row r="18" spans="1:87" x14ac:dyDescent="0.25">
      <c r="A18" t="str">
        <f>PLANTILLA!D20</f>
        <v>M. Amico</v>
      </c>
      <c r="B18" t="s">
        <v>1018</v>
      </c>
      <c r="C18" s="666">
        <f>PLANTILLA!E20</f>
        <v>28</v>
      </c>
      <c r="D18" s="666">
        <f ca="1">PLANTILLA!F20</f>
        <v>107</v>
      </c>
      <c r="E18" s="666" t="str">
        <f>PLANTILLA!G20</f>
        <v>IMP</v>
      </c>
      <c r="F18" s="317">
        <v>41730</v>
      </c>
      <c r="G18" s="530">
        <v>1.5</v>
      </c>
      <c r="H18" s="531">
        <f>PLANTILLA!I20</f>
        <v>1.2</v>
      </c>
      <c r="I18" s="371"/>
      <c r="J18" s="163">
        <f>PLANTILLA!X20</f>
        <v>0</v>
      </c>
      <c r="K18" s="163">
        <f>PLANTILLA!Y20</f>
        <v>2.47611111111111</v>
      </c>
      <c r="L18" s="163">
        <f>PLANTILLA!Z20</f>
        <v>7.3099999999999978</v>
      </c>
      <c r="M18" s="163">
        <f>PLANTILLA!AA20</f>
        <v>4.1588235294117641</v>
      </c>
      <c r="N18" s="163">
        <f>PLANTILLA!AB20</f>
        <v>7.2649999999999988</v>
      </c>
      <c r="O18" s="163">
        <f>PLANTILLA!AC20</f>
        <v>4.3299999999999983</v>
      </c>
      <c r="P18" s="163">
        <f>PLANTILLA!AD20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2.1219068487457791</v>
      </c>
      <c r="AC18" s="159">
        <f t="shared" si="6"/>
        <v>1.5428773480080025</v>
      </c>
      <c r="AD18" s="159">
        <f t="shared" si="7"/>
        <v>2.9510590545232427</v>
      </c>
      <c r="AE18" s="159">
        <f t="shared" si="63"/>
        <v>0.77143867400400123</v>
      </c>
      <c r="AF18" s="159">
        <f t="shared" si="8"/>
        <v>3.4324963729711135</v>
      </c>
      <c r="AG18" s="387">
        <f t="shared" si="9"/>
        <v>3.7551512173739745</v>
      </c>
      <c r="AH18" s="159">
        <f t="shared" si="10"/>
        <v>1.6898180478182885</v>
      </c>
      <c r="AI18" s="159">
        <f t="shared" si="11"/>
        <v>1.4889010241199376</v>
      </c>
      <c r="AJ18" s="387">
        <f t="shared" si="12"/>
        <v>3.3894663321954552</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8.416302795025274</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8.9155749947301643</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7.854621570357275</v>
      </c>
      <c r="BF18" s="159">
        <f t="shared" si="30"/>
        <v>6.1029958761974701</v>
      </c>
      <c r="BG18" s="159">
        <f t="shared" si="31"/>
        <v>2.1378085737299695</v>
      </c>
      <c r="BH18" s="159">
        <f t="shared" si="32"/>
        <v>1.979617761333019</v>
      </c>
      <c r="BI18" s="159">
        <f t="shared" si="33"/>
        <v>1.0775651319420971</v>
      </c>
      <c r="BJ18" s="159">
        <f t="shared" si="34"/>
        <v>3.3968340729921929</v>
      </c>
      <c r="BK18" s="159">
        <f t="shared" si="35"/>
        <v>5.6624257806882827</v>
      </c>
      <c r="BL18" s="159">
        <f t="shared" si="36"/>
        <v>0.46126989972596855</v>
      </c>
      <c r="BM18" s="159">
        <f t="shared" si="37"/>
        <v>0.73470349905142973</v>
      </c>
      <c r="BN18" s="159">
        <f t="shared" si="38"/>
        <v>0.27755465519720685</v>
      </c>
      <c r="BO18" s="159">
        <f t="shared" si="39"/>
        <v>2.7192503733927</v>
      </c>
      <c r="BP18" s="159">
        <f t="shared" si="40"/>
        <v>8.301382972634757</v>
      </c>
      <c r="BQ18" s="159">
        <f t="shared" si="41"/>
        <v>1.1975276242885722</v>
      </c>
      <c r="BR18" s="159">
        <f t="shared" si="42"/>
        <v>1.1591988540589224</v>
      </c>
      <c r="BS18" s="159">
        <f t="shared" si="43"/>
        <v>0.99593140982527151</v>
      </c>
      <c r="BT18" s="159">
        <f t="shared" si="44"/>
        <v>4.0565866226022251</v>
      </c>
      <c r="BU18" s="159">
        <f t="shared" si="45"/>
        <v>7.1448606235727876</v>
      </c>
      <c r="BV18" s="159">
        <f t="shared" si="46"/>
        <v>1.0733395743623499</v>
      </c>
      <c r="BW18" s="159">
        <f t="shared" si="47"/>
        <v>1.1591988540589224</v>
      </c>
      <c r="BX18" s="159">
        <f t="shared" si="48"/>
        <v>0.99593140982527151</v>
      </c>
      <c r="BY18" s="159">
        <f t="shared" si="49"/>
        <v>5.625727821674734</v>
      </c>
      <c r="BZ18" s="159">
        <f t="shared" si="50"/>
        <v>5.7586287379305565</v>
      </c>
      <c r="CA18" s="159">
        <f t="shared" si="51"/>
        <v>1.3128450992200642</v>
      </c>
      <c r="CB18" s="159">
        <f t="shared" si="52"/>
        <v>3.619723447860447</v>
      </c>
      <c r="CC18" s="159">
        <f t="shared" si="53"/>
        <v>3.8015351604897103</v>
      </c>
      <c r="CD18" s="159">
        <f t="shared" si="54"/>
        <v>8.2771624440661657</v>
      </c>
      <c r="CE18" s="159">
        <f t="shared" si="68"/>
        <v>3.8015351604897103</v>
      </c>
      <c r="CF18" s="159">
        <f t="shared" si="55"/>
        <v>3.9468032217168929</v>
      </c>
      <c r="CG18" s="159">
        <f t="shared" si="56"/>
        <v>9.208817167785595</v>
      </c>
      <c r="CH18" s="159">
        <f t="shared" si="69"/>
        <v>3.9468032217168929</v>
      </c>
      <c r="CI18" s="159">
        <f t="shared" si="70"/>
        <v>2.2288937486825411</v>
      </c>
    </row>
    <row r="19" spans="1:87" x14ac:dyDescent="0.25">
      <c r="A19" t="str">
        <f>PLANTILLA!D21</f>
        <v>G. Kerschl</v>
      </c>
      <c r="B19" t="s">
        <v>1018</v>
      </c>
      <c r="C19" s="702">
        <f>PLANTILLA!E21</f>
        <v>28</v>
      </c>
      <c r="D19" s="702">
        <f ca="1">PLANTILLA!F21</f>
        <v>65</v>
      </c>
      <c r="E19" s="702" t="str">
        <f>PLANTILLA!G21</f>
        <v>CAB</v>
      </c>
      <c r="F19" s="317">
        <v>43060</v>
      </c>
      <c r="G19" s="530">
        <v>2.5</v>
      </c>
      <c r="H19" s="531">
        <f>PLANTILLA!I21</f>
        <v>8.6</v>
      </c>
      <c r="I19" s="371"/>
      <c r="J19" s="163">
        <f>PLANTILLA!X21</f>
        <v>0</v>
      </c>
      <c r="K19" s="163">
        <f>PLANTILLA!Y21</f>
        <v>2</v>
      </c>
      <c r="L19" s="163">
        <f>PLANTILLA!Z21</f>
        <v>14.5</v>
      </c>
      <c r="M19" s="163">
        <f>PLANTILLA!AA21</f>
        <v>12</v>
      </c>
      <c r="N19" s="163">
        <f>PLANTILLA!AB21</f>
        <v>12</v>
      </c>
      <c r="O19" s="163">
        <f>PLANTILLA!AC21</f>
        <v>8</v>
      </c>
      <c r="P19" s="163">
        <f>PLANTILLA!AD21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3.4096613526684179</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4.3425475085279581</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7.0247092049716979</v>
      </c>
      <c r="AG19" s="387">
        <f t="shared" ref="AG19" si="87">((K19+G19+(LOG(H19)*4/3))*0.92)</f>
        <v>5.2863181001921102</v>
      </c>
      <c r="AH19" s="159">
        <f t="shared" ref="AH19" si="88">(K19+G19+(LOG(H19)*4/3))*0.414</f>
        <v>2.3788431450864493</v>
      </c>
      <c r="AI19" s="159">
        <f t="shared" ref="AI19" si="89">((L19+G19+(LOG(H19)*4/3))*0.167)</f>
        <v>3.0470816551435678</v>
      </c>
      <c r="AJ19" s="387">
        <f t="shared" ref="AJ19" si="90">(M19+G19+(LOG(H19)*4/3))*0.588</f>
        <v>9.2586467857749568</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17.224222050631901</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18.245997934991422</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16.074724180727443</v>
      </c>
      <c r="BF19" s="159">
        <f t="shared" ref="BF19" si="112">((M19+G19+(LOG(H19)*4/3))*0.574)+((N19+G19+(LOG(H19)*4/3))*0.315)</f>
        <v>13.998192164207374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6.9517252132317315</v>
      </c>
      <c r="BK19" s="159">
        <f t="shared" ref="BK19" si="117">((M19+G19+(LOG(H19)*4/3))*0.673)+((N19+G19+(LOG(H19)*4/3))*0.201)</f>
        <v>13.762002195182506</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5.5650293701723834</v>
      </c>
      <c r="BP19" s="159">
        <f t="shared" ref="BP19" si="122">((M19+G19+(LOG(H19)*4/3))*1)+((N19+G19+(LOG(H19)*4/3))*0.286)</f>
        <v>20.249353344398969</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8.3019290604210969</v>
      </c>
      <c r="BU19" s="159">
        <f t="shared" ref="BU19" si="127">((M19+G19+(LOG(H19)*4/3))*0.864)+((N19+G19+(LOG(H19)*4/3))*0.244)</f>
        <v>17.446565711970496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11.513224696979588</v>
      </c>
      <c r="BZ19" s="159">
        <f t="shared" ref="BZ19" si="132">((M19+G19+(LOG(H19)*4/3))*0.702)+((N19+G19+(LOG(H19)*4/3))*0.193)</f>
        <v>14.092668151817325</v>
      </c>
      <c r="CA19" s="159">
        <f t="shared" ref="CA19" si="133">((N19+G19+(LOG(H19)*4/3))*0.148)</f>
        <v>2.3304076943787306</v>
      </c>
      <c r="CB19" s="159">
        <f t="shared" ref="CB19" si="134">((L19+G19+(LOG(H19)*4/3))*0.406)</f>
        <v>7.4078751616065182</v>
      </c>
      <c r="CC19" s="159">
        <f t="shared" ref="CC19" si="135">IF(E19="TEC",((M19+G19+(LOG(H19)*4/3))*0.15)+((N19+G19+(LOG(H19)*4/3))*0.324)+((O19+G19+(LOG(H19)*4/3))*0.127),(((M19+G19+(LOG(H19)*4/3))*0.144)+((N19+G19+(LOG(H19)*4/3))*0.25)+((O19+G19+(LOG(H19)*4/3))*0.127)))</f>
        <v>7.6956649241305319</v>
      </c>
      <c r="CD19" s="159">
        <f t="shared" ref="CD19" si="136">((N19+G19+(LOG(H19)*4/3))*0.543)+((O19+G19+(LOG(H19)*4/3))*0.583)</f>
        <v>15.397993674800343</v>
      </c>
      <c r="CE19" s="159">
        <f t="shared" ref="CE19" si="137">CC19</f>
        <v>7.6956649241305319</v>
      </c>
      <c r="CF19" s="159">
        <f t="shared" ref="CF19" si="138">((O19+1+(LOG(H19)*4/3))*0.26)+((M19+G19+(LOG(H19)*4/3))*0.221)+((N19+G19+(LOG(H19)*4/3))*0.142)</f>
        <v>8.3797567134996562</v>
      </c>
      <c r="CG19" s="159">
        <f t="shared" ref="CG19" si="139">((O19+G19+(LOG(H19)*4/3))*1)+((N19+G19+(LOG(H19)*4/3))*0.369)</f>
        <v>17.55627117300326</v>
      </c>
      <c r="CH19" s="159">
        <f t="shared" ref="CH19" si="140">CF19</f>
        <v>8.3797567134996562</v>
      </c>
      <c r="CI19" s="159">
        <f t="shared" ref="CI19" si="141">((L19+G19+(LOG(H19)*4/3))*0.25)</f>
        <v>4.5614994837478555</v>
      </c>
    </row>
    <row r="20" spans="1:87" x14ac:dyDescent="0.25">
      <c r="A20" t="str">
        <f>PLANTILLA!D22</f>
        <v>J. Limon</v>
      </c>
      <c r="B20" t="s">
        <v>1018</v>
      </c>
      <c r="C20" s="666">
        <f>PLANTILLA!E22</f>
        <v>29</v>
      </c>
      <c r="D20" s="666">
        <f ca="1">PLANTILLA!F22</f>
        <v>75</v>
      </c>
      <c r="E20" s="666" t="str">
        <f>PLANTILLA!G22</f>
        <v>RAP</v>
      </c>
      <c r="F20" s="317">
        <v>41664</v>
      </c>
      <c r="G20" s="530">
        <v>1.5</v>
      </c>
      <c r="H20" s="531">
        <f>PLANTILLA!I22</f>
        <v>10</v>
      </c>
      <c r="I20" s="371"/>
      <c r="J20" s="163">
        <f>PLANTILLA!X22</f>
        <v>0</v>
      </c>
      <c r="K20" s="163">
        <f>PLANTILLA!Y22</f>
        <v>6.8176190476190497</v>
      </c>
      <c r="L20" s="163">
        <f>PLANTILLA!Z22</f>
        <v>8.375</v>
      </c>
      <c r="M20" s="163">
        <f>PLANTILLA!AA22</f>
        <v>8.7199999999999971</v>
      </c>
      <c r="N20" s="163">
        <f>PLANTILLA!AB22</f>
        <v>9.6900000000000013</v>
      </c>
      <c r="O20" s="163">
        <f>PLANTILLA!AC22</f>
        <v>8.5625000000000018</v>
      </c>
      <c r="P20" s="163">
        <f>PLANTILLA!AD22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2.6675833333333334</v>
      </c>
      <c r="AC20" s="159">
        <f t="shared" si="6"/>
        <v>3.6480600000000014</v>
      </c>
      <c r="AD20" s="159">
        <f t="shared" si="7"/>
        <v>6.9776385714285736</v>
      </c>
      <c r="AE20" s="159">
        <f t="shared" si="63"/>
        <v>1.8240300000000007</v>
      </c>
      <c r="AF20" s="159">
        <f t="shared" si="8"/>
        <v>4.3152083333333335</v>
      </c>
      <c r="AG20" s="387">
        <f t="shared" si="9"/>
        <v>8.8788761904761948</v>
      </c>
      <c r="AH20" s="159">
        <f t="shared" si="10"/>
        <v>3.9954942857142868</v>
      </c>
      <c r="AI20" s="159">
        <f t="shared" si="11"/>
        <v>1.871791666666667</v>
      </c>
      <c r="AJ20" s="387">
        <f t="shared" si="12"/>
        <v>6.7933599999999981</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10.580666666666668</v>
      </c>
      <c r="AS20" s="159">
        <f t="shared" si="20"/>
        <v>1.6280333333333337</v>
      </c>
      <c r="AT20" s="159">
        <f t="shared" si="21"/>
        <v>3.4742791666666673</v>
      </c>
      <c r="AU20" s="159">
        <f t="shared" si="65"/>
        <v>0.81401666666666683</v>
      </c>
      <c r="AV20" s="387">
        <f t="shared" si="22"/>
        <v>1.8240300000000007</v>
      </c>
      <c r="AW20" s="387">
        <f t="shared" si="23"/>
        <v>3.8603809523809538</v>
      </c>
      <c r="AX20" s="387">
        <f t="shared" si="66"/>
        <v>0.91201500000000035</v>
      </c>
      <c r="AY20" s="387">
        <f t="shared" si="24"/>
        <v>11.208333333333334</v>
      </c>
      <c r="AZ20" s="387">
        <f t="shared" si="25"/>
        <v>3.1684033333333339</v>
      </c>
      <c r="BA20" s="387">
        <f t="shared" si="26"/>
        <v>6.6635816666666683</v>
      </c>
      <c r="BB20" s="387">
        <f t="shared" si="67"/>
        <v>1.584201666666667</v>
      </c>
      <c r="BC20" s="387">
        <f t="shared" si="27"/>
        <v>2.8084271428571439</v>
      </c>
      <c r="BD20" s="387">
        <f t="shared" si="28"/>
        <v>3.3585314285714296</v>
      </c>
      <c r="BE20" s="387">
        <f t="shared" si="29"/>
        <v>9.8745416666666674</v>
      </c>
      <c r="BF20" s="387">
        <f t="shared" si="30"/>
        <v>10.576463333333333</v>
      </c>
      <c r="BG20" s="387">
        <f t="shared" si="31"/>
        <v>3.0181233333333335</v>
      </c>
      <c r="BH20" s="387">
        <f t="shared" si="32"/>
        <v>4.6807119047619068</v>
      </c>
      <c r="BI20" s="387">
        <f t="shared" si="33"/>
        <v>2.5478514285714295</v>
      </c>
      <c r="BJ20" s="387">
        <f t="shared" si="34"/>
        <v>4.2703750000000005</v>
      </c>
      <c r="BK20" s="387">
        <f t="shared" si="35"/>
        <v>10.292583333333333</v>
      </c>
      <c r="BL20" s="387">
        <f t="shared" si="36"/>
        <v>0.65121333333333342</v>
      </c>
      <c r="BM20" s="387">
        <f t="shared" si="37"/>
        <v>1.7371714285714293</v>
      </c>
      <c r="BN20" s="387">
        <f t="shared" si="38"/>
        <v>0.65626476190476224</v>
      </c>
      <c r="BO20" s="387">
        <f t="shared" si="39"/>
        <v>3.4185416666666666</v>
      </c>
      <c r="BP20" s="387">
        <f t="shared" si="40"/>
        <v>15.135006666666666</v>
      </c>
      <c r="BQ20" s="387">
        <f t="shared" si="41"/>
        <v>1.6906500000000004</v>
      </c>
      <c r="BR20" s="387">
        <f t="shared" si="42"/>
        <v>2.740870476190477</v>
      </c>
      <c r="BS20" s="387">
        <f t="shared" si="43"/>
        <v>2.3548323809523817</v>
      </c>
      <c r="BT20" s="387">
        <f t="shared" si="44"/>
        <v>5.0997916666666674</v>
      </c>
      <c r="BU20" s="387">
        <f t="shared" si="45"/>
        <v>13.037773333333332</v>
      </c>
      <c r="BV20" s="387">
        <f t="shared" si="46"/>
        <v>1.5153233333333336</v>
      </c>
      <c r="BW20" s="387">
        <f t="shared" si="47"/>
        <v>2.740870476190477</v>
      </c>
      <c r="BX20" s="387">
        <f t="shared" si="48"/>
        <v>2.3548323809523817</v>
      </c>
      <c r="BY20" s="387">
        <f t="shared" si="49"/>
        <v>7.0724583333333335</v>
      </c>
      <c r="BZ20" s="387">
        <f t="shared" si="50"/>
        <v>10.527443333333332</v>
      </c>
      <c r="CA20" s="387">
        <f t="shared" si="51"/>
        <v>1.8534533333333336</v>
      </c>
      <c r="CB20" s="387">
        <f t="shared" si="52"/>
        <v>4.5505833333333339</v>
      </c>
      <c r="CC20" s="387">
        <f t="shared" si="53"/>
        <v>6.2417841666666671</v>
      </c>
      <c r="CD20" s="387">
        <f t="shared" si="54"/>
        <v>13.443940833333336</v>
      </c>
      <c r="CE20" s="387">
        <f t="shared" si="68"/>
        <v>6.2417841666666671</v>
      </c>
      <c r="CF20" s="387">
        <f t="shared" si="55"/>
        <v>7.1645166666666666</v>
      </c>
      <c r="CG20" s="387">
        <f t="shared" si="56"/>
        <v>16.016943333333337</v>
      </c>
      <c r="CH20" s="387">
        <f t="shared" si="69"/>
        <v>7.1645166666666666</v>
      </c>
      <c r="CI20" s="387">
        <f t="shared" si="70"/>
        <v>2.8020833333333335</v>
      </c>
    </row>
    <row r="21" spans="1:87" x14ac:dyDescent="0.25">
      <c r="A21" t="str">
        <f>PLANTILLA!D23</f>
        <v>L. Calosso</v>
      </c>
      <c r="C21" s="666">
        <f>PLANTILLA!E23</f>
        <v>30</v>
      </c>
      <c r="D21" s="666">
        <f ca="1">PLANTILLA!F23</f>
        <v>32</v>
      </c>
      <c r="E21" s="666" t="str">
        <f>PLANTILLA!G23</f>
        <v>TEC</v>
      </c>
      <c r="F21" s="317">
        <v>41890</v>
      </c>
      <c r="G21" s="530">
        <v>1</v>
      </c>
      <c r="H21" s="531">
        <f>PLANTILLA!I23</f>
        <v>10.1</v>
      </c>
      <c r="I21" s="371"/>
      <c r="J21" s="163">
        <f>PLANTILLA!X23</f>
        <v>0</v>
      </c>
      <c r="K21" s="163">
        <f>PLANTILLA!Y23</f>
        <v>2</v>
      </c>
      <c r="L21" s="163">
        <f>PLANTILLA!Z23</f>
        <v>14.1038</v>
      </c>
      <c r="M21" s="163">
        <f>PLANTILLA!AA23</f>
        <v>3</v>
      </c>
      <c r="N21" s="163">
        <f>PLANTILLA!AB23</f>
        <v>15.02</v>
      </c>
      <c r="O21" s="163">
        <f>PLANTILLA!AC23</f>
        <v>10</v>
      </c>
      <c r="P21" s="163">
        <f>PLANTILLA!AD23</f>
        <v>9.3000000000000007</v>
      </c>
      <c r="Q21" s="163">
        <f t="shared" si="57"/>
        <v>4.38</v>
      </c>
      <c r="R21" s="163">
        <f t="shared" si="58"/>
        <v>19.284400314746186</v>
      </c>
      <c r="S21" s="163">
        <f t="shared" si="59"/>
        <v>0.77900000000000003</v>
      </c>
      <c r="T21" s="163">
        <f t="shared" si="60"/>
        <v>0.35899999999999999</v>
      </c>
      <c r="U21" s="163">
        <f t="shared" ca="1" si="0"/>
        <v>11.639095165043525</v>
      </c>
      <c r="V21" s="159">
        <f t="shared" si="1"/>
        <v>2.5940300790829958</v>
      </c>
      <c r="W21" s="159">
        <f t="shared" si="2"/>
        <v>3.8697718580711884</v>
      </c>
      <c r="X21" s="159">
        <f t="shared" si="61"/>
        <v>2.5940300790829958</v>
      </c>
      <c r="Y21" s="159">
        <f t="shared" si="3"/>
        <v>2.238973105162458</v>
      </c>
      <c r="Z21" s="159">
        <f t="shared" si="4"/>
        <v>4.3390951650435232</v>
      </c>
      <c r="AA21" s="159">
        <f t="shared" si="62"/>
        <v>1.119486552581229</v>
      </c>
      <c r="AB21" s="159">
        <f t="shared" si="5"/>
        <v>3.9134090492803586</v>
      </c>
      <c r="AC21" s="159">
        <f t="shared" si="6"/>
        <v>1.6401779723864518</v>
      </c>
      <c r="AD21" s="159">
        <f t="shared" si="7"/>
        <v>3.1371658043264672</v>
      </c>
      <c r="AE21" s="159">
        <f t="shared" si="63"/>
        <v>0.8200889861932259</v>
      </c>
      <c r="AF21" s="159">
        <f t="shared" si="8"/>
        <v>6.3305146385417572</v>
      </c>
      <c r="AG21" s="387">
        <f t="shared" si="9"/>
        <v>3.9919675518400415</v>
      </c>
      <c r="AH21" s="159">
        <f t="shared" si="10"/>
        <v>1.7963853983280185</v>
      </c>
      <c r="AI21" s="159">
        <f t="shared" si="11"/>
        <v>2.7459634925622685</v>
      </c>
      <c r="AJ21" s="387">
        <f t="shared" si="12"/>
        <v>3.1393879570455914</v>
      </c>
      <c r="AK21" s="159">
        <f t="shared" si="13"/>
        <v>3.2716777544428166</v>
      </c>
      <c r="AL21" s="159">
        <f t="shared" si="14"/>
        <v>3.0720793768508141</v>
      </c>
      <c r="AM21" s="159">
        <f t="shared" si="15"/>
        <v>1.9437288925622687</v>
      </c>
      <c r="AN21" s="159">
        <f t="shared" si="16"/>
        <v>1.9350994075325345</v>
      </c>
      <c r="AO21" s="159">
        <f t="shared" si="17"/>
        <v>1.1715556945617513</v>
      </c>
      <c r="AP21" s="159">
        <f t="shared" si="18"/>
        <v>2.5774225280358527</v>
      </c>
      <c r="AQ21" s="159">
        <f t="shared" si="64"/>
        <v>0.58577784728087567</v>
      </c>
      <c r="AR21" s="159">
        <f t="shared" si="19"/>
        <v>15.522093035801086</v>
      </c>
      <c r="AS21" s="159">
        <f t="shared" si="20"/>
        <v>2.2566823714556583</v>
      </c>
      <c r="AT21" s="159">
        <f t="shared" si="21"/>
        <v>4.2177548833577525</v>
      </c>
      <c r="AU21" s="159">
        <f t="shared" si="65"/>
        <v>1.1283411857278292</v>
      </c>
      <c r="AV21" s="387">
        <f t="shared" si="22"/>
        <v>0.8200889861932259</v>
      </c>
      <c r="AW21" s="387">
        <f t="shared" si="23"/>
        <v>1.7356380660174093</v>
      </c>
      <c r="AX21" s="387">
        <f t="shared" si="66"/>
        <v>0.41004449309661295</v>
      </c>
      <c r="AY21" s="387">
        <f t="shared" si="24"/>
        <v>16.442895165043524</v>
      </c>
      <c r="AZ21" s="387">
        <f t="shared" si="25"/>
        <v>4.3918510767560113</v>
      </c>
      <c r="BA21" s="387">
        <f t="shared" si="26"/>
        <v>8.5106614359389816</v>
      </c>
      <c r="BB21" s="387">
        <f t="shared" si="67"/>
        <v>2.1959255383780056</v>
      </c>
      <c r="BC21" s="387">
        <f t="shared" si="27"/>
        <v>1.2626766930276652</v>
      </c>
      <c r="BD21" s="387">
        <f t="shared" si="28"/>
        <v>1.5100051174351459</v>
      </c>
      <c r="BE21" s="387">
        <f t="shared" si="29"/>
        <v>14.486190640403345</v>
      </c>
      <c r="BF21" s="387">
        <f t="shared" si="30"/>
        <v>8.532755601723693</v>
      </c>
      <c r="BG21" s="387">
        <f t="shared" si="31"/>
        <v>4.183541934775489</v>
      </c>
      <c r="BH21" s="387">
        <f t="shared" si="32"/>
        <v>2.1044611550461085</v>
      </c>
      <c r="BI21" s="387">
        <f t="shared" si="33"/>
        <v>1.1455211235714902</v>
      </c>
      <c r="BJ21" s="387">
        <f t="shared" si="34"/>
        <v>6.2647430578815824</v>
      </c>
      <c r="BK21" s="387">
        <f t="shared" si="35"/>
        <v>7.0823891742480392</v>
      </c>
      <c r="BL21" s="387">
        <f t="shared" si="36"/>
        <v>0.90267294858226321</v>
      </c>
      <c r="BM21" s="387">
        <f t="shared" si="37"/>
        <v>0.78103712970783412</v>
      </c>
      <c r="BN21" s="387">
        <f t="shared" si="38"/>
        <v>0.29505847122295958</v>
      </c>
      <c r="BO21" s="387">
        <f t="shared" si="39"/>
        <v>5.0150830253382743</v>
      </c>
      <c r="BP21" s="387">
        <f t="shared" si="40"/>
        <v>10.30379638224597</v>
      </c>
      <c r="BQ21" s="387">
        <f t="shared" si="41"/>
        <v>2.3434778472808757</v>
      </c>
      <c r="BR21" s="387">
        <f t="shared" si="42"/>
        <v>1.2323030268723605</v>
      </c>
      <c r="BS21" s="387">
        <f t="shared" si="43"/>
        <v>1.0587392202706196</v>
      </c>
      <c r="BT21" s="387">
        <f t="shared" si="44"/>
        <v>7.4815173000948034</v>
      </c>
      <c r="BU21" s="387">
        <f t="shared" si="45"/>
        <v>8.8485974428682237</v>
      </c>
      <c r="BV21" s="387">
        <f t="shared" si="46"/>
        <v>2.1004505149702664</v>
      </c>
      <c r="BW21" s="387">
        <f t="shared" si="47"/>
        <v>1.2323030268723605</v>
      </c>
      <c r="BX21" s="387">
        <f t="shared" si="48"/>
        <v>1.0587392202706196</v>
      </c>
      <c r="BY21" s="387">
        <f t="shared" si="49"/>
        <v>10.375466849142464</v>
      </c>
      <c r="BZ21" s="387">
        <f t="shared" si="50"/>
        <v>7.0983501727139533</v>
      </c>
      <c r="CA21" s="387">
        <f t="shared" si="51"/>
        <v>2.5691460844264413</v>
      </c>
      <c r="CB21" s="387">
        <f t="shared" si="52"/>
        <v>6.675815437007671</v>
      </c>
      <c r="CC21" s="387">
        <f t="shared" si="53"/>
        <v>7.9922761941911578</v>
      </c>
      <c r="CD21" s="387">
        <f t="shared" si="54"/>
        <v>16.619681155839007</v>
      </c>
      <c r="CE21" s="387">
        <f t="shared" si="68"/>
        <v>7.9922761941911578</v>
      </c>
      <c r="CF21" s="387">
        <f t="shared" si="55"/>
        <v>6.8530962878221153</v>
      </c>
      <c r="CG21" s="387">
        <f t="shared" si="56"/>
        <v>18.744601280944586</v>
      </c>
      <c r="CH21" s="387">
        <f t="shared" si="69"/>
        <v>6.8530962878221153</v>
      </c>
      <c r="CI21" s="387">
        <f t="shared" si="70"/>
        <v>4.1107237912608809</v>
      </c>
    </row>
    <row r="22" spans="1:87" x14ac:dyDescent="0.25">
      <c r="A22" t="str">
        <f>PLANTILLA!D24</f>
        <v>P .Trivadi</v>
      </c>
      <c r="B22" t="s">
        <v>1018</v>
      </c>
      <c r="C22" s="666">
        <f>PLANTILLA!E24</f>
        <v>26</v>
      </c>
      <c r="D22" s="666">
        <f ca="1">PLANTILLA!F24</f>
        <v>106</v>
      </c>
      <c r="E22" s="666"/>
      <c r="F22" s="317">
        <v>41973</v>
      </c>
      <c r="G22" s="530">
        <v>1.5</v>
      </c>
      <c r="H22" s="531">
        <f>PLANTILLA!I24</f>
        <v>5.3</v>
      </c>
      <c r="I22" s="371"/>
      <c r="J22" s="163">
        <f>PLANTILLA!X24</f>
        <v>0</v>
      </c>
      <c r="K22" s="163">
        <f>PLANTILLA!Y24</f>
        <v>4</v>
      </c>
      <c r="L22" s="163">
        <f>PLANTILLA!Z24</f>
        <v>5.5338722222222207</v>
      </c>
      <c r="M22" s="163">
        <f>PLANTILLA!AA24</f>
        <v>5.47</v>
      </c>
      <c r="N22" s="163">
        <f>PLANTILLA!AB24</f>
        <v>10.799999999999999</v>
      </c>
      <c r="O22" s="163">
        <f>PLANTILLA!AC24</f>
        <v>8.384500000000001</v>
      </c>
      <c r="P22" s="163">
        <f>PLANTILLA!AD24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1.9038984648422057</v>
      </c>
      <c r="AC22" s="159">
        <f t="shared" si="6"/>
        <v>2.4440350382787974</v>
      </c>
      <c r="AD22" s="159">
        <f t="shared" si="7"/>
        <v>4.6747019382951605</v>
      </c>
      <c r="AE22" s="159">
        <f t="shared" si="63"/>
        <v>1.2220175191393987</v>
      </c>
      <c r="AF22" s="159">
        <f t="shared" si="8"/>
        <v>3.0798357519506268</v>
      </c>
      <c r="AG22" s="387">
        <f t="shared" si="9"/>
        <v>5.9484450667103008</v>
      </c>
      <c r="AH22" s="159">
        <f t="shared" si="10"/>
        <v>2.6768002800196351</v>
      </c>
      <c r="AI22" s="159">
        <f t="shared" si="11"/>
        <v>1.3359287547422201</v>
      </c>
      <c r="AJ22" s="387">
        <f t="shared" si="12"/>
        <v>4.6661922817670183</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7.5515972723153029</v>
      </c>
      <c r="AS22" s="159">
        <f t="shared" si="20"/>
        <v>1.7245411507308033</v>
      </c>
      <c r="AT22" s="159">
        <f t="shared" si="21"/>
        <v>3.4689689397240411</v>
      </c>
      <c r="AU22" s="159">
        <f t="shared" si="65"/>
        <v>0.86227057536540164</v>
      </c>
      <c r="AV22" s="387">
        <f t="shared" si="22"/>
        <v>1.2220175191393987</v>
      </c>
      <c r="AW22" s="387">
        <f t="shared" si="23"/>
        <v>2.5862804637870873</v>
      </c>
      <c r="AX22" s="387">
        <f t="shared" si="66"/>
        <v>0.61100875956969936</v>
      </c>
      <c r="AY22" s="387">
        <f t="shared" si="24"/>
        <v>7.9995733816899399</v>
      </c>
      <c r="AZ22" s="387">
        <f t="shared" si="25"/>
        <v>3.3562223933453326</v>
      </c>
      <c r="BA22" s="387">
        <f t="shared" si="26"/>
        <v>6.8021463388667129</v>
      </c>
      <c r="BB22" s="387">
        <f t="shared" si="67"/>
        <v>1.6781111966726663</v>
      </c>
      <c r="BC22" s="387">
        <f t="shared" si="27"/>
        <v>1.8815190374051058</v>
      </c>
      <c r="BD22" s="387">
        <f t="shared" si="28"/>
        <v>2.2500640034947659</v>
      </c>
      <c r="BE22" s="387">
        <f t="shared" si="29"/>
        <v>7.0476241492688372</v>
      </c>
      <c r="BF22" s="387">
        <f t="shared" si="30"/>
        <v>8.7337883307668029</v>
      </c>
      <c r="BG22" s="387">
        <f t="shared" si="31"/>
        <v>3.19703397943172</v>
      </c>
      <c r="BH22" s="387">
        <f t="shared" si="32"/>
        <v>3.1358650623418431</v>
      </c>
      <c r="BI22" s="387">
        <f t="shared" si="33"/>
        <v>1.7069451060994778</v>
      </c>
      <c r="BJ22" s="387">
        <f t="shared" si="34"/>
        <v>3.0478374584238672</v>
      </c>
      <c r="BK22" s="387">
        <f t="shared" si="35"/>
        <v>8.0071328133747866</v>
      </c>
      <c r="BL22" s="387">
        <f t="shared" si="36"/>
        <v>0.68981646029232124</v>
      </c>
      <c r="BM22" s="387">
        <f t="shared" si="37"/>
        <v>1.1638262087041893</v>
      </c>
      <c r="BN22" s="387">
        <f t="shared" si="38"/>
        <v>0.43966767884380487</v>
      </c>
      <c r="BO22" s="387">
        <f t="shared" si="39"/>
        <v>2.4398698814154316</v>
      </c>
      <c r="BP22" s="387">
        <f t="shared" si="40"/>
        <v>11.729691691075486</v>
      </c>
      <c r="BQ22" s="387">
        <f t="shared" si="41"/>
        <v>1.7908696565281419</v>
      </c>
      <c r="BR22" s="387">
        <f t="shared" si="42"/>
        <v>1.8362591292888317</v>
      </c>
      <c r="BS22" s="387">
        <f t="shared" si="43"/>
        <v>1.5776310829101232</v>
      </c>
      <c r="BT22" s="387">
        <f t="shared" si="44"/>
        <v>3.6398058886689229</v>
      </c>
      <c r="BU22" s="387">
        <f t="shared" si="45"/>
        <v>10.093276884690232</v>
      </c>
      <c r="BV22" s="387">
        <f t="shared" si="46"/>
        <v>1.6051498402955937</v>
      </c>
      <c r="BW22" s="387">
        <f t="shared" si="47"/>
        <v>1.8362591292888317</v>
      </c>
      <c r="BX22" s="387">
        <f t="shared" si="48"/>
        <v>1.5776310829101232</v>
      </c>
      <c r="BY22" s="387">
        <f t="shared" si="49"/>
        <v>5.0477308038463518</v>
      </c>
      <c r="BZ22" s="387">
        <f t="shared" si="50"/>
        <v>8.1311425377236084</v>
      </c>
      <c r="CA22" s="387">
        <f t="shared" si="51"/>
        <v>1.963323771601222</v>
      </c>
      <c r="CB22" s="387">
        <f t="shared" si="52"/>
        <v>3.2478267929661158</v>
      </c>
      <c r="CC22" s="387">
        <f t="shared" si="53"/>
        <v>5.8371418040826821</v>
      </c>
      <c r="CD22" s="387">
        <f t="shared" si="54"/>
        <v>13.528943005560652</v>
      </c>
      <c r="CE22" s="387">
        <f t="shared" si="68"/>
        <v>5.8371418040826821</v>
      </c>
      <c r="CF22" s="387">
        <f t="shared" si="55"/>
        <v>6.3285718223483887</v>
      </c>
      <c r="CG22" s="387">
        <f t="shared" si="56"/>
        <v>15.745244887311307</v>
      </c>
      <c r="CH22" s="387">
        <f t="shared" si="69"/>
        <v>6.3285718223483887</v>
      </c>
      <c r="CI22" s="387">
        <f t="shared" si="70"/>
        <v>1.999893345422485</v>
      </c>
    </row>
    <row r="23" spans="1:87" x14ac:dyDescent="0.25">
      <c r="I23" s="166"/>
      <c r="Q23" s="163"/>
      <c r="R23" s="163"/>
      <c r="S23" s="163"/>
      <c r="T23" s="163"/>
      <c r="U23" s="163"/>
      <c r="V23" s="159"/>
      <c r="W23" s="159"/>
      <c r="X23" s="159"/>
      <c r="Y23" s="159"/>
      <c r="Z23" s="159"/>
      <c r="AA23" s="159"/>
      <c r="AB23" s="159"/>
      <c r="AC23" s="159"/>
      <c r="AD23" s="159"/>
      <c r="AE23" s="159"/>
      <c r="AF23" s="159"/>
      <c r="AG23" s="387"/>
      <c r="AH23" s="159"/>
      <c r="AI23" s="159"/>
      <c r="AJ23" s="38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317">
        <v>42857</v>
      </c>
      <c r="G24" s="530"/>
      <c r="H24" s="531"/>
      <c r="I24" s="37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87" t="e">
        <f t="shared" ref="AG24:AG34" si="158">((K24+G24+(LOG(H24)*4/3))*0.92)</f>
        <v>#NUM!</v>
      </c>
      <c r="AH24" s="159" t="e">
        <f t="shared" ref="AH24:AH34" si="159">(K24+G24+(LOG(H24)*4/3))*0.414</f>
        <v>#NUM!</v>
      </c>
      <c r="AI24" s="159" t="e">
        <f t="shared" ref="AI24:AI34" si="160">((L24+G24+(LOG(H24)*4/3))*0.167)</f>
        <v>#NUM!</v>
      </c>
      <c r="AJ24" s="38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317">
        <v>42857</v>
      </c>
      <c r="G25" s="530"/>
      <c r="H25" s="531"/>
      <c r="I25" s="37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87" t="e">
        <f t="shared" si="158"/>
        <v>#NUM!</v>
      </c>
      <c r="AH25" s="159" t="e">
        <f t="shared" si="159"/>
        <v>#NUM!</v>
      </c>
      <c r="AI25" s="159" t="e">
        <f t="shared" si="160"/>
        <v>#NUM!</v>
      </c>
      <c r="AJ25" s="38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317">
        <v>42857</v>
      </c>
      <c r="G26" s="530"/>
      <c r="H26" s="531"/>
      <c r="I26" s="37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87" t="e">
        <f t="shared" si="158"/>
        <v>#NUM!</v>
      </c>
      <c r="AH26" s="159" t="e">
        <f t="shared" si="159"/>
        <v>#NUM!</v>
      </c>
      <c r="AI26" s="159" t="e">
        <f t="shared" si="160"/>
        <v>#NUM!</v>
      </c>
      <c r="AJ26" s="38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317">
        <v>42857</v>
      </c>
      <c r="G27" s="530"/>
      <c r="H27" s="531"/>
      <c r="I27" s="37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87" t="e">
        <f t="shared" si="158"/>
        <v>#NUM!</v>
      </c>
      <c r="AH27" s="159" t="e">
        <f t="shared" si="159"/>
        <v>#NUM!</v>
      </c>
      <c r="AI27" s="159" t="e">
        <f t="shared" si="160"/>
        <v>#NUM!</v>
      </c>
      <c r="AJ27" s="38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317">
        <v>42857</v>
      </c>
      <c r="G28" s="530"/>
      <c r="H28" s="531"/>
      <c r="I28" s="37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87" t="e">
        <f t="shared" si="158"/>
        <v>#NUM!</v>
      </c>
      <c r="AH28" s="159" t="e">
        <f t="shared" si="159"/>
        <v>#NUM!</v>
      </c>
      <c r="AI28" s="159" t="e">
        <f t="shared" si="160"/>
        <v>#NUM!</v>
      </c>
      <c r="AJ28" s="38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317">
        <v>42857</v>
      </c>
      <c r="G29" s="530"/>
      <c r="H29" s="531"/>
      <c r="I29" s="37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87" t="e">
        <f t="shared" si="158"/>
        <v>#NUM!</v>
      </c>
      <c r="AH29" s="159" t="e">
        <f t="shared" si="159"/>
        <v>#NUM!</v>
      </c>
      <c r="AI29" s="159" t="e">
        <f t="shared" si="160"/>
        <v>#NUM!</v>
      </c>
      <c r="AJ29" s="38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317">
        <v>42857</v>
      </c>
      <c r="G30" s="530"/>
      <c r="H30" s="531"/>
      <c r="I30" s="37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87" t="e">
        <f t="shared" si="158"/>
        <v>#NUM!</v>
      </c>
      <c r="AH30" s="159" t="e">
        <f t="shared" si="159"/>
        <v>#NUM!</v>
      </c>
      <c r="AI30" s="159" t="e">
        <f t="shared" si="160"/>
        <v>#NUM!</v>
      </c>
      <c r="AJ30" s="38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317">
        <v>42857</v>
      </c>
      <c r="G31" s="530"/>
      <c r="H31" s="531"/>
      <c r="I31" s="37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87" t="e">
        <f t="shared" si="158"/>
        <v>#NUM!</v>
      </c>
      <c r="AH31" s="159" t="e">
        <f t="shared" si="159"/>
        <v>#NUM!</v>
      </c>
      <c r="AI31" s="159" t="e">
        <f t="shared" si="160"/>
        <v>#NUM!</v>
      </c>
      <c r="AJ31" s="38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317">
        <v>42857</v>
      </c>
      <c r="G32" s="530"/>
      <c r="H32" s="531"/>
      <c r="I32" s="37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87" t="e">
        <f t="shared" si="158"/>
        <v>#NUM!</v>
      </c>
      <c r="AH32" s="159" t="e">
        <f t="shared" si="159"/>
        <v>#NUM!</v>
      </c>
      <c r="AI32" s="159" t="e">
        <f t="shared" si="160"/>
        <v>#NUM!</v>
      </c>
      <c r="AJ32" s="38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317">
        <v>42857</v>
      </c>
      <c r="G33" s="530"/>
      <c r="H33" s="531"/>
      <c r="I33" s="37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87" t="e">
        <f t="shared" si="158"/>
        <v>#NUM!</v>
      </c>
      <c r="AH33" s="159" t="e">
        <f t="shared" si="159"/>
        <v>#NUM!</v>
      </c>
      <c r="AI33" s="159" t="e">
        <f t="shared" si="160"/>
        <v>#NUM!</v>
      </c>
      <c r="AJ33" s="38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317">
        <v>42857</v>
      </c>
      <c r="G34" s="530"/>
      <c r="H34" s="531"/>
      <c r="I34" s="37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87" t="e">
        <f t="shared" si="158"/>
        <v>#NUM!</v>
      </c>
      <c r="AH34" s="159" t="e">
        <f t="shared" si="159"/>
        <v>#NUM!</v>
      </c>
      <c r="AI34" s="159" t="e">
        <f t="shared" si="160"/>
        <v>#NUM!</v>
      </c>
      <c r="AJ34" s="38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23"/>
      <c r="T1" s="723"/>
      <c r="U1" s="723"/>
      <c r="V1" s="179"/>
      <c r="W1" s="723" t="s">
        <v>623</v>
      </c>
      <c r="X1" s="723"/>
      <c r="Z1" s="446">
        <f>S2+T2+U2+V2+W2+X2+Z2</f>
        <v>1</v>
      </c>
      <c r="AQ1" s="723" t="s">
        <v>737</v>
      </c>
      <c r="AR1" s="723"/>
      <c r="AS1" s="723"/>
      <c r="AT1" s="723"/>
      <c r="AU1" s="723"/>
      <c r="AV1" s="723"/>
      <c r="AW1" s="723"/>
      <c r="AX1" s="723"/>
      <c r="AY1" s="723"/>
      <c r="AZ1" s="723"/>
      <c r="BA1" s="723"/>
      <c r="BB1" s="723"/>
      <c r="BC1" s="723"/>
      <c r="BS1" s="471" t="s">
        <v>739</v>
      </c>
      <c r="BT1" s="471" t="s">
        <v>178</v>
      </c>
      <c r="BU1" s="471" t="s">
        <v>740</v>
      </c>
      <c r="BV1" s="472" t="s">
        <v>741</v>
      </c>
      <c r="BW1" s="470" t="s">
        <v>742</v>
      </c>
      <c r="BX1" s="470" t="s">
        <v>743</v>
      </c>
    </row>
    <row r="2" spans="1:76" s="267" customFormat="1" ht="18.75" x14ac:dyDescent="0.3">
      <c r="C2" s="268"/>
      <c r="D2" s="453">
        <f ca="1">TODAY()</f>
        <v>43069</v>
      </c>
      <c r="E2" s="713">
        <v>41471</v>
      </c>
      <c r="F2" s="713"/>
      <c r="G2" s="713"/>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17.064444444444444</v>
      </c>
      <c r="BQ2" s="469">
        <f t="shared" si="1"/>
        <v>0</v>
      </c>
      <c r="BS2" s="275" t="s">
        <v>744</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863</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24" t="s">
        <v>859</v>
      </c>
      <c r="AR3" s="725"/>
      <c r="AS3" s="361" t="s">
        <v>541</v>
      </c>
      <c r="AT3" s="361" t="s">
        <v>542</v>
      </c>
      <c r="AU3" s="361" t="s">
        <v>582</v>
      </c>
      <c r="AV3" s="361" t="s">
        <v>543</v>
      </c>
      <c r="AW3" s="361" t="s">
        <v>544</v>
      </c>
      <c r="AX3" s="361" t="s">
        <v>545</v>
      </c>
      <c r="AY3" s="361" t="s">
        <v>546</v>
      </c>
      <c r="AZ3" s="361" t="s">
        <v>874</v>
      </c>
      <c r="BA3" s="361" t="s">
        <v>875</v>
      </c>
      <c r="BB3" s="361" t="s">
        <v>699</v>
      </c>
      <c r="BC3" s="361" t="s">
        <v>738</v>
      </c>
      <c r="BE3" s="724" t="s">
        <v>861</v>
      </c>
      <c r="BF3" s="725"/>
      <c r="BG3" s="361" t="s">
        <v>541</v>
      </c>
      <c r="BH3" s="361" t="s">
        <v>542</v>
      </c>
      <c r="BI3" s="361" t="s">
        <v>582</v>
      </c>
      <c r="BJ3" s="361" t="s">
        <v>543</v>
      </c>
      <c r="BK3" s="361" t="s">
        <v>544</v>
      </c>
      <c r="BL3" s="361" t="s">
        <v>545</v>
      </c>
      <c r="BM3" s="361" t="s">
        <v>546</v>
      </c>
      <c r="BN3" s="361" t="s">
        <v>874</v>
      </c>
      <c r="BO3" s="361" t="s">
        <v>875</v>
      </c>
      <c r="BP3" s="361" t="s">
        <v>699</v>
      </c>
      <c r="BQ3" s="361" t="s">
        <v>738</v>
      </c>
      <c r="BS3" s="275" t="s">
        <v>745</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3.0803571428571428</v>
      </c>
      <c r="D4" s="321" t="str">
        <f>PLANTILLA!D5</f>
        <v>D. Gehmacher</v>
      </c>
      <c r="E4" s="419">
        <f>PLANTILLA!E5</f>
        <v>29</v>
      </c>
      <c r="F4" s="427">
        <f ca="1">PLANTILLA!F5</f>
        <v>103</v>
      </c>
      <c r="G4" s="420"/>
      <c r="H4" s="435">
        <v>7</v>
      </c>
      <c r="I4" s="335">
        <f>PLANTILLA!I5</f>
        <v>18</v>
      </c>
      <c r="J4" s="519">
        <f>PLANTILLA!X5</f>
        <v>16.666666666666668</v>
      </c>
      <c r="K4" s="519">
        <f>PLANTILLA!Y5</f>
        <v>11.832727272727276</v>
      </c>
      <c r="L4" s="519">
        <f>PLANTILLA!Z5</f>
        <v>2.0299999999999994</v>
      </c>
      <c r="M4" s="519">
        <f>PLANTILLA!AA5</f>
        <v>2.1199999999999992</v>
      </c>
      <c r="N4" s="519">
        <f>PLANTILLA!AB5</f>
        <v>1.0400000000000003</v>
      </c>
      <c r="O4" s="519">
        <f>PLANTILLA!AC5</f>
        <v>0.14055555555555557</v>
      </c>
      <c r="P4" s="519">
        <f>PLANTILLA!AD5</f>
        <v>17.849999999999998</v>
      </c>
      <c r="Q4" s="443">
        <f t="shared" ref="Q4:Q23" si="4">E4</f>
        <v>29</v>
      </c>
      <c r="R4" s="444">
        <f t="shared" ref="R4:R23" ca="1" si="5">F4+7</f>
        <v>110</v>
      </c>
      <c r="S4" s="193"/>
      <c r="T4" s="193"/>
      <c r="U4" s="193"/>
      <c r="V4" s="193"/>
      <c r="W4" s="193"/>
      <c r="X4" s="193"/>
      <c r="Y4" s="193"/>
      <c r="Z4" s="193"/>
      <c r="AA4" s="323">
        <f t="shared" ref="AA4:AA23" si="6">I4+$AA$2</f>
        <v>18</v>
      </c>
      <c r="AB4" s="539">
        <f>J4+(S4*S$2/15)</f>
        <v>16.666666666666668</v>
      </c>
      <c r="AC4" s="539">
        <f>K4+(T$2/11)</f>
        <v>11.832727272727276</v>
      </c>
      <c r="AD4" s="539">
        <f>L4+(U$2/18)</f>
        <v>2.0299999999999994</v>
      </c>
      <c r="AE4" s="539">
        <f>M4+(V$2/12)</f>
        <v>2.1199999999999992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746</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-1</v>
      </c>
      <c r="D5" s="418" t="s">
        <v>307</v>
      </c>
      <c r="E5" s="419">
        <f>PLANTILLA!E6</f>
        <v>34</v>
      </c>
      <c r="F5" s="419">
        <f ca="1">PLANTILLA!F6</f>
        <v>0</v>
      </c>
      <c r="G5" s="420" t="s">
        <v>595</v>
      </c>
      <c r="H5" s="401">
        <v>4</v>
      </c>
      <c r="I5" s="335">
        <f>PLANTILLA!I6</f>
        <v>7.8</v>
      </c>
      <c r="J5" s="519">
        <f>PLANTILLA!X6</f>
        <v>10.3</v>
      </c>
      <c r="K5" s="519">
        <f>PLANTILLA!Y6</f>
        <v>10.794999999999998</v>
      </c>
      <c r="L5" s="519">
        <f>PLANTILLA!Z6</f>
        <v>4.620000000000001</v>
      </c>
      <c r="M5" s="519">
        <f>PLANTILLA!AA6</f>
        <v>4.95</v>
      </c>
      <c r="N5" s="519">
        <f>PLANTILLA!AB6</f>
        <v>6.5444444444444434</v>
      </c>
      <c r="O5" s="519">
        <f>PLANTILLA!AC6</f>
        <v>3.99</v>
      </c>
      <c r="P5" s="519">
        <f>PLANTILLA!AD6</f>
        <v>15.778888888888888</v>
      </c>
      <c r="Q5" s="443">
        <f t="shared" si="4"/>
        <v>34</v>
      </c>
      <c r="R5" s="444">
        <f t="shared" ca="1" si="5"/>
        <v>7</v>
      </c>
      <c r="S5" s="193"/>
      <c r="T5" s="193"/>
      <c r="U5" s="193"/>
      <c r="V5" s="193"/>
      <c r="W5" s="193"/>
      <c r="X5" s="193"/>
      <c r="Y5" s="193"/>
      <c r="Z5" s="193"/>
      <c r="AA5" s="323">
        <f t="shared" si="6"/>
        <v>7.8</v>
      </c>
      <c r="AB5" s="539">
        <f>J5+(S5*S$2/6)</f>
        <v>10.3</v>
      </c>
      <c r="AC5" s="539">
        <f>K5+(T$2/45)</f>
        <v>10.794999999999998</v>
      </c>
      <c r="AD5" s="539">
        <f>L5+(U$2/34)</f>
        <v>4.620000000000001</v>
      </c>
      <c r="AE5" s="539">
        <f>M5+(V$2/22)</f>
        <v>4.95</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703</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703</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747</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735</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787</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748</v>
      </c>
      <c r="BT6" s="473">
        <v>1</v>
      </c>
      <c r="BU6" s="474">
        <v>0.59299999999999997</v>
      </c>
      <c r="BV6" s="475">
        <v>0.19</v>
      </c>
      <c r="BW6" s="363">
        <f t="shared" si="2"/>
        <v>1.9</v>
      </c>
      <c r="BX6" s="363">
        <f t="shared" si="3"/>
        <v>2.85</v>
      </c>
    </row>
    <row r="7" spans="1:76" s="288" customFormat="1" x14ac:dyDescent="0.25">
      <c r="A7" s="332" t="s">
        <v>716</v>
      </c>
      <c r="B7" s="285" t="s">
        <v>2</v>
      </c>
      <c r="C7" s="286">
        <f t="shared" ca="1" si="11"/>
        <v>1.5714285714285714</v>
      </c>
      <c r="D7" s="321" t="s">
        <v>315</v>
      </c>
      <c r="E7" s="419">
        <f>PLANTILLA!E8</f>
        <v>31</v>
      </c>
      <c r="F7" s="419">
        <f ca="1">PLANTILLA!F8</f>
        <v>48</v>
      </c>
      <c r="G7" s="420" t="s">
        <v>595</v>
      </c>
      <c r="H7" s="426">
        <v>5</v>
      </c>
      <c r="I7" s="335">
        <f>PLANTILLA!I8</f>
        <v>7.5</v>
      </c>
      <c r="J7" s="519">
        <f>PLANTILLA!X8</f>
        <v>0</v>
      </c>
      <c r="K7" s="519">
        <f>PLANTILLA!Y8</f>
        <v>11</v>
      </c>
      <c r="L7" s="519">
        <f>PLANTILLA!Z8</f>
        <v>6.1794444444444414</v>
      </c>
      <c r="M7" s="519">
        <f>PLANTILLA!AA8</f>
        <v>5.98</v>
      </c>
      <c r="N7" s="519">
        <f>PLANTILLA!AB8</f>
        <v>7.7227777777777789</v>
      </c>
      <c r="O7" s="519">
        <f>PLANTILLA!AC8</f>
        <v>4.383333333333332</v>
      </c>
      <c r="P7" s="519">
        <f>PLANTILLA!AD8</f>
        <v>15.349999999999998</v>
      </c>
      <c r="Q7" s="443">
        <f t="shared" si="4"/>
        <v>31</v>
      </c>
      <c r="R7" s="444">
        <f t="shared" ca="1" si="5"/>
        <v>55</v>
      </c>
      <c r="S7" s="193"/>
      <c r="T7" s="193"/>
      <c r="U7" s="193"/>
      <c r="V7" s="193"/>
      <c r="W7" s="193"/>
      <c r="X7" s="193"/>
      <c r="Y7" s="193"/>
      <c r="Z7" s="193"/>
      <c r="AA7" s="323">
        <f t="shared" si="6"/>
        <v>7.5</v>
      </c>
      <c r="AB7" s="539">
        <f t="shared" si="20"/>
        <v>0</v>
      </c>
      <c r="AC7" s="539">
        <f>K7+(T$2/11)</f>
        <v>11</v>
      </c>
      <c r="AD7" s="539">
        <f>L7+(U$2/6.5)</f>
        <v>6.1794444444444414</v>
      </c>
      <c r="AE7" s="539">
        <f>M7+(V$2/62)</f>
        <v>5.98</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703</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703</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4.5962499999999995</v>
      </c>
      <c r="BQ7" s="467">
        <f t="shared" si="23"/>
        <v>0</v>
      </c>
    </row>
    <row r="8" spans="1:76" s="289" customFormat="1" x14ac:dyDescent="0.25">
      <c r="A8" s="416" t="s">
        <v>447</v>
      </c>
      <c r="B8" s="416" t="s">
        <v>2</v>
      </c>
      <c r="C8" s="417">
        <f t="shared" ca="1" si="11"/>
        <v>1.9821428571428572</v>
      </c>
      <c r="D8" s="418" t="s">
        <v>309</v>
      </c>
      <c r="E8" s="419">
        <f>PLANTILLA!E9</f>
        <v>31</v>
      </c>
      <c r="F8" s="419">
        <f ca="1">PLANTILLA!F9</f>
        <v>2</v>
      </c>
      <c r="G8" s="420"/>
      <c r="H8" s="426">
        <v>5</v>
      </c>
      <c r="I8" s="335">
        <f>PLANTILLA!I9</f>
        <v>12.1</v>
      </c>
      <c r="J8" s="519">
        <f>PLANTILLA!X9</f>
        <v>0</v>
      </c>
      <c r="K8" s="519">
        <f>PLANTILLA!Y9</f>
        <v>12.060000000000004</v>
      </c>
      <c r="L8" s="519">
        <f>PLANTILLA!Z9</f>
        <v>13.076555555555554</v>
      </c>
      <c r="M8" s="519">
        <f>PLANTILLA!AA9</f>
        <v>9.7100000000000062</v>
      </c>
      <c r="N8" s="519">
        <f>PLANTILLA!AB9</f>
        <v>9.6</v>
      </c>
      <c r="O8" s="519">
        <f>PLANTILLA!AC9</f>
        <v>3.6816666666666658</v>
      </c>
      <c r="P8" s="519">
        <f>PLANTILLA!AD9</f>
        <v>16.627777777777773</v>
      </c>
      <c r="Q8" s="443">
        <f t="shared" si="4"/>
        <v>31</v>
      </c>
      <c r="R8" s="444">
        <f t="shared" ca="1" si="5"/>
        <v>9</v>
      </c>
      <c r="S8" s="193"/>
      <c r="T8" s="193"/>
      <c r="U8" s="193"/>
      <c r="V8" s="193"/>
      <c r="W8" s="193"/>
      <c r="X8" s="193"/>
      <c r="Y8" s="193"/>
      <c r="Z8" s="193"/>
      <c r="AA8" s="323">
        <f t="shared" si="6"/>
        <v>12.1</v>
      </c>
      <c r="AB8" s="539">
        <f t="shared" si="20"/>
        <v>0</v>
      </c>
      <c r="AC8" s="539">
        <f>K8+(T$2/11)</f>
        <v>12.060000000000004</v>
      </c>
      <c r="AD8" s="539">
        <f>L8+(U$2/29)</f>
        <v>13.076555555555554</v>
      </c>
      <c r="AE8" s="539">
        <f>M8+(V$2/13)</f>
        <v>9.7100000000000062</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788</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789</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2.1160714285714284</v>
      </c>
      <c r="D9" s="321" t="s">
        <v>313</v>
      </c>
      <c r="E9" s="419">
        <f>PLANTILLA!E10</f>
        <v>30</v>
      </c>
      <c r="F9" s="419">
        <f ca="1">PLANTILLA!F10</f>
        <v>99</v>
      </c>
      <c r="G9" s="420"/>
      <c r="H9" s="401">
        <v>4</v>
      </c>
      <c r="I9" s="335">
        <f>PLANTILLA!I10</f>
        <v>9.1999999999999993</v>
      </c>
      <c r="J9" s="519">
        <f>PLANTILLA!X10</f>
        <v>0</v>
      </c>
      <c r="K9" s="519">
        <f>PLANTILLA!Y10</f>
        <v>11.649999999999997</v>
      </c>
      <c r="L9" s="519">
        <f>PLANTILLA!Z10</f>
        <v>6.6900000000000022</v>
      </c>
      <c r="M9" s="519">
        <f>PLANTILLA!AA10</f>
        <v>7.3600000000000012</v>
      </c>
      <c r="N9" s="519">
        <f>PLANTILLA!AB10</f>
        <v>9.0199999999999978</v>
      </c>
      <c r="O9" s="519">
        <f>PLANTILLA!AC10</f>
        <v>4.6199999999999966</v>
      </c>
      <c r="P9" s="519">
        <f>PLANTILLA!AD10</f>
        <v>15.6</v>
      </c>
      <c r="Q9" s="443">
        <f t="shared" si="4"/>
        <v>30</v>
      </c>
      <c r="R9" s="444">
        <f t="shared" ca="1" si="5"/>
        <v>106</v>
      </c>
      <c r="S9" s="193"/>
      <c r="T9" s="193"/>
      <c r="U9" s="193"/>
      <c r="V9" s="193"/>
      <c r="W9" s="193"/>
      <c r="X9" s="193"/>
      <c r="Y9" s="193"/>
      <c r="Z9" s="193"/>
      <c r="AA9" s="323">
        <f t="shared" si="6"/>
        <v>9.1999999999999993</v>
      </c>
      <c r="AB9" s="539">
        <f t="shared" si="20"/>
        <v>0</v>
      </c>
      <c r="AC9" s="539">
        <f>K9+(T$2/10)</f>
        <v>11.649999999999997</v>
      </c>
      <c r="AD9" s="539">
        <f>L9+(U$2/31)</f>
        <v>6.6900000000000022</v>
      </c>
      <c r="AE9" s="539">
        <f>M9+(V$2/6)</f>
        <v>7.3600000000000012</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702</v>
      </c>
      <c r="B10" s="285" t="s">
        <v>2</v>
      </c>
      <c r="C10" s="286">
        <f t="shared" ca="1" si="11"/>
        <v>5.9107142857142856</v>
      </c>
      <c r="D10" s="321" t="s">
        <v>701</v>
      </c>
      <c r="E10" s="419">
        <f>PLANTILLA!E11</f>
        <v>27</v>
      </c>
      <c r="F10" s="419">
        <f ca="1">PLANTILLA!F11</f>
        <v>10</v>
      </c>
      <c r="G10" s="420"/>
      <c r="H10" s="426">
        <v>5</v>
      </c>
      <c r="I10" s="335">
        <f>PLANTILLA!I11</f>
        <v>4.9000000000000004</v>
      </c>
      <c r="J10" s="519">
        <f>PLANTILLA!X11</f>
        <v>0</v>
      </c>
      <c r="K10" s="519">
        <f>PLANTILLA!Y11</f>
        <v>9.5796666666666663</v>
      </c>
      <c r="L10" s="519">
        <f>PLANTILLA!Z11</f>
        <v>7.7307222222222229</v>
      </c>
      <c r="M10" s="519">
        <f>PLANTILLA!AA11</f>
        <v>6.129999999999999</v>
      </c>
      <c r="N10" s="519">
        <f>PLANTILLA!AB11</f>
        <v>8.8633333333333315</v>
      </c>
      <c r="O10" s="519">
        <f>PLANTILLA!AC11</f>
        <v>3.2566666666666673</v>
      </c>
      <c r="P10" s="519">
        <f>PLANTILLA!AD11</f>
        <v>13.238888888888889</v>
      </c>
      <c r="Q10" s="443">
        <f t="shared" si="4"/>
        <v>27</v>
      </c>
      <c r="R10" s="444">
        <f t="shared" ca="1" si="5"/>
        <v>17</v>
      </c>
      <c r="S10" s="193"/>
      <c r="T10" s="193"/>
      <c r="U10" s="193"/>
      <c r="V10" s="193"/>
      <c r="W10" s="193"/>
      <c r="X10" s="193"/>
      <c r="Y10" s="193"/>
      <c r="Z10" s="193"/>
      <c r="AA10" s="323">
        <f t="shared" si="6"/>
        <v>4.9000000000000004</v>
      </c>
      <c r="AB10" s="539">
        <f t="shared" si="20"/>
        <v>0</v>
      </c>
      <c r="AC10" s="539">
        <f>K10+(T$2/25)</f>
        <v>9.5796666666666663</v>
      </c>
      <c r="AD10" s="539">
        <f>L10+(U$2/37)</f>
        <v>7.7307222222222229</v>
      </c>
      <c r="AE10" s="539">
        <f>M10+(V$2/20)</f>
        <v>6.129999999999999</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790</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787</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2.3214285714285716</v>
      </c>
      <c r="D11" s="418" t="s">
        <v>310</v>
      </c>
      <c r="E11" s="419">
        <f>PLANTILLA!E12</f>
        <v>30</v>
      </c>
      <c r="F11" s="419">
        <f ca="1">PLANTILLA!F12</f>
        <v>76</v>
      </c>
      <c r="G11" s="420" t="s">
        <v>311</v>
      </c>
      <c r="H11" s="401">
        <v>1</v>
      </c>
      <c r="I11" s="335">
        <f>PLANTILLA!I12</f>
        <v>12.2</v>
      </c>
      <c r="J11" s="519">
        <f>PLANTILLA!X12</f>
        <v>0</v>
      </c>
      <c r="K11" s="519">
        <f>PLANTILLA!Y12</f>
        <v>11.95</v>
      </c>
      <c r="L11" s="519">
        <f>PLANTILLA!Z12</f>
        <v>12.444111111111114</v>
      </c>
      <c r="M11" s="519">
        <f>PLANTILLA!AA12</f>
        <v>13.05</v>
      </c>
      <c r="N11" s="519">
        <f>PLANTILLA!AB12</f>
        <v>10.91</v>
      </c>
      <c r="O11" s="519">
        <f>PLANTILLA!AC12</f>
        <v>7.7700000000000005</v>
      </c>
      <c r="P11" s="519">
        <f>PLANTILLA!AD12</f>
        <v>17.13</v>
      </c>
      <c r="Q11" s="443">
        <f t="shared" si="4"/>
        <v>30</v>
      </c>
      <c r="R11" s="444">
        <f t="shared" ca="1" si="5"/>
        <v>83</v>
      </c>
      <c r="S11" s="193"/>
      <c r="T11" s="193"/>
      <c r="U11" s="193"/>
      <c r="V11" s="193"/>
      <c r="W11" s="193"/>
      <c r="X11" s="193"/>
      <c r="Y11" s="193"/>
      <c r="Z11" s="193"/>
      <c r="AA11" s="323">
        <f t="shared" si="6"/>
        <v>12.2</v>
      </c>
      <c r="AB11" s="539">
        <f t="shared" si="20"/>
        <v>0</v>
      </c>
      <c r="AC11" s="539">
        <f>K11+(T$2/10)</f>
        <v>11.95</v>
      </c>
      <c r="AD11" s="539">
        <f>L11+(U$2/18)</f>
        <v>12.444111111111114</v>
      </c>
      <c r="AE11" s="539">
        <f>M11+(V$2/15)</f>
        <v>13.05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2.7946428571428572</v>
      </c>
      <c r="D12" s="418" t="s">
        <v>338</v>
      </c>
      <c r="E12" s="419">
        <f>PLANTILLA!E13</f>
        <v>30</v>
      </c>
      <c r="F12" s="419">
        <f ca="1">PLANTILLA!F13</f>
        <v>23</v>
      </c>
      <c r="G12" s="420" t="s">
        <v>308</v>
      </c>
      <c r="H12" s="401">
        <v>3</v>
      </c>
      <c r="I12" s="335">
        <f>PLANTILLA!I13</f>
        <v>10.199999999999999</v>
      </c>
      <c r="J12" s="519">
        <f>PLANTILLA!X13</f>
        <v>0</v>
      </c>
      <c r="K12" s="519">
        <f>PLANTILLA!Y13</f>
        <v>7.11</v>
      </c>
      <c r="L12" s="519">
        <f>PLANTILLA!Z13</f>
        <v>10.350000000000003</v>
      </c>
      <c r="M12" s="519">
        <f>PLANTILLA!AA13</f>
        <v>13.305</v>
      </c>
      <c r="N12" s="519">
        <f>PLANTILLA!AB13</f>
        <v>10.359999999999998</v>
      </c>
      <c r="O12" s="519">
        <f>PLANTILLA!AC13</f>
        <v>5.4050000000000002</v>
      </c>
      <c r="P12" s="519">
        <f>PLANTILLA!AD13</f>
        <v>17.300000000000004</v>
      </c>
      <c r="Q12" s="443">
        <f t="shared" si="4"/>
        <v>30</v>
      </c>
      <c r="R12" s="444">
        <f t="shared" ca="1" si="5"/>
        <v>30</v>
      </c>
      <c r="S12" s="193"/>
      <c r="T12" s="193"/>
      <c r="U12" s="193"/>
      <c r="V12" s="193"/>
      <c r="W12" s="193"/>
      <c r="X12" s="193"/>
      <c r="Y12" s="193"/>
      <c r="Z12" s="193"/>
      <c r="AA12" s="323">
        <f t="shared" si="6"/>
        <v>10.199999999999999</v>
      </c>
      <c r="AB12" s="539">
        <f t="shared" si="20"/>
        <v>0</v>
      </c>
      <c r="AC12" s="539">
        <f>K12+(T$2/7)</f>
        <v>7.11</v>
      </c>
      <c r="AD12" s="539">
        <f>L12+(U$2/7)</f>
        <v>10.350000000000003</v>
      </c>
      <c r="AE12" s="539">
        <f>M12+(V$2/8)</f>
        <v>13.305</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789</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789</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5.6607142857142856</v>
      </c>
      <c r="D13" s="418" t="s">
        <v>600</v>
      </c>
      <c r="E13" s="419">
        <f>PLANTILLA!E14</f>
        <v>27</v>
      </c>
      <c r="F13" s="419">
        <f ca="1">PLANTILLA!F14</f>
        <v>38</v>
      </c>
      <c r="G13" s="420" t="s">
        <v>595</v>
      </c>
      <c r="H13" s="401">
        <v>3</v>
      </c>
      <c r="I13" s="335">
        <f>PLANTILLA!I14</f>
        <v>8.6</v>
      </c>
      <c r="J13" s="519">
        <f>PLANTILLA!X14</f>
        <v>0</v>
      </c>
      <c r="K13" s="519">
        <f>PLANTILLA!Y14</f>
        <v>8.1199999999999992</v>
      </c>
      <c r="L13" s="519">
        <f>PLANTILLA!Z14</f>
        <v>12.008412698412698</v>
      </c>
      <c r="M13" s="519">
        <f>PLANTILLA!AA14</f>
        <v>12.13</v>
      </c>
      <c r="N13" s="519">
        <f>PLANTILLA!AB14</f>
        <v>10.24</v>
      </c>
      <c r="O13" s="519">
        <f>PLANTILLA!AC14</f>
        <v>7.4766666666666666</v>
      </c>
      <c r="P13" s="519">
        <f>PLANTILLA!AD14</f>
        <v>15.270000000000001</v>
      </c>
      <c r="Q13" s="443">
        <f t="shared" si="4"/>
        <v>27</v>
      </c>
      <c r="R13" s="444">
        <f t="shared" ca="1" si="5"/>
        <v>45</v>
      </c>
      <c r="S13" s="193"/>
      <c r="T13" s="193"/>
      <c r="U13" s="193"/>
      <c r="V13" s="193"/>
      <c r="W13" s="193"/>
      <c r="X13" s="193"/>
      <c r="Y13" s="193"/>
      <c r="Z13" s="193"/>
      <c r="AA13" s="323">
        <f t="shared" si="6"/>
        <v>8.6</v>
      </c>
      <c r="AB13" s="539">
        <f t="shared" si="20"/>
        <v>0</v>
      </c>
      <c r="AC13" s="539">
        <f>K13+(T$2/6.5)</f>
        <v>8.1199999999999992</v>
      </c>
      <c r="AD13" s="539">
        <f>L13+(U$2/8)</f>
        <v>12.008412698412698</v>
      </c>
      <c r="AE13" s="539">
        <f>M13+(V$2/6)</f>
        <v>12.13</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786</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3.6875</v>
      </c>
      <c r="D14" s="321" t="s">
        <v>455</v>
      </c>
      <c r="E14" s="419">
        <f>PLANTILLA!E15</f>
        <v>29</v>
      </c>
      <c r="F14" s="419">
        <f ca="1">PLANTILLA!F15</f>
        <v>35</v>
      </c>
      <c r="G14" s="420" t="s">
        <v>308</v>
      </c>
      <c r="H14" s="401">
        <v>4</v>
      </c>
      <c r="I14" s="335">
        <f>PLANTILLA!I15</f>
        <v>10.4</v>
      </c>
      <c r="J14" s="519">
        <f>PLANTILLA!X15</f>
        <v>0</v>
      </c>
      <c r="K14" s="519">
        <f>PLANTILLA!Y15</f>
        <v>9.1936666666666653</v>
      </c>
      <c r="L14" s="519">
        <f>PLANTILLA!Z15</f>
        <v>13.599999999999998</v>
      </c>
      <c r="M14" s="519">
        <f>PLANTILLA!AA15</f>
        <v>12.725000000000001</v>
      </c>
      <c r="N14" s="519">
        <f>PLANTILLA!AB15</f>
        <v>9.6733333333333356</v>
      </c>
      <c r="O14" s="519">
        <f>PLANTILLA!AC15</f>
        <v>5.0296666666666656</v>
      </c>
      <c r="P14" s="519">
        <f>PLANTILLA!AD15</f>
        <v>15.2</v>
      </c>
      <c r="Q14" s="443">
        <f t="shared" si="4"/>
        <v>29</v>
      </c>
      <c r="R14" s="444">
        <f t="shared" ca="1" si="5"/>
        <v>42</v>
      </c>
      <c r="S14" s="193"/>
      <c r="T14" s="193"/>
      <c r="U14" s="193"/>
      <c r="V14" s="193"/>
      <c r="W14" s="193"/>
      <c r="X14" s="193"/>
      <c r="Y14" s="193"/>
      <c r="Z14" s="193"/>
      <c r="AA14" s="323">
        <f t="shared" si="6"/>
        <v>10.4</v>
      </c>
      <c r="AB14" s="539">
        <f t="shared" si="20"/>
        <v>0</v>
      </c>
      <c r="AC14" s="539">
        <f>K14+(T$2/50)</f>
        <v>9.1936666666666653</v>
      </c>
      <c r="AD14" s="539">
        <f>L14+(U$2/10)</f>
        <v>13.599999999999998</v>
      </c>
      <c r="AE14" s="539">
        <f>M14+(V$2/15)</f>
        <v>12.725000000000001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786</v>
      </c>
      <c r="BF14" s="285" t="s">
        <v>862</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1.3839285714285714</v>
      </c>
      <c r="D15" s="418" t="s">
        <v>325</v>
      </c>
      <c r="E15" s="419">
        <f>PLANTILLA!E16</f>
        <v>31</v>
      </c>
      <c r="F15" s="419">
        <f ca="1">PLANTILLA!F16</f>
        <v>69</v>
      </c>
      <c r="G15" s="420" t="s">
        <v>308</v>
      </c>
      <c r="H15" s="426">
        <v>5</v>
      </c>
      <c r="I15" s="335">
        <f>PLANTILLA!I16</f>
        <v>11</v>
      </c>
      <c r="J15" s="519">
        <f>PLANTILLA!X16</f>
        <v>0</v>
      </c>
      <c r="K15" s="519">
        <f>PLANTILLA!Y16</f>
        <v>8.6075555555555585</v>
      </c>
      <c r="L15" s="519">
        <f>PLANTILLA!Z16</f>
        <v>14.142779365079358</v>
      </c>
      <c r="M15" s="519">
        <f>PLANTILLA!AA16</f>
        <v>9.99</v>
      </c>
      <c r="N15" s="519">
        <f>PLANTILLA!AB16</f>
        <v>10.09</v>
      </c>
      <c r="O15" s="519">
        <f>PLANTILLA!AC16</f>
        <v>4.3999999999999995</v>
      </c>
      <c r="P15" s="519">
        <f>PLANTILLA!AD16</f>
        <v>16.544444444444441</v>
      </c>
      <c r="Q15" s="443">
        <f t="shared" si="4"/>
        <v>31</v>
      </c>
      <c r="R15" s="444">
        <f t="shared" ca="1" si="5"/>
        <v>76</v>
      </c>
      <c r="S15" s="193"/>
      <c r="T15" s="193"/>
      <c r="U15" s="193"/>
      <c r="V15" s="193"/>
      <c r="W15" s="193"/>
      <c r="X15" s="193"/>
      <c r="Y15" s="193"/>
      <c r="Z15" s="193"/>
      <c r="AA15" s="323">
        <f t="shared" si="6"/>
        <v>11</v>
      </c>
      <c r="AB15" s="539">
        <f t="shared" si="20"/>
        <v>0</v>
      </c>
      <c r="AC15" s="539">
        <f>K15+(T$2/50)</f>
        <v>8.6075555555555585</v>
      </c>
      <c r="AD15" s="539">
        <f>L15+(U$2/11)</f>
        <v>14.142779365079358</v>
      </c>
      <c r="AE15" s="539">
        <f>M15+(V$2/15)</f>
        <v>9.99</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2.4375</v>
      </c>
      <c r="D16" s="418" t="s">
        <v>312</v>
      </c>
      <c r="E16" s="419">
        <f>PLANTILLA!E17</f>
        <v>30</v>
      </c>
      <c r="F16" s="419">
        <f ca="1">PLANTILLA!F17</f>
        <v>63</v>
      </c>
      <c r="G16" s="420"/>
      <c r="H16" s="401">
        <v>4</v>
      </c>
      <c r="I16" s="335">
        <f>PLANTILLA!I17</f>
        <v>9</v>
      </c>
      <c r="J16" s="519">
        <f>PLANTILLA!X17</f>
        <v>0</v>
      </c>
      <c r="K16" s="519">
        <f>PLANTILLA!Y17</f>
        <v>10.349999999999996</v>
      </c>
      <c r="L16" s="519">
        <f>PLANTILLA!Z17</f>
        <v>12.849777777777778</v>
      </c>
      <c r="M16" s="519">
        <f>PLANTILLA!AA17</f>
        <v>5.1199999999999983</v>
      </c>
      <c r="N16" s="519">
        <f>PLANTILLA!AB17</f>
        <v>9.24</v>
      </c>
      <c r="O16" s="519">
        <f>PLANTILLA!AC17</f>
        <v>2.98</v>
      </c>
      <c r="P16" s="519">
        <f>PLANTILLA!AD17</f>
        <v>16.959999999999997</v>
      </c>
      <c r="Q16" s="443">
        <f t="shared" si="4"/>
        <v>30</v>
      </c>
      <c r="R16" s="444">
        <f t="shared" ca="1" si="5"/>
        <v>70</v>
      </c>
      <c r="S16" s="193"/>
      <c r="T16" s="193"/>
      <c r="U16" s="193"/>
      <c r="V16" s="193"/>
      <c r="W16" s="193"/>
      <c r="X16" s="193"/>
      <c r="Y16" s="193"/>
      <c r="Z16" s="193"/>
      <c r="AA16" s="323">
        <f t="shared" si="6"/>
        <v>9</v>
      </c>
      <c r="AB16" s="539">
        <f t="shared" si="20"/>
        <v>0</v>
      </c>
      <c r="AC16" s="539">
        <f>K16+(T$2/7)</f>
        <v>10.349999999999996</v>
      </c>
      <c r="AD16" s="539">
        <f>L16+(U$2/11)</f>
        <v>12.849777777777778</v>
      </c>
      <c r="AE16" s="539">
        <f>M16+(V$2/19)</f>
        <v>5.1199999999999983</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21.043194444444445</v>
      </c>
      <c r="BQ16" s="469">
        <f t="shared" si="34"/>
        <v>0</v>
      </c>
    </row>
    <row r="17" spans="1:69" s="272" customFormat="1" x14ac:dyDescent="0.25">
      <c r="A17" s="332" t="s">
        <v>450</v>
      </c>
      <c r="B17" s="285" t="s">
        <v>65</v>
      </c>
      <c r="C17" s="286">
        <f t="shared" ca="1" si="11"/>
        <v>2.6607142857142856</v>
      </c>
      <c r="D17" s="321" t="s">
        <v>440</v>
      </c>
      <c r="E17" s="419">
        <f>PLANTILLA!E18</f>
        <v>30</v>
      </c>
      <c r="F17" s="419">
        <f ca="1">PLANTILLA!F18</f>
        <v>38</v>
      </c>
      <c r="G17" s="420"/>
      <c r="H17" s="401">
        <v>1</v>
      </c>
      <c r="I17" s="335">
        <f>PLANTILLA!I18</f>
        <v>8</v>
      </c>
      <c r="J17" s="519">
        <f>PLANTILLA!X18</f>
        <v>0</v>
      </c>
      <c r="K17" s="519">
        <f>PLANTILLA!Y18</f>
        <v>5.2811111111111115</v>
      </c>
      <c r="L17" s="519">
        <f>PLANTILLA!Z18</f>
        <v>14.23617089947089</v>
      </c>
      <c r="M17" s="519">
        <f>PLANTILLA!AA18</f>
        <v>3.4924999999999993</v>
      </c>
      <c r="N17" s="519">
        <f>PLANTILLA!AB18</f>
        <v>9.1400000000000041</v>
      </c>
      <c r="O17" s="519">
        <f>PLANTILLA!AC18</f>
        <v>7.4318888888888894</v>
      </c>
      <c r="P17" s="519">
        <f>PLANTILLA!AD18</f>
        <v>16.07</v>
      </c>
      <c r="Q17" s="443">
        <f t="shared" si="4"/>
        <v>30</v>
      </c>
      <c r="R17" s="444">
        <f t="shared" ca="1" si="5"/>
        <v>45</v>
      </c>
      <c r="S17" s="193"/>
      <c r="T17" s="193"/>
      <c r="U17" s="193"/>
      <c r="V17" s="193"/>
      <c r="W17" s="193"/>
      <c r="X17" s="193"/>
      <c r="Y17" s="193"/>
      <c r="Z17" s="193"/>
      <c r="AA17" s="323">
        <f t="shared" si="6"/>
        <v>8</v>
      </c>
      <c r="AB17" s="539">
        <f t="shared" si="20"/>
        <v>0</v>
      </c>
      <c r="AC17" s="539">
        <f>K17+(T$2/6.5)</f>
        <v>5.2811111111111115</v>
      </c>
      <c r="AD17" s="539">
        <f>L17+(U$2/11)</f>
        <v>14.23617089947089</v>
      </c>
      <c r="AE17" s="539">
        <f>M17+(V$2/17)</f>
        <v>3.4924999999999993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24" t="s">
        <v>860</v>
      </c>
      <c r="AR17" s="725"/>
      <c r="AS17" s="361" t="s">
        <v>541</v>
      </c>
      <c r="AT17" s="361" t="s">
        <v>542</v>
      </c>
      <c r="AU17" s="361" t="s">
        <v>582</v>
      </c>
      <c r="AV17" s="361" t="s">
        <v>543</v>
      </c>
      <c r="AW17" s="361" t="s">
        <v>544</v>
      </c>
      <c r="AX17" s="361" t="s">
        <v>545</v>
      </c>
      <c r="AY17" s="361" t="s">
        <v>546</v>
      </c>
      <c r="AZ17" s="361" t="s">
        <v>874</v>
      </c>
      <c r="BA17" s="361" t="s">
        <v>875</v>
      </c>
      <c r="BB17" s="361" t="s">
        <v>699</v>
      </c>
      <c r="BC17" s="361" t="s">
        <v>738</v>
      </c>
      <c r="BE17" s="724" t="s">
        <v>785</v>
      </c>
      <c r="BF17" s="725"/>
      <c r="BG17" s="361" t="s">
        <v>541</v>
      </c>
      <c r="BH17" s="361" t="s">
        <v>542</v>
      </c>
      <c r="BI17" s="361" t="s">
        <v>582</v>
      </c>
      <c r="BJ17" s="361" t="s">
        <v>543</v>
      </c>
      <c r="BK17" s="361" t="s">
        <v>544</v>
      </c>
      <c r="BL17" s="361" t="s">
        <v>545</v>
      </c>
      <c r="BM17" s="361" t="s">
        <v>546</v>
      </c>
      <c r="BN17" s="361" t="s">
        <v>874</v>
      </c>
      <c r="BO17" s="361" t="s">
        <v>875</v>
      </c>
      <c r="BP17" s="361" t="s">
        <v>699</v>
      </c>
      <c r="BQ17" s="361" t="s">
        <v>738</v>
      </c>
    </row>
    <row r="18" spans="1:69" s="265" customFormat="1" x14ac:dyDescent="0.25">
      <c r="A18" s="332" t="s">
        <v>598</v>
      </c>
      <c r="B18" s="285" t="s">
        <v>65</v>
      </c>
      <c r="C18" s="286">
        <f t="shared" ca="1" si="11"/>
        <v>4.1071428571428568</v>
      </c>
      <c r="D18" s="321" t="s">
        <v>454</v>
      </c>
      <c r="E18" s="419">
        <f>PLANTILLA!E19</f>
        <v>28</v>
      </c>
      <c r="F18" s="419">
        <f ca="1">PLANTILLA!F19</f>
        <v>100</v>
      </c>
      <c r="G18" s="420"/>
      <c r="H18" s="401">
        <v>3</v>
      </c>
      <c r="I18" s="335">
        <f>PLANTILLA!I19</f>
        <v>4</v>
      </c>
      <c r="J18" s="519">
        <f>PLANTILLA!X19</f>
        <v>0</v>
      </c>
      <c r="K18" s="519">
        <f>PLANTILLA!Y19</f>
        <v>5.6315555555555523</v>
      </c>
      <c r="L18" s="519">
        <f>PLANTILLA!Z19</f>
        <v>9.8423388888888876</v>
      </c>
      <c r="M18" s="519">
        <f>PLANTILLA!AA19</f>
        <v>7.0526666666666671</v>
      </c>
      <c r="N18" s="519">
        <f>PLANTILLA!AB19</f>
        <v>9.2666666666666639</v>
      </c>
      <c r="O18" s="519">
        <f>PLANTILLA!AC19</f>
        <v>3.5417777777777766</v>
      </c>
      <c r="P18" s="519">
        <f>PLANTILLA!AD19</f>
        <v>12.450000000000001</v>
      </c>
      <c r="Q18" s="443">
        <f t="shared" si="4"/>
        <v>28</v>
      </c>
      <c r="R18" s="444">
        <f t="shared" ca="1" si="5"/>
        <v>107</v>
      </c>
      <c r="S18" s="193"/>
      <c r="T18" s="193"/>
      <c r="U18" s="193"/>
      <c r="V18" s="193"/>
      <c r="W18" s="193"/>
      <c r="X18" s="193"/>
      <c r="Y18" s="193"/>
      <c r="Z18" s="193"/>
      <c r="AA18" s="323">
        <f t="shared" si="6"/>
        <v>4</v>
      </c>
      <c r="AB18" s="539">
        <f t="shared" si="20"/>
        <v>0</v>
      </c>
      <c r="AC18" s="539">
        <f>K18+(T$2/26)</f>
        <v>5.6315555555555523</v>
      </c>
      <c r="AD18" s="539">
        <f>L18+(U$2/55)</f>
        <v>9.8423388888888876</v>
      </c>
      <c r="AE18" s="539">
        <f>M18+(V$2/24)</f>
        <v>7.0526666666666671</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762</v>
      </c>
      <c r="B19" s="285" t="s">
        <v>65</v>
      </c>
      <c r="C19" s="286" t="e">
        <f t="shared" si="11"/>
        <v>#REF!</v>
      </c>
      <c r="D19" s="321" t="s">
        <v>763</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703</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703</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716</v>
      </c>
      <c r="B20" s="285" t="s">
        <v>2</v>
      </c>
      <c r="C20" s="286">
        <f t="shared" ca="1" si="11"/>
        <v>2.9732142857142856</v>
      </c>
      <c r="D20" s="321" t="str">
        <f>PLANTILLA!D7</f>
        <v>B. Pinczehelyi</v>
      </c>
      <c r="E20" s="419">
        <f>PLANTILLA!E7</f>
        <v>30</v>
      </c>
      <c r="F20" s="427">
        <f ca="1">PLANTILLA!F7</f>
        <v>3</v>
      </c>
      <c r="G20" s="420" t="s">
        <v>595</v>
      </c>
      <c r="H20" s="401">
        <v>2</v>
      </c>
      <c r="I20" s="335">
        <f>PLANTILLA!I7</f>
        <v>14</v>
      </c>
      <c r="J20" s="519">
        <f>PLANTILLA!X7</f>
        <v>0</v>
      </c>
      <c r="K20" s="519">
        <f>PLANTILLA!Y7</f>
        <v>14.200000000000003</v>
      </c>
      <c r="L20" s="519">
        <f>PLANTILLA!Z7</f>
        <v>9.299333333333335</v>
      </c>
      <c r="M20" s="519">
        <f>PLANTILLA!AA7</f>
        <v>14.249999999999996</v>
      </c>
      <c r="N20" s="519">
        <f>PLANTILLA!AB7</f>
        <v>9.4199999999999982</v>
      </c>
      <c r="O20" s="519">
        <f>PLANTILLA!AC7</f>
        <v>1.1428571428571428</v>
      </c>
      <c r="P20" s="519">
        <f>PLANTILLA!AD7</f>
        <v>9.4</v>
      </c>
      <c r="Q20" s="443">
        <f t="shared" si="4"/>
        <v>30</v>
      </c>
      <c r="R20" s="444">
        <f t="shared" ca="1" si="5"/>
        <v>10</v>
      </c>
      <c r="S20" s="193"/>
      <c r="T20" s="193"/>
      <c r="U20" s="193"/>
      <c r="V20" s="193"/>
      <c r="W20" s="193"/>
      <c r="X20" s="193"/>
      <c r="Y20" s="193"/>
      <c r="Z20" s="193"/>
      <c r="AA20" s="323">
        <f t="shared" si="6"/>
        <v>14</v>
      </c>
      <c r="AB20" s="539">
        <f t="shared" si="20"/>
        <v>0</v>
      </c>
      <c r="AC20" s="539">
        <f>K20+(T$2/20)</f>
        <v>14.200000000000003</v>
      </c>
      <c r="AD20" s="539">
        <f>L20+(U$2/50)</f>
        <v>9.299333333333335</v>
      </c>
      <c r="AE20" s="539">
        <f>M20+(V$2/35)</f>
        <v>14.249999999999996</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787</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3.3303571428571428</v>
      </c>
      <c r="D21" s="418" t="s">
        <v>327</v>
      </c>
      <c r="E21" s="419">
        <f>PLANTILLA!E22</f>
        <v>29</v>
      </c>
      <c r="F21" s="419">
        <f ca="1">PLANTILLA!F22</f>
        <v>75</v>
      </c>
      <c r="G21" s="420" t="s">
        <v>336</v>
      </c>
      <c r="H21" s="401">
        <v>4</v>
      </c>
      <c r="I21" s="335">
        <f>PLANTILLA!I22</f>
        <v>10</v>
      </c>
      <c r="J21" s="519">
        <f>PLANTILLA!X22</f>
        <v>0</v>
      </c>
      <c r="K21" s="519">
        <f>PLANTILLA!Y22</f>
        <v>6.8176190476190497</v>
      </c>
      <c r="L21" s="519">
        <f>PLANTILLA!Z22</f>
        <v>8.375</v>
      </c>
      <c r="M21" s="519">
        <f>PLANTILLA!AA22</f>
        <v>8.7199999999999971</v>
      </c>
      <c r="N21" s="519">
        <f>PLANTILLA!AB22</f>
        <v>9.6900000000000013</v>
      </c>
      <c r="O21" s="519">
        <f>PLANTILLA!AC22</f>
        <v>8.5625000000000018</v>
      </c>
      <c r="P21" s="519">
        <f>PLANTILLA!AD22</f>
        <v>18.639999999999993</v>
      </c>
      <c r="Q21" s="443">
        <f t="shared" si="4"/>
        <v>29</v>
      </c>
      <c r="R21" s="444">
        <f t="shared" ca="1" si="5"/>
        <v>82</v>
      </c>
      <c r="S21" s="193"/>
      <c r="T21" s="193"/>
      <c r="U21" s="193"/>
      <c r="V21" s="193"/>
      <c r="W21" s="193"/>
      <c r="X21" s="193"/>
      <c r="Y21" s="193"/>
      <c r="Z21" s="193"/>
      <c r="AA21" s="323">
        <f t="shared" si="6"/>
        <v>10</v>
      </c>
      <c r="AB21" s="539">
        <f t="shared" si="20"/>
        <v>0</v>
      </c>
      <c r="AC21" s="539">
        <f>K21+(T$2/32)</f>
        <v>6.8176190476190497</v>
      </c>
      <c r="AD21" s="539">
        <f>L21+(U$2/7)</f>
        <v>8.375</v>
      </c>
      <c r="AE21" s="539">
        <f>M21+(V$2/25)</f>
        <v>8.7199999999999971</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703</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735</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2.7142857142857144</v>
      </c>
      <c r="D22" s="418" t="str">
        <f>PLANTILLA!D23</f>
        <v>L. Calosso</v>
      </c>
      <c r="E22" s="419">
        <f>PLANTILLA!E23</f>
        <v>30</v>
      </c>
      <c r="F22" s="419">
        <f ca="1">PLANTILLA!F23</f>
        <v>32</v>
      </c>
      <c r="G22" s="420"/>
      <c r="H22" s="401">
        <v>4</v>
      </c>
      <c r="I22" s="335">
        <f>PLANTILLA!I23</f>
        <v>10.1</v>
      </c>
      <c r="J22" s="519">
        <f>PLANTILLA!X23</f>
        <v>0</v>
      </c>
      <c r="K22" s="519">
        <f>PLANTILLA!Y23</f>
        <v>2</v>
      </c>
      <c r="L22" s="519">
        <f>PLANTILLA!Z23</f>
        <v>14.1038</v>
      </c>
      <c r="M22" s="519">
        <f>PLANTILLA!AA23</f>
        <v>3</v>
      </c>
      <c r="N22" s="519">
        <f>PLANTILLA!AB23</f>
        <v>15.02</v>
      </c>
      <c r="O22" s="519">
        <f>PLANTILLA!AC23</f>
        <v>10</v>
      </c>
      <c r="P22" s="519">
        <f>PLANTILLA!AD23</f>
        <v>9.3000000000000007</v>
      </c>
      <c r="Q22" s="443">
        <f t="shared" si="4"/>
        <v>30</v>
      </c>
      <c r="R22" s="444">
        <f t="shared" ca="1" si="5"/>
        <v>39</v>
      </c>
      <c r="S22" s="193"/>
      <c r="T22" s="193"/>
      <c r="U22" s="193"/>
      <c r="V22" s="193"/>
      <c r="W22" s="193"/>
      <c r="X22" s="193"/>
      <c r="Y22" s="193"/>
      <c r="Z22" s="193"/>
      <c r="AA22" s="323">
        <f t="shared" si="6"/>
        <v>10.1</v>
      </c>
      <c r="AB22" s="539">
        <f t="shared" si="20"/>
        <v>0</v>
      </c>
      <c r="AC22" s="539">
        <f>K22+(T$2/21)</f>
        <v>2</v>
      </c>
      <c r="AD22" s="539">
        <f>L22+(U$2/21)</f>
        <v>14.1038</v>
      </c>
      <c r="AE22" s="539">
        <f>M22+(V$2/22)</f>
        <v>3</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788</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787</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6.0535714285714288</v>
      </c>
      <c r="D23" s="321" t="s">
        <v>634</v>
      </c>
      <c r="E23" s="419">
        <f>PLANTILLA!E24</f>
        <v>26</v>
      </c>
      <c r="F23" s="419">
        <f ca="1">PLANTILLA!F24</f>
        <v>106</v>
      </c>
      <c r="G23" s="420"/>
      <c r="H23" s="428">
        <v>6</v>
      </c>
      <c r="I23" s="335">
        <f>PLANTILLA!I24</f>
        <v>5.3</v>
      </c>
      <c r="J23" s="519">
        <f>PLANTILLA!X24</f>
        <v>0</v>
      </c>
      <c r="K23" s="519">
        <f>PLANTILLA!Y24</f>
        <v>4</v>
      </c>
      <c r="L23" s="519">
        <f>PLANTILLA!Z24</f>
        <v>5.5338722222222207</v>
      </c>
      <c r="M23" s="519">
        <f>PLANTILLA!AA24</f>
        <v>5.47</v>
      </c>
      <c r="N23" s="519">
        <f>PLANTILLA!AB24</f>
        <v>10.799999999999999</v>
      </c>
      <c r="O23" s="519">
        <f>PLANTILLA!AC24</f>
        <v>8.384500000000001</v>
      </c>
      <c r="P23" s="519">
        <f>PLANTILLA!AD24</f>
        <v>13.566666666666668</v>
      </c>
      <c r="Q23" s="443">
        <f t="shared" si="4"/>
        <v>26</v>
      </c>
      <c r="R23" s="444">
        <f t="shared" ca="1" si="5"/>
        <v>113</v>
      </c>
      <c r="S23" s="193"/>
      <c r="T23" s="193"/>
      <c r="U23" s="193"/>
      <c r="V23" s="193"/>
      <c r="W23" s="193"/>
      <c r="X23" s="193"/>
      <c r="Y23" s="193"/>
      <c r="Z23" s="193"/>
      <c r="AA23" s="323">
        <f t="shared" si="6"/>
        <v>5.3</v>
      </c>
      <c r="AB23" s="539">
        <f t="shared" si="20"/>
        <v>0</v>
      </c>
      <c r="AC23" s="539">
        <f>K23+(T$2/20)</f>
        <v>4</v>
      </c>
      <c r="AD23" s="539">
        <f>L23+(U$2/27)</f>
        <v>5.5338722222222207</v>
      </c>
      <c r="AE23" s="539">
        <f>M23+(V$2/21)</f>
        <v>5.47</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703</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4.5962499999999995</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790</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789</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789</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789</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873</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865</v>
      </c>
      <c r="B2" s="671" t="s">
        <v>864</v>
      </c>
      <c r="C2" s="361" t="s">
        <v>541</v>
      </c>
      <c r="D2" s="567" t="s">
        <v>542</v>
      </c>
      <c r="E2" s="567" t="s">
        <v>582</v>
      </c>
      <c r="F2" s="567" t="s">
        <v>543</v>
      </c>
      <c r="G2" s="567" t="s">
        <v>544</v>
      </c>
      <c r="H2" s="567" t="s">
        <v>545</v>
      </c>
      <c r="I2" s="567" t="s">
        <v>546</v>
      </c>
      <c r="J2" s="567" t="s">
        <v>874</v>
      </c>
      <c r="K2" s="567" t="s">
        <v>875</v>
      </c>
      <c r="L2" s="567" t="s">
        <v>713</v>
      </c>
      <c r="N2" s="670" t="s">
        <v>865</v>
      </c>
      <c r="O2" s="671" t="s">
        <v>864</v>
      </c>
      <c r="P2" s="361" t="s">
        <v>541</v>
      </c>
      <c r="Q2" s="567" t="s">
        <v>1022</v>
      </c>
      <c r="R2" s="567" t="s">
        <v>542</v>
      </c>
      <c r="S2" s="567" t="s">
        <v>1022</v>
      </c>
      <c r="T2" s="567" t="s">
        <v>582</v>
      </c>
      <c r="U2" s="567" t="s">
        <v>1022</v>
      </c>
      <c r="V2" s="567" t="s">
        <v>543</v>
      </c>
      <c r="W2" s="567" t="s">
        <v>1022</v>
      </c>
      <c r="X2" s="567" t="s">
        <v>544</v>
      </c>
      <c r="Y2" s="567" t="s">
        <v>1022</v>
      </c>
      <c r="Z2" s="567" t="s">
        <v>545</v>
      </c>
      <c r="AA2" s="567" t="s">
        <v>1022</v>
      </c>
      <c r="AB2" s="567" t="s">
        <v>546</v>
      </c>
      <c r="AC2" s="567" t="s">
        <v>1022</v>
      </c>
      <c r="AD2" s="610" t="s">
        <v>874</v>
      </c>
      <c r="AE2" s="610" t="s">
        <v>1022</v>
      </c>
      <c r="AF2" s="610" t="s">
        <v>875</v>
      </c>
      <c r="AG2" s="610" t="s">
        <v>1022</v>
      </c>
    </row>
    <row r="3" spans="1:33" x14ac:dyDescent="0.25">
      <c r="A3" s="566" t="s">
        <v>866</v>
      </c>
      <c r="B3" s="565" t="s">
        <v>180</v>
      </c>
      <c r="C3" s="575"/>
      <c r="D3" s="576"/>
      <c r="E3" s="576"/>
      <c r="F3" s="576"/>
      <c r="G3" s="576"/>
      <c r="H3" s="576"/>
      <c r="I3" s="576"/>
      <c r="J3" s="576"/>
      <c r="K3" s="576"/>
      <c r="L3" s="576"/>
      <c r="M3" s="9"/>
      <c r="N3" s="614" t="s">
        <v>866</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26" t="s">
        <v>867</v>
      </c>
      <c r="B4" s="573" t="s">
        <v>820</v>
      </c>
      <c r="C4" s="616">
        <v>5.9340247552447711E-2</v>
      </c>
      <c r="D4" s="590">
        <v>6.8999559240759498E-2</v>
      </c>
      <c r="E4" s="590">
        <v>7.5579372027972075E-2</v>
      </c>
      <c r="F4" s="590"/>
      <c r="G4" s="590"/>
      <c r="H4" s="590"/>
      <c r="I4" s="590"/>
      <c r="J4" s="590">
        <v>0</v>
      </c>
      <c r="K4" s="590">
        <v>3.6222627372627408E-2</v>
      </c>
      <c r="L4" s="590"/>
      <c r="M4" s="9"/>
      <c r="N4" s="728" t="s">
        <v>867</v>
      </c>
      <c r="O4" s="617" t="s">
        <v>820</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26"/>
      <c r="B5" s="573" t="s">
        <v>819</v>
      </c>
      <c r="C5" s="611"/>
      <c r="D5" s="577"/>
      <c r="E5" s="577"/>
      <c r="F5" s="577">
        <v>5.254696863959811E-2</v>
      </c>
      <c r="G5" s="577"/>
      <c r="H5" s="577"/>
      <c r="I5" s="577"/>
      <c r="J5" s="577"/>
      <c r="K5" s="577"/>
      <c r="L5" s="577"/>
      <c r="M5" s="9"/>
      <c r="N5" s="728"/>
      <c r="O5" s="617" t="s">
        <v>819</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26"/>
      <c r="B6" s="573" t="s">
        <v>871</v>
      </c>
      <c r="C6" s="611"/>
      <c r="D6" s="577"/>
      <c r="E6" s="577"/>
      <c r="F6" s="577"/>
      <c r="G6" s="577">
        <v>3.9584999999999822E-2</v>
      </c>
      <c r="H6" s="577">
        <v>6.3542692307692147E-2</v>
      </c>
      <c r="I6" s="577">
        <v>0</v>
      </c>
      <c r="J6" s="577"/>
      <c r="K6" s="577"/>
      <c r="L6" s="577"/>
      <c r="M6" s="9"/>
      <c r="N6" s="728"/>
      <c r="O6" s="617" t="s">
        <v>871</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26"/>
      <c r="B7" s="573" t="s">
        <v>872</v>
      </c>
      <c r="C7" s="611"/>
      <c r="D7" s="577"/>
      <c r="E7" s="577"/>
      <c r="F7" s="577"/>
      <c r="G7" s="577">
        <v>3.3714285714285648E-2</v>
      </c>
      <c r="H7" s="577">
        <v>3.433928571428569E-2</v>
      </c>
      <c r="I7" s="577">
        <v>4.9198011904761828E-2</v>
      </c>
      <c r="J7" s="577"/>
      <c r="K7" s="577"/>
      <c r="L7" s="577"/>
      <c r="M7" s="9"/>
      <c r="N7" s="728"/>
      <c r="O7" s="617" t="s">
        <v>872</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26"/>
      <c r="B8" s="573" t="s">
        <v>838</v>
      </c>
      <c r="C8" s="611"/>
      <c r="D8" s="577"/>
      <c r="E8" s="577"/>
      <c r="F8" s="577"/>
      <c r="G8" s="577"/>
      <c r="H8" s="577"/>
      <c r="I8" s="577"/>
      <c r="J8" s="577"/>
      <c r="K8" s="577"/>
      <c r="L8" s="577"/>
      <c r="M8" s="9"/>
      <c r="N8" s="728"/>
      <c r="O8" s="617" t="s">
        <v>838</v>
      </c>
      <c r="P8" s="582"/>
      <c r="Q8" s="678"/>
      <c r="R8" s="569"/>
      <c r="S8" s="678"/>
      <c r="T8" s="569"/>
      <c r="U8" s="678"/>
      <c r="V8" s="569"/>
      <c r="W8" s="678"/>
      <c r="X8" s="582"/>
      <c r="Y8" s="678"/>
      <c r="Z8" s="569"/>
      <c r="AA8" s="678"/>
      <c r="AB8" s="569"/>
      <c r="AC8" s="678"/>
      <c r="AD8" s="582"/>
      <c r="AE8" s="680"/>
      <c r="AF8" s="582"/>
      <c r="AG8" s="680"/>
    </row>
    <row r="9" spans="1:33" x14ac:dyDescent="0.25">
      <c r="A9" s="726"/>
      <c r="B9" s="585" t="s">
        <v>0</v>
      </c>
      <c r="C9" s="612"/>
      <c r="D9" s="568"/>
      <c r="E9" s="568"/>
      <c r="F9" s="568"/>
      <c r="G9" s="568"/>
      <c r="H9" s="568"/>
      <c r="I9" s="568"/>
      <c r="J9" s="568"/>
      <c r="K9" s="568"/>
      <c r="L9" s="568"/>
      <c r="M9" s="9"/>
      <c r="N9" s="728"/>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7" t="s">
        <v>868</v>
      </c>
      <c r="B10" s="574" t="s">
        <v>820</v>
      </c>
      <c r="C10" s="616">
        <v>4.0980247552447779E-2</v>
      </c>
      <c r="D10" s="590">
        <v>7.0304873926074096E-2</v>
      </c>
      <c r="E10" s="590">
        <v>4.0579372027972196E-2</v>
      </c>
      <c r="F10" s="590"/>
      <c r="G10" s="590"/>
      <c r="H10" s="590"/>
      <c r="I10" s="590"/>
      <c r="J10" s="590">
        <v>0</v>
      </c>
      <c r="K10" s="590">
        <v>3.0871978021978067E-2</v>
      </c>
      <c r="L10" s="590"/>
      <c r="M10" s="9"/>
      <c r="N10" s="729" t="s">
        <v>868</v>
      </c>
      <c r="O10" s="618" t="s">
        <v>820</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26"/>
      <c r="B11" s="573" t="s">
        <v>819</v>
      </c>
      <c r="C11" s="611"/>
      <c r="D11" s="577"/>
      <c r="E11" s="577"/>
      <c r="F11" s="577">
        <v>5.1022557865187314E-2</v>
      </c>
      <c r="G11" s="577"/>
      <c r="H11" s="577"/>
      <c r="I11" s="577"/>
      <c r="J11" s="577"/>
      <c r="K11" s="577"/>
      <c r="L11" s="577"/>
      <c r="M11" s="9"/>
      <c r="N11" s="728"/>
      <c r="O11" s="617" t="s">
        <v>819</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26"/>
      <c r="B12" s="573" t="s">
        <v>871</v>
      </c>
      <c r="C12" s="611"/>
      <c r="D12" s="577"/>
      <c r="E12" s="577"/>
      <c r="F12" s="577"/>
      <c r="G12" s="577">
        <v>4.2215952380952187E-2</v>
      </c>
      <c r="H12" s="577">
        <v>6.617364468864452E-2</v>
      </c>
      <c r="I12" s="577">
        <v>0</v>
      </c>
      <c r="J12" s="577"/>
      <c r="K12" s="577"/>
      <c r="L12" s="577"/>
      <c r="M12" s="9"/>
      <c r="N12" s="728"/>
      <c r="O12" s="617" t="s">
        <v>871</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26"/>
      <c r="B13" s="573" t="s">
        <v>872</v>
      </c>
      <c r="C13" s="611"/>
      <c r="D13" s="577"/>
      <c r="E13" s="577"/>
      <c r="F13" s="577"/>
      <c r="G13" s="577">
        <v>3.8151785714285652E-2</v>
      </c>
      <c r="H13" s="577">
        <v>3.8776785714285687E-2</v>
      </c>
      <c r="I13" s="577">
        <v>5.7961761904761842E-2</v>
      </c>
      <c r="J13" s="577"/>
      <c r="K13" s="577"/>
      <c r="L13" s="577"/>
      <c r="M13" s="9"/>
      <c r="N13" s="728"/>
      <c r="O13" s="617" t="s">
        <v>872</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26"/>
      <c r="B14" s="573" t="s">
        <v>838</v>
      </c>
      <c r="C14" s="611"/>
      <c r="D14" s="577"/>
      <c r="E14" s="577"/>
      <c r="F14" s="577"/>
      <c r="G14" s="577"/>
      <c r="H14" s="577"/>
      <c r="I14" s="577"/>
      <c r="J14" s="577"/>
      <c r="K14" s="577"/>
      <c r="L14" s="577"/>
      <c r="M14" s="9"/>
      <c r="N14" s="728"/>
      <c r="O14" s="617" t="s">
        <v>838</v>
      </c>
      <c r="P14" s="582"/>
      <c r="Q14" s="678"/>
      <c r="R14" s="569"/>
      <c r="S14" s="678"/>
      <c r="T14" s="569"/>
      <c r="U14" s="678"/>
      <c r="V14" s="569"/>
      <c r="W14" s="678"/>
      <c r="X14" s="582"/>
      <c r="Y14" s="678"/>
      <c r="Z14" s="569"/>
      <c r="AA14" s="678"/>
      <c r="AB14" s="569"/>
      <c r="AC14" s="678"/>
      <c r="AD14" s="582"/>
      <c r="AE14" s="680"/>
      <c r="AF14" s="582"/>
      <c r="AG14" s="680"/>
    </row>
    <row r="15" spans="1:33" x14ac:dyDescent="0.25">
      <c r="A15" s="726"/>
      <c r="B15" s="585" t="s">
        <v>0</v>
      </c>
      <c r="C15" s="612"/>
      <c r="D15" s="568"/>
      <c r="E15" s="568"/>
      <c r="F15" s="568"/>
      <c r="G15" s="568"/>
      <c r="H15" s="568"/>
      <c r="I15" s="568"/>
      <c r="J15" s="568"/>
      <c r="K15" s="568"/>
      <c r="L15" s="568"/>
      <c r="M15" s="9"/>
      <c r="N15" s="728"/>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7" t="s">
        <v>869</v>
      </c>
      <c r="B16" s="574" t="s">
        <v>820</v>
      </c>
      <c r="C16" s="611">
        <v>5.8181020779221264E-2</v>
      </c>
      <c r="D16" s="577">
        <v>7.6807093706293558E-2</v>
      </c>
      <c r="E16" s="577">
        <v>6.6148976923077044E-2</v>
      </c>
      <c r="F16" s="577"/>
      <c r="G16" s="577"/>
      <c r="H16" s="577"/>
      <c r="I16" s="577"/>
      <c r="J16" s="577">
        <v>0</v>
      </c>
      <c r="K16" s="577">
        <v>2.9990859140859215E-2</v>
      </c>
      <c r="L16" s="577">
        <v>4.1477272727272974E-2</v>
      </c>
      <c r="M16" s="9"/>
      <c r="N16" s="729" t="s">
        <v>869</v>
      </c>
      <c r="O16" s="618" t="s">
        <v>820</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26"/>
      <c r="B17" s="573" t="s">
        <v>819</v>
      </c>
      <c r="C17" s="611"/>
      <c r="D17" s="577"/>
      <c r="E17" s="577"/>
      <c r="F17" s="577">
        <v>4.2273232055429683E-2</v>
      </c>
      <c r="G17" s="577"/>
      <c r="H17" s="577"/>
      <c r="I17" s="577"/>
      <c r="J17" s="577"/>
      <c r="K17" s="577"/>
      <c r="L17" s="577"/>
      <c r="M17" s="9"/>
      <c r="N17" s="728"/>
      <c r="O17" s="617" t="s">
        <v>819</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26"/>
      <c r="B18" s="573" t="s">
        <v>871</v>
      </c>
      <c r="C18" s="611"/>
      <c r="D18" s="577"/>
      <c r="E18" s="577"/>
      <c r="F18" s="577"/>
      <c r="G18" s="577">
        <v>5.2239892473118138E-2</v>
      </c>
      <c r="H18" s="577">
        <v>8.0176190476190248E-2</v>
      </c>
      <c r="I18" s="577">
        <v>0</v>
      </c>
      <c r="J18" s="577"/>
      <c r="K18" s="577"/>
      <c r="L18" s="577"/>
      <c r="M18" s="9"/>
      <c r="N18" s="728"/>
      <c r="O18" s="617" t="s">
        <v>871</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26"/>
      <c r="B19" s="573" t="s">
        <v>872</v>
      </c>
      <c r="C19" s="611"/>
      <c r="D19" s="577"/>
      <c r="E19" s="577"/>
      <c r="F19" s="577"/>
      <c r="G19" s="577">
        <v>2.5968749999999961E-2</v>
      </c>
      <c r="H19" s="577">
        <v>2.5281249999999998E-2</v>
      </c>
      <c r="I19" s="577">
        <v>3.0639083333333313E-2</v>
      </c>
      <c r="J19" s="577"/>
      <c r="K19" s="577"/>
      <c r="L19" s="577">
        <v>0.1339285714285714</v>
      </c>
      <c r="M19" s="688">
        <f>1/L19</f>
        <v>7.4666666666666686</v>
      </c>
      <c r="N19" s="728"/>
      <c r="O19" s="617" t="s">
        <v>872</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26"/>
      <c r="B20" s="573" t="s">
        <v>838</v>
      </c>
      <c r="C20" s="611"/>
      <c r="D20" s="577"/>
      <c r="E20" s="577"/>
      <c r="F20" s="577"/>
      <c r="G20" s="577"/>
      <c r="H20" s="577"/>
      <c r="I20" s="577"/>
      <c r="J20" s="577"/>
      <c r="K20" s="577"/>
      <c r="L20" s="577"/>
      <c r="M20" s="9"/>
      <c r="N20" s="728"/>
      <c r="O20" s="617" t="s">
        <v>838</v>
      </c>
      <c r="P20" s="582"/>
      <c r="Q20" s="678"/>
      <c r="R20" s="569"/>
      <c r="S20" s="678"/>
      <c r="T20" s="569"/>
      <c r="U20" s="678"/>
      <c r="V20" s="569"/>
      <c r="W20" s="678"/>
      <c r="X20" s="569"/>
      <c r="Y20" s="678"/>
      <c r="Z20" s="569"/>
      <c r="AA20" s="678"/>
      <c r="AB20" s="569"/>
      <c r="AC20" s="678"/>
      <c r="AD20" s="569"/>
      <c r="AE20" s="680"/>
      <c r="AF20" s="582"/>
      <c r="AG20" s="680"/>
    </row>
    <row r="21" spans="1:33" x14ac:dyDescent="0.25">
      <c r="A21" s="726"/>
      <c r="B21" s="585" t="s">
        <v>0</v>
      </c>
      <c r="C21" s="611"/>
      <c r="D21" s="577"/>
      <c r="E21" s="577"/>
      <c r="F21" s="577"/>
      <c r="G21" s="577"/>
      <c r="H21" s="577"/>
      <c r="I21" s="577"/>
      <c r="J21" s="577"/>
      <c r="K21" s="577"/>
      <c r="L21" s="577"/>
      <c r="M21" s="9"/>
      <c r="N21" s="728"/>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7" t="s">
        <v>870</v>
      </c>
      <c r="B22" s="588" t="s">
        <v>820</v>
      </c>
      <c r="C22" s="616">
        <v>7.6541020779221203E-2</v>
      </c>
      <c r="D22" s="590">
        <v>9.516709370629349E-2</v>
      </c>
      <c r="E22" s="590">
        <v>0.10114897692307692</v>
      </c>
      <c r="F22" s="590"/>
      <c r="G22" s="590"/>
      <c r="H22" s="590"/>
      <c r="I22" s="590"/>
      <c r="J22" s="590">
        <v>0</v>
      </c>
      <c r="K22" s="590">
        <v>3.3705144855144913E-2</v>
      </c>
      <c r="L22" s="590">
        <v>5.9334415584415767E-2</v>
      </c>
      <c r="M22" s="9"/>
      <c r="N22" s="729" t="s">
        <v>870</v>
      </c>
      <c r="O22" s="618" t="s">
        <v>820</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26"/>
      <c r="B23" s="589" t="s">
        <v>819</v>
      </c>
      <c r="C23" s="611"/>
      <c r="D23" s="577"/>
      <c r="E23" s="577"/>
      <c r="F23" s="577">
        <v>4.3797642829840472E-2</v>
      </c>
      <c r="G23" s="577"/>
      <c r="H23" s="577"/>
      <c r="I23" s="577"/>
      <c r="J23" s="577"/>
      <c r="K23" s="577"/>
      <c r="L23" s="577"/>
      <c r="M23" s="9"/>
      <c r="N23" s="728"/>
      <c r="O23" s="617" t="s">
        <v>819</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26"/>
      <c r="B24" s="589" t="s">
        <v>871</v>
      </c>
      <c r="C24" s="611"/>
      <c r="D24" s="577"/>
      <c r="E24" s="577"/>
      <c r="F24" s="577"/>
      <c r="G24" s="577">
        <v>4.8379892473118219E-2</v>
      </c>
      <c r="H24" s="577">
        <v>7.5159999999999741E-2</v>
      </c>
      <c r="I24" s="577">
        <v>0</v>
      </c>
      <c r="J24" s="577"/>
      <c r="K24" s="577"/>
      <c r="L24" s="577"/>
      <c r="M24" s="9"/>
      <c r="N24" s="728"/>
      <c r="O24" s="617" t="s">
        <v>871</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26"/>
      <c r="B25" s="589" t="s">
        <v>872</v>
      </c>
      <c r="C25" s="611"/>
      <c r="D25" s="577"/>
      <c r="E25" s="577"/>
      <c r="F25" s="577"/>
      <c r="G25" s="577">
        <v>2.3874999999999962E-2</v>
      </c>
      <c r="H25" s="577">
        <v>2.31875E-2</v>
      </c>
      <c r="I25" s="577">
        <v>2.7005333333333312E-2</v>
      </c>
      <c r="J25" s="577"/>
      <c r="K25" s="577"/>
      <c r="L25" s="577">
        <v>0.16964285714285698</v>
      </c>
      <c r="M25" s="688">
        <f>1/L25</f>
        <v>5.894736842105269</v>
      </c>
      <c r="N25" s="728"/>
      <c r="O25" s="617" t="s">
        <v>872</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26"/>
      <c r="B26" s="589" t="s">
        <v>838</v>
      </c>
      <c r="C26" s="611"/>
      <c r="D26" s="577"/>
      <c r="E26" s="577"/>
      <c r="F26" s="577"/>
      <c r="G26" s="577"/>
      <c r="H26" s="577"/>
      <c r="I26" s="577"/>
      <c r="J26" s="577"/>
      <c r="K26" s="577"/>
      <c r="L26" s="577"/>
      <c r="M26" s="9"/>
      <c r="N26" s="728"/>
      <c r="O26" s="617" t="s">
        <v>838</v>
      </c>
      <c r="P26" s="582"/>
      <c r="Q26" s="678"/>
      <c r="R26" s="569"/>
      <c r="S26" s="678"/>
      <c r="T26" s="569"/>
      <c r="U26" s="685"/>
      <c r="V26" s="673"/>
      <c r="W26" s="582"/>
      <c r="X26" s="582"/>
      <c r="Y26" s="678"/>
      <c r="Z26" s="569"/>
      <c r="AA26" s="678"/>
      <c r="AB26" s="569"/>
      <c r="AC26" s="680"/>
      <c r="AD26" s="582"/>
      <c r="AE26" s="680"/>
      <c r="AF26" s="582"/>
      <c r="AG26" s="680"/>
    </row>
    <row r="27" spans="1:33" x14ac:dyDescent="0.25">
      <c r="A27" s="726"/>
      <c r="B27" s="585" t="s">
        <v>0</v>
      </c>
      <c r="C27" s="612"/>
      <c r="D27" s="568"/>
      <c r="E27" s="568"/>
      <c r="F27" s="568"/>
      <c r="G27" s="568"/>
      <c r="H27" s="568"/>
      <c r="I27" s="568"/>
      <c r="J27" s="568"/>
      <c r="K27" s="568"/>
      <c r="L27" s="568"/>
      <c r="M27" s="9"/>
      <c r="N27" s="728"/>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856</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830</v>
      </c>
      <c r="E2" s="526" t="s">
        <v>1</v>
      </c>
      <c r="F2" s="526" t="s">
        <v>2</v>
      </c>
      <c r="G2" s="526" t="s">
        <v>837</v>
      </c>
      <c r="H2" s="526" t="s">
        <v>66</v>
      </c>
      <c r="I2" s="526" t="s">
        <v>712</v>
      </c>
      <c r="J2" s="526" t="s">
        <v>838</v>
      </c>
      <c r="K2" s="526" t="s">
        <v>0</v>
      </c>
      <c r="M2" s="628">
        <v>352</v>
      </c>
      <c r="N2" s="476" t="s">
        <v>971</v>
      </c>
      <c r="O2" s="48" t="s">
        <v>841</v>
      </c>
      <c r="P2" s="48" t="s">
        <v>972</v>
      </c>
      <c r="Q2" s="48" t="s">
        <v>841</v>
      </c>
      <c r="R2" s="48" t="s">
        <v>65</v>
      </c>
      <c r="S2" s="48" t="s">
        <v>843</v>
      </c>
      <c r="T2" s="48" t="s">
        <v>844</v>
      </c>
      <c r="U2" s="48" t="s">
        <v>843</v>
      </c>
      <c r="V2" s="48" t="s">
        <v>699</v>
      </c>
      <c r="W2" s="48" t="s">
        <v>973</v>
      </c>
      <c r="X2" s="48" t="s">
        <v>974</v>
      </c>
    </row>
    <row r="3" spans="2:25" x14ac:dyDescent="0.25">
      <c r="B3" t="s">
        <v>1</v>
      </c>
      <c r="C3" t="str">
        <f>Evaluacion!A3</f>
        <v>D. Gehmacher</v>
      </c>
      <c r="D3" s="669"/>
      <c r="E3" s="290">
        <f>Evaluacion!K3</f>
        <v>16.666666666666668</v>
      </c>
      <c r="F3" s="290">
        <f>Evaluacion!L3</f>
        <v>11.832727272727276</v>
      </c>
      <c r="G3" s="290">
        <f>Evaluacion!M3</f>
        <v>2.0299999999999994</v>
      </c>
      <c r="H3" s="290">
        <f>Evaluacion!N3</f>
        <v>2.1199999999999992</v>
      </c>
      <c r="I3" s="290">
        <f>Evaluacion!O3</f>
        <v>1.0400000000000003</v>
      </c>
      <c r="J3" s="290">
        <f>Evaluacion!P3</f>
        <v>0.14055555555555557</v>
      </c>
      <c r="K3" s="290">
        <f>Evaluacion!Q3</f>
        <v>17.849999999999998</v>
      </c>
      <c r="M3" t="s">
        <v>1</v>
      </c>
      <c r="N3" s="629">
        <v>1</v>
      </c>
      <c r="O3" s="630">
        <f>Evaluacion!X3</f>
        <v>15.549969923212977</v>
      </c>
      <c r="P3" s="630">
        <f>Evaluacion!Y3</f>
        <v>22.913984829693582</v>
      </c>
      <c r="Q3" s="630">
        <f>Evaluacion!Z3</f>
        <v>15.549969923212977</v>
      </c>
      <c r="R3" s="630">
        <v>0</v>
      </c>
      <c r="S3" s="630">
        <v>0</v>
      </c>
      <c r="T3" s="630">
        <v>0</v>
      </c>
      <c r="U3" s="630">
        <v>0</v>
      </c>
      <c r="V3" s="630">
        <v>0</v>
      </c>
      <c r="W3" s="630">
        <f>Evaluacion!T3</f>
        <v>0.54252777777777772</v>
      </c>
      <c r="X3" s="630">
        <f>Evaluacion!U3</f>
        <v>1.008809090909091</v>
      </c>
      <c r="Y3" s="634"/>
    </row>
    <row r="4" spans="2:25" x14ac:dyDescent="0.25">
      <c r="B4" t="s">
        <v>967</v>
      </c>
      <c r="C4" t="str">
        <f>Evaluacion!A6</f>
        <v>E. Toney</v>
      </c>
      <c r="D4" s="669"/>
      <c r="E4" s="290">
        <f>Evaluacion!K6</f>
        <v>0</v>
      </c>
      <c r="F4" s="290">
        <f>Evaluacion!L6</f>
        <v>12.060000000000004</v>
      </c>
      <c r="G4" s="290">
        <f>Evaluacion!M6</f>
        <v>13.076555555555554</v>
      </c>
      <c r="H4" s="290">
        <f>Evaluacion!N6</f>
        <v>9.7100000000000062</v>
      </c>
      <c r="I4" s="290">
        <f>Evaluacion!O6</f>
        <v>9.6</v>
      </c>
      <c r="J4" s="290">
        <f>Evaluacion!P6</f>
        <v>3.6816666666666658</v>
      </c>
      <c r="K4" s="290">
        <f>Evaluacion!Q6</f>
        <v>16.627777777777773</v>
      </c>
      <c r="M4" t="s">
        <v>967</v>
      </c>
      <c r="N4" s="629">
        <v>1</v>
      </c>
      <c r="O4" s="630">
        <f>Evaluacion!AI6</f>
        <v>13.803416720921515</v>
      </c>
      <c r="P4" s="630">
        <f>Evaluacion!AJ6</f>
        <v>6.2115375244146813</v>
      </c>
      <c r="Q4" s="630">
        <v>0</v>
      </c>
      <c r="R4" s="630">
        <f>Evaluacion!AK6</f>
        <v>2.675384986901574</v>
      </c>
      <c r="S4" s="630">
        <f>Evaluacion!AL6</f>
        <v>7.4403837303281</v>
      </c>
      <c r="T4" s="630">
        <v>0</v>
      </c>
      <c r="U4" s="630">
        <v>0</v>
      </c>
      <c r="V4" s="630">
        <f>Evaluacion!R6</f>
        <v>4.2825000000000006</v>
      </c>
      <c r="W4" s="630">
        <f>Evaluacion!T6</f>
        <v>0.68291666666666639</v>
      </c>
      <c r="X4" s="630">
        <f>Evaluacion!U6</f>
        <v>0.98123333333333329</v>
      </c>
    </row>
    <row r="5" spans="2:25" x14ac:dyDescent="0.25">
      <c r="B5" t="s">
        <v>968</v>
      </c>
      <c r="C5" t="str">
        <f>Evaluacion!A15</f>
        <v>E. Gross</v>
      </c>
      <c r="D5" s="669"/>
      <c r="E5" s="290">
        <f>Evaluacion!K15</f>
        <v>0</v>
      </c>
      <c r="F5" s="290">
        <f>Evaluacion!L15</f>
        <v>10.349999999999996</v>
      </c>
      <c r="G5" s="290">
        <f>Evaluacion!M15</f>
        <v>12.849777777777778</v>
      </c>
      <c r="H5" s="290">
        <f>Evaluacion!N15</f>
        <v>5.1199999999999983</v>
      </c>
      <c r="I5" s="290">
        <f>Evaluacion!O15</f>
        <v>9.24</v>
      </c>
      <c r="J5" s="290">
        <f>Evaluacion!P15</f>
        <v>2.98</v>
      </c>
      <c r="K5" s="290">
        <f>Evaluacion!Q15</f>
        <v>16.959999999999997</v>
      </c>
      <c r="M5" t="s">
        <v>968</v>
      </c>
      <c r="N5" s="629">
        <v>1</v>
      </c>
      <c r="O5" s="630">
        <f>(Evaluacion!AA15+Evaluacion!AC15)/2</f>
        <v>5.0783391348706903</v>
      </c>
      <c r="P5" s="630">
        <f>Evaluacion!AB15</f>
        <v>13.122323345919096</v>
      </c>
      <c r="Q5" s="630">
        <f>O5</f>
        <v>5.0783391348706903</v>
      </c>
      <c r="R5" s="630">
        <f>Evaluacion!AD15</f>
        <v>3.7180600674398567</v>
      </c>
      <c r="S5" s="630">
        <v>0</v>
      </c>
      <c r="T5" s="630">
        <v>0</v>
      </c>
      <c r="U5" s="630">
        <v>0</v>
      </c>
      <c r="V5" s="630">
        <f>Evaluacion!R15</f>
        <v>3.9787499999999998</v>
      </c>
      <c r="W5" s="630">
        <f>Evaluacion!T15</f>
        <v>0.65779999999999994</v>
      </c>
      <c r="X5" s="630">
        <f>Evaluacion!U15</f>
        <v>0.92279999999999984</v>
      </c>
    </row>
    <row r="6" spans="2:25" x14ac:dyDescent="0.25">
      <c r="B6" t="s">
        <v>967</v>
      </c>
      <c r="C6" t="str">
        <f>Evaluacion!A9</f>
        <v>B. Pinczehelyi</v>
      </c>
      <c r="D6" s="669" t="str">
        <f>Evaluacion!D9</f>
        <v>CAB</v>
      </c>
      <c r="E6" s="290">
        <f>Evaluacion!K9</f>
        <v>0</v>
      </c>
      <c r="F6" s="290">
        <f>Evaluacion!L9</f>
        <v>14.200000000000003</v>
      </c>
      <c r="G6" s="290">
        <f>Evaluacion!M9</f>
        <v>9.299333333333335</v>
      </c>
      <c r="H6" s="290">
        <f>Evaluacion!N9</f>
        <v>14.249999999999996</v>
      </c>
      <c r="I6" s="290">
        <f>Evaluacion!O9</f>
        <v>9.4199999999999982</v>
      </c>
      <c r="J6" s="290">
        <f>Evaluacion!P9</f>
        <v>1.1428571428571428</v>
      </c>
      <c r="K6" s="290">
        <f>Evaluacion!Q9</f>
        <v>9.4</v>
      </c>
      <c r="M6" t="s">
        <v>967</v>
      </c>
      <c r="N6" s="629">
        <v>1</v>
      </c>
      <c r="O6" s="630">
        <v>0</v>
      </c>
      <c r="P6" s="630">
        <f>Evaluacion!AJ9</f>
        <v>6.925462675694388</v>
      </c>
      <c r="Q6" s="630">
        <f>Evaluacion!AI9</f>
        <v>15.389917057098641</v>
      </c>
      <c r="R6" s="630">
        <f>Evaluacion!AK9</f>
        <v>1.9751931759443548</v>
      </c>
      <c r="S6" s="630">
        <v>0</v>
      </c>
      <c r="T6" s="630">
        <f>0</f>
        <v>0</v>
      </c>
      <c r="U6" s="630">
        <f>Evaluacion!AL9</f>
        <v>9.865564379971735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13.599999999999998</v>
      </c>
      <c r="H7" s="290">
        <f>Evaluacion!N13</f>
        <v>12.725000000000001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11.960664509114446</v>
      </c>
      <c r="S7" s="630">
        <f>Evaluacion!BH13*N7</f>
        <v>10.634475652500278</v>
      </c>
      <c r="T7" s="630">
        <f>Evaluacion!BI13*N7</f>
        <v>2.4911535382481067</v>
      </c>
      <c r="U7" s="630">
        <v>0</v>
      </c>
      <c r="V7" s="630">
        <v>0</v>
      </c>
      <c r="W7" s="630">
        <f>Evaluacion!T13*N7</f>
        <v>0.58367374999999988</v>
      </c>
      <c r="X7" s="630">
        <f>Evaluacion!U13*N7</f>
        <v>0.67959099999999995</v>
      </c>
    </row>
    <row r="8" spans="2:25" x14ac:dyDescent="0.25">
      <c r="B8" t="s">
        <v>969</v>
      </c>
      <c r="C8" t="str">
        <f>Evaluacion!A16</f>
        <v>L. Bauman</v>
      </c>
      <c r="D8" s="669"/>
      <c r="E8" s="290">
        <f>Evaluacion!K16</f>
        <v>0</v>
      </c>
      <c r="F8" s="290">
        <f>Evaluacion!L16</f>
        <v>5.2811111111111115</v>
      </c>
      <c r="G8" s="290">
        <f>Evaluacion!M16</f>
        <v>14.23617089947089</v>
      </c>
      <c r="H8" s="290">
        <f>Evaluacion!N16</f>
        <v>3.4924999999999993</v>
      </c>
      <c r="I8" s="290">
        <f>Evaluacion!O16</f>
        <v>9.1400000000000041</v>
      </c>
      <c r="J8" s="290">
        <f>Evaluacion!P16</f>
        <v>7.4318888888888894</v>
      </c>
      <c r="K8" s="290">
        <f>Evaluacion!Q16</f>
        <v>16.07</v>
      </c>
      <c r="M8" t="s">
        <v>969</v>
      </c>
      <c r="N8" s="629">
        <v>0.82499999999999996</v>
      </c>
      <c r="O8" s="630">
        <f>((Evaluacion!AX16+Evaluacion!AZ16)/2)*N8</f>
        <v>0.93382286872171882</v>
      </c>
      <c r="P8" s="630">
        <f>Evaluacion!AY16*N8</f>
        <v>2.6351262609431219</v>
      </c>
      <c r="Q8" s="630">
        <f>O8</f>
        <v>0.93382286872171882</v>
      </c>
      <c r="R8" s="630">
        <f>Evaluacion!BA16*N8</f>
        <v>13.975739977754621</v>
      </c>
      <c r="S8" s="630">
        <f>((Evaluacion!BB16+Evaluacion!BD16)/2)*N8</f>
        <v>1.8541229575348941</v>
      </c>
      <c r="T8" s="630">
        <f>Evaluacion!BC16*N8</f>
        <v>5.088110591115818</v>
      </c>
      <c r="U8" s="630">
        <f>S8</f>
        <v>1.8541229575348941</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14.142779365079358</v>
      </c>
      <c r="H9" s="290">
        <f>Evaluacion!N14</f>
        <v>9.99</v>
      </c>
      <c r="I9" s="290">
        <f>Evaluacion!O14</f>
        <v>10.09</v>
      </c>
      <c r="J9" s="290">
        <f>Evaluacion!P14</f>
        <v>4.3999999999999995</v>
      </c>
      <c r="K9" s="290">
        <f>Evaluacion!Q14</f>
        <v>16.544444444444441</v>
      </c>
      <c r="M9" t="s">
        <v>596</v>
      </c>
      <c r="N9" s="629">
        <v>0.82499999999999996</v>
      </c>
      <c r="O9" s="630">
        <v>0</v>
      </c>
      <c r="P9" s="630">
        <f>Evaluacion!BF14*N9</f>
        <v>3.3005243198785688</v>
      </c>
      <c r="Q9" s="630">
        <f>Evaluacion!BE14*N9</f>
        <v>2.7599211985191485</v>
      </c>
      <c r="R9" s="630">
        <f>Evaluacion!BG14*N9</f>
        <v>12.378776763210638</v>
      </c>
      <c r="S9" s="630">
        <v>0</v>
      </c>
      <c r="T9" s="630">
        <f>Evaluacion!BI14*N9</f>
        <v>2.5804549508354451</v>
      </c>
      <c r="U9" s="630">
        <f>Evaluacion!BH14*N9</f>
        <v>9.4714186568162262</v>
      </c>
      <c r="V9" s="630">
        <v>0</v>
      </c>
      <c r="W9" s="630">
        <f>Evaluacion!T14*N9</f>
        <v>0.59097499999999992</v>
      </c>
      <c r="X9" s="630">
        <f>Evaluacion!U14*N9</f>
        <v>0.69352433333333341</v>
      </c>
    </row>
    <row r="10" spans="2:25" x14ac:dyDescent="0.25">
      <c r="B10" t="s">
        <v>970</v>
      </c>
      <c r="C10" t="str">
        <f>Evaluacion!A10</f>
        <v>E. Romweber</v>
      </c>
      <c r="D10" s="669" t="str">
        <f>Evaluacion!D10</f>
        <v>IMP</v>
      </c>
      <c r="E10" s="290">
        <f>Evaluacion!K10</f>
        <v>0</v>
      </c>
      <c r="F10" s="290">
        <f>Evaluacion!L10</f>
        <v>11.95</v>
      </c>
      <c r="G10" s="290">
        <f>Evaluacion!M10</f>
        <v>12.444111111111114</v>
      </c>
      <c r="H10" s="290">
        <f>Evaluacion!N10</f>
        <v>13.05</v>
      </c>
      <c r="I10" s="290">
        <f>Evaluacion!O10</f>
        <v>10.91</v>
      </c>
      <c r="J10" s="290">
        <f>Evaluacion!P10</f>
        <v>7.7700000000000005</v>
      </c>
      <c r="K10" s="290">
        <f>Evaluacion!Q10</f>
        <v>17.13</v>
      </c>
      <c r="M10" t="s">
        <v>970</v>
      </c>
      <c r="N10" s="629">
        <v>1</v>
      </c>
      <c r="O10" s="630">
        <f>Evaluacion!BT10</f>
        <v>4.2311682558821708</v>
      </c>
      <c r="P10" s="630">
        <f>Evaluacion!BU10</f>
        <v>3.6352290649128509</v>
      </c>
      <c r="Q10" s="630">
        <v>0</v>
      </c>
      <c r="R10" s="630">
        <f>Evaluacion!BV10</f>
        <v>7.0036288528315715</v>
      </c>
      <c r="S10" s="630">
        <f>Evaluacion!BW10</f>
        <v>17.20415558985016</v>
      </c>
      <c r="T10" s="630">
        <f>Evaluacion!BX10</f>
        <v>1.6768760526821926</v>
      </c>
      <c r="U10" s="630">
        <v>0</v>
      </c>
      <c r="V10" s="630">
        <v>0</v>
      </c>
      <c r="W10" s="630">
        <f>Evaluacion!T10*N10</f>
        <v>0.90239999999999987</v>
      </c>
      <c r="X10" s="630">
        <f>Evaluacion!U10*N10</f>
        <v>0.9919</v>
      </c>
    </row>
    <row r="11" spans="2:25" x14ac:dyDescent="0.25">
      <c r="B11" t="s">
        <v>970</v>
      </c>
      <c r="C11" t="str">
        <f>Evaluacion!A11</f>
        <v>K. Helms</v>
      </c>
      <c r="D11" s="669" t="str">
        <f>Evaluacion!D11</f>
        <v>TEC</v>
      </c>
      <c r="E11" s="290">
        <f>Evaluacion!K11</f>
        <v>0</v>
      </c>
      <c r="F11" s="290">
        <f>Evaluacion!L11</f>
        <v>7.11</v>
      </c>
      <c r="G11" s="290">
        <f>Evaluacion!M11</f>
        <v>10.350000000000003</v>
      </c>
      <c r="H11" s="290">
        <f>Evaluacion!N11</f>
        <v>13.305</v>
      </c>
      <c r="I11" s="290">
        <f>Evaluacion!O11</f>
        <v>10.359999999999998</v>
      </c>
      <c r="J11" s="290">
        <f>Evaluacion!P11</f>
        <v>5.4050000000000002</v>
      </c>
      <c r="K11" s="290">
        <f>Evaluacion!Q11</f>
        <v>17.300000000000004</v>
      </c>
      <c r="M11" t="s">
        <v>970</v>
      </c>
      <c r="N11" s="629">
        <v>1</v>
      </c>
      <c r="O11" s="630">
        <v>0</v>
      </c>
      <c r="P11" s="630">
        <f>Evaluacion!BU11</f>
        <v>2.4289712558798771</v>
      </c>
      <c r="Q11" s="630">
        <f>Evaluacion!BT11</f>
        <v>2.8271632650405123</v>
      </c>
      <c r="R11" s="630">
        <f>Evaluacion!BV11</f>
        <v>6.0036341042022316</v>
      </c>
      <c r="S11" s="630">
        <v>0</v>
      </c>
      <c r="T11" s="630">
        <f>Evaluacion!BX11</f>
        <v>1.5977808277109224</v>
      </c>
      <c r="U11" s="630">
        <f>Evaluacion!BW11</f>
        <v>17.175398653749603</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8.375</v>
      </c>
      <c r="H12" s="290">
        <f>Evaluacion!N19</f>
        <v>8.7199999999999971</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2.64796875</v>
      </c>
      <c r="S12" s="630">
        <f>N12*Evaluacion!CH19</f>
        <v>6.7704682499999995</v>
      </c>
      <c r="T12" s="630">
        <f>N12*Evaluacion!CI19</f>
        <v>15.136011450000003</v>
      </c>
      <c r="U12" s="630">
        <f>S12</f>
        <v>6.7704682499999995</v>
      </c>
      <c r="V12" s="630">
        <v>0</v>
      </c>
      <c r="W12" s="630">
        <f>Evaluacion!T19*N12</f>
        <v>0.93302212499999981</v>
      </c>
      <c r="X12" s="630">
        <f>Evaluacion!U19*N12</f>
        <v>0.7861499999999999</v>
      </c>
    </row>
    <row r="13" spans="2:25" x14ac:dyDescent="0.25">
      <c r="B13" t="s">
        <v>736</v>
      </c>
      <c r="C13" t="str">
        <f>Evaluacion!A20</f>
        <v>L. Calosso</v>
      </c>
      <c r="D13" s="669" t="str">
        <f>Evaluacion!D20</f>
        <v>TEC</v>
      </c>
      <c r="E13" s="290">
        <f>Evaluacion!K20</f>
        <v>0</v>
      </c>
      <c r="F13" s="290">
        <f>Evaluacion!L20</f>
        <v>2</v>
      </c>
      <c r="G13" s="290">
        <f>Evaluacion!M20</f>
        <v>14.1038</v>
      </c>
      <c r="H13" s="290">
        <f>Evaluacion!N20</f>
        <v>3</v>
      </c>
      <c r="I13" s="290">
        <f>Evaluacion!O20</f>
        <v>15.02</v>
      </c>
      <c r="J13" s="290">
        <f>Evaluacion!P20</f>
        <v>10</v>
      </c>
      <c r="K13" s="290">
        <f>Evaluacion!Q20</f>
        <v>9.3000000000000007</v>
      </c>
      <c r="M13" t="s">
        <v>736</v>
      </c>
      <c r="N13" s="629">
        <f>1-0.055</f>
        <v>0.94499999999999995</v>
      </c>
      <c r="O13" s="630">
        <v>0</v>
      </c>
      <c r="P13" s="630">
        <v>0</v>
      </c>
      <c r="Q13" s="630">
        <v>0</v>
      </c>
      <c r="R13" s="630">
        <f>N13*Evaluacion!CD20</f>
        <v>6.5004805879722491</v>
      </c>
      <c r="S13" s="630">
        <f>N13*Evaluacion!CE20</f>
        <v>7.836673503510645</v>
      </c>
      <c r="T13" s="630">
        <f>N13*Evaluacion!CF20</f>
        <v>16.237633692267863</v>
      </c>
      <c r="U13" s="630">
        <f>S13</f>
        <v>7.836673503510645</v>
      </c>
      <c r="V13" s="630">
        <v>0</v>
      </c>
      <c r="W13" s="630">
        <f>Evaluacion!T20*N13</f>
        <v>0.736155</v>
      </c>
      <c r="X13" s="630">
        <f>Evaluacion!U20*N13</f>
        <v>0.33925499999999997</v>
      </c>
    </row>
    <row r="14" spans="2:25" x14ac:dyDescent="0.25">
      <c r="M14" s="288"/>
      <c r="N14" s="476"/>
      <c r="O14" s="631">
        <f>SUM(O3:O13)</f>
        <v>42.489551300518613</v>
      </c>
      <c r="P14" s="631">
        <f t="shared" ref="P14:X14" si="0">SUM(P3:P13)</f>
        <v>64.632631339619735</v>
      </c>
      <c r="Q14" s="631">
        <f t="shared" si="0"/>
        <v>42.539133447463691</v>
      </c>
      <c r="R14" s="631">
        <f t="shared" si="0"/>
        <v>68.839531775371555</v>
      </c>
      <c r="S14" s="631">
        <f t="shared" si="0"/>
        <v>51.740279683724083</v>
      </c>
      <c r="T14" s="631">
        <f t="shared" si="0"/>
        <v>44.808021102860351</v>
      </c>
      <c r="U14" s="631">
        <f t="shared" si="0"/>
        <v>52.973646401583103</v>
      </c>
      <c r="V14" s="687">
        <f t="shared" si="0"/>
        <v>12.766249999999999</v>
      </c>
      <c r="W14" s="687">
        <f t="shared" si="0"/>
        <v>7.4621610932539681</v>
      </c>
      <c r="X14" s="687">
        <f t="shared" si="0"/>
        <v>8.6286719242424237</v>
      </c>
    </row>
    <row r="15" spans="2:25" ht="15.75" x14ac:dyDescent="0.25">
      <c r="M15" s="288"/>
      <c r="N15" s="288" t="s">
        <v>975</v>
      </c>
      <c r="O15" s="633">
        <f>O14*0.34</f>
        <v>14.44644744217633</v>
      </c>
      <c r="P15" s="633">
        <f>P14*0.245</f>
        <v>15.834994678206835</v>
      </c>
      <c r="Q15" s="633">
        <f>Q14*0.34</f>
        <v>14.463305372137656</v>
      </c>
      <c r="R15" s="633">
        <f>R14*0.125</f>
        <v>8.6049414719214443</v>
      </c>
      <c r="S15" s="633">
        <f>S14*0.25</f>
        <v>12.935069920931021</v>
      </c>
      <c r="T15" s="633">
        <f>T14*0.19</f>
        <v>8.5135240095434668</v>
      </c>
      <c r="U15" s="633">
        <f>U14*0.25</f>
        <v>13.243411600395776</v>
      </c>
    </row>
    <row r="16" spans="2:25" ht="15.75" x14ac:dyDescent="0.25">
      <c r="M16" s="288"/>
      <c r="N16" s="288" t="s">
        <v>976</v>
      </c>
      <c r="O16" s="643">
        <f>O15*1.2/1.05</f>
        <v>16.510225648201519</v>
      </c>
      <c r="P16" s="643">
        <f t="shared" ref="P16:Q16" si="1">P15*1.2/1.05</f>
        <v>18.097136775093521</v>
      </c>
      <c r="Q16" s="643">
        <f t="shared" si="1"/>
        <v>16.529491853871605</v>
      </c>
      <c r="R16" s="643">
        <f>R15</f>
        <v>8.6049414719214443</v>
      </c>
      <c r="S16" s="643">
        <f>S15*0.925/1.05</f>
        <v>11.395180644629708</v>
      </c>
      <c r="T16" s="643">
        <f t="shared" ref="T16:U16" si="2">T15*0.925/1.05</f>
        <v>7.5000092465025778</v>
      </c>
      <c r="U16" s="643">
        <f t="shared" si="2"/>
        <v>11.666814981301039</v>
      </c>
    </row>
    <row r="17" spans="13:21" ht="15.75" x14ac:dyDescent="0.25">
      <c r="M17" s="288"/>
      <c r="N17" s="288" t="s">
        <v>977</v>
      </c>
      <c r="O17" s="643">
        <f>O15*0.925/1.05</f>
        <v>12.726632270488672</v>
      </c>
      <c r="P17" s="643">
        <f t="shared" ref="P17:Q17" si="3">P15*0.925/1.05</f>
        <v>13.949876264134593</v>
      </c>
      <c r="Q17" s="643">
        <f t="shared" si="3"/>
        <v>12.74148330402603</v>
      </c>
      <c r="R17" s="643">
        <f>R16</f>
        <v>8.6049414719214443</v>
      </c>
      <c r="S17" s="643">
        <f>S15*1.135/1.05</f>
        <v>13.982194628815913</v>
      </c>
      <c r="T17" s="643">
        <f t="shared" ref="T17:U17" si="4">T15*1.135/1.05</f>
        <v>9.2027140484112717</v>
      </c>
      <c r="U17" s="643">
        <f t="shared" si="4"/>
        <v>14.315497301380196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830</v>
      </c>
      <c r="D1" s="526" t="s">
        <v>1</v>
      </c>
      <c r="E1" s="526" t="s">
        <v>2</v>
      </c>
      <c r="F1" s="526" t="s">
        <v>837</v>
      </c>
      <c r="G1" s="526" t="s">
        <v>66</v>
      </c>
      <c r="H1" s="526" t="s">
        <v>712</v>
      </c>
      <c r="I1" s="526" t="s">
        <v>838</v>
      </c>
      <c r="J1" s="526" t="s">
        <v>0</v>
      </c>
      <c r="L1" s="628">
        <v>541</v>
      </c>
      <c r="M1" s="476" t="s">
        <v>971</v>
      </c>
      <c r="N1" s="48" t="s">
        <v>841</v>
      </c>
      <c r="O1" s="48" t="s">
        <v>972</v>
      </c>
      <c r="P1" s="48" t="s">
        <v>841</v>
      </c>
      <c r="Q1" s="48" t="s">
        <v>65</v>
      </c>
      <c r="R1" s="48" t="s">
        <v>843</v>
      </c>
      <c r="S1" s="48" t="s">
        <v>844</v>
      </c>
      <c r="T1" s="48" t="s">
        <v>843</v>
      </c>
      <c r="U1" s="48" t="s">
        <v>699</v>
      </c>
      <c r="V1" s="48" t="s">
        <v>973</v>
      </c>
      <c r="W1" s="48" t="s">
        <v>974</v>
      </c>
    </row>
    <row r="2" spans="1:27" x14ac:dyDescent="0.25">
      <c r="A2" t="s">
        <v>1</v>
      </c>
      <c r="B2" t="str">
        <f>Evaluacion!A3</f>
        <v>D. Gehmacher</v>
      </c>
      <c r="C2">
        <f>Evaluacion!D3</f>
        <v>0</v>
      </c>
      <c r="D2" s="290">
        <f>Evaluacion!K3</f>
        <v>16.666666666666668</v>
      </c>
      <c r="E2" s="290">
        <f>Evaluacion!L3</f>
        <v>11.832727272727276</v>
      </c>
      <c r="F2" s="290">
        <f>Evaluacion!M3</f>
        <v>2.0299999999999994</v>
      </c>
      <c r="G2" s="290">
        <f>Evaluacion!N3</f>
        <v>2.1199999999999992</v>
      </c>
      <c r="H2" s="290">
        <f>Evaluacion!O3</f>
        <v>1.0400000000000003</v>
      </c>
      <c r="I2" s="290">
        <f>Evaluacion!P3</f>
        <v>0.14055555555555557</v>
      </c>
      <c r="J2" s="290">
        <f>Evaluacion!Q3</f>
        <v>17.849999999999998</v>
      </c>
      <c r="L2" t="str">
        <f>A2</f>
        <v>POR</v>
      </c>
      <c r="M2" s="629">
        <v>1</v>
      </c>
      <c r="N2" s="630">
        <f>Evaluacion!X3</f>
        <v>15.549969923212977</v>
      </c>
      <c r="O2" s="630">
        <f>Evaluacion!Y3</f>
        <v>22.913984829693582</v>
      </c>
      <c r="P2" s="630">
        <f>Evaluacion!Z3</f>
        <v>15.549969923212977</v>
      </c>
      <c r="Q2" s="630">
        <v>0</v>
      </c>
      <c r="R2" s="630">
        <v>0</v>
      </c>
      <c r="S2" s="630">
        <v>0</v>
      </c>
      <c r="T2" s="630">
        <v>0</v>
      </c>
      <c r="U2" s="630">
        <v>0</v>
      </c>
      <c r="V2" s="630">
        <f>Evaluacion!T3</f>
        <v>0.54252777777777772</v>
      </c>
      <c r="W2" s="630">
        <f>Evaluacion!U3</f>
        <v>1.008809090909091</v>
      </c>
      <c r="AA2" s="635"/>
    </row>
    <row r="3" spans="1:27" x14ac:dyDescent="0.25">
      <c r="A3" t="s">
        <v>967</v>
      </c>
      <c r="B3" t="str">
        <f>Evaluacion!A9</f>
        <v>B. Pinczehelyi</v>
      </c>
      <c r="C3" t="str">
        <f>Evaluacion!D9</f>
        <v>CAB</v>
      </c>
      <c r="D3" s="290">
        <f>Evaluacion!K9</f>
        <v>0</v>
      </c>
      <c r="E3" s="290">
        <f>Evaluacion!L9</f>
        <v>14.200000000000003</v>
      </c>
      <c r="F3" s="290">
        <f>Evaluacion!M9</f>
        <v>9.299333333333335</v>
      </c>
      <c r="G3" s="290">
        <f>Evaluacion!N9</f>
        <v>14.249999999999996</v>
      </c>
      <c r="H3" s="290">
        <f>Evaluacion!O9</f>
        <v>9.4199999999999982</v>
      </c>
      <c r="I3" s="290">
        <f>Evaluacion!P9</f>
        <v>1.1428571428571428</v>
      </c>
      <c r="J3" s="290">
        <f>Evaluacion!Q9</f>
        <v>9.4</v>
      </c>
      <c r="L3" t="str">
        <f t="shared" ref="L3:L12" si="0">A3</f>
        <v>LATN</v>
      </c>
      <c r="M3" s="629">
        <v>1</v>
      </c>
      <c r="N3" s="630">
        <f>Evaluacion!AI9</f>
        <v>15.389917057098641</v>
      </c>
      <c r="O3" s="630">
        <f>Evaluacion!AJ9</f>
        <v>6.925462675694388</v>
      </c>
      <c r="P3" s="630">
        <v>0</v>
      </c>
      <c r="Q3" s="630">
        <f>Evaluacion!AK9</f>
        <v>1.9751931759443548</v>
      </c>
      <c r="R3" s="630">
        <f>Evaluacion!AL9</f>
        <v>9.865564379971735</v>
      </c>
      <c r="S3" s="630">
        <v>0</v>
      </c>
      <c r="T3" s="630">
        <v>0</v>
      </c>
      <c r="U3" s="630">
        <f>Evaluacion!R9</f>
        <v>4.5049999999999999</v>
      </c>
      <c r="V3" s="630">
        <f>Evaluacion!T9</f>
        <v>0.33914285714285713</v>
      </c>
      <c r="W3" s="630">
        <f>Evaluacion!U9</f>
        <v>0.8500000000000002</v>
      </c>
      <c r="AA3" s="636"/>
    </row>
    <row r="4" spans="1:27" x14ac:dyDescent="0.25">
      <c r="A4" t="s">
        <v>979</v>
      </c>
      <c r="B4" t="str">
        <f>Evaluacion!A7</f>
        <v>B. Bartolache</v>
      </c>
      <c r="C4">
        <f>Evaluacion!D7</f>
        <v>0</v>
      </c>
      <c r="D4" s="290">
        <f>Evaluacion!K7</f>
        <v>0</v>
      </c>
      <c r="E4" s="290">
        <f>Evaluacion!L7</f>
        <v>11.649999999999997</v>
      </c>
      <c r="F4" s="290">
        <f>Evaluacion!M7</f>
        <v>6.6900000000000022</v>
      </c>
      <c r="G4" s="290">
        <f>Evaluacion!N7</f>
        <v>7.3600000000000012</v>
      </c>
      <c r="H4" s="290">
        <f>Evaluacion!O7</f>
        <v>9.0199999999999978</v>
      </c>
      <c r="I4" s="290">
        <f>Evaluacion!P7</f>
        <v>4.6199999999999966</v>
      </c>
      <c r="J4" s="290">
        <f>Evaluacion!Q7</f>
        <v>15.6</v>
      </c>
      <c r="L4" t="str">
        <f t="shared" si="0"/>
        <v>DCHL</v>
      </c>
      <c r="M4" s="629">
        <v>0.9</v>
      </c>
      <c r="N4" s="630">
        <f>M4*Evaluacion!AM7</f>
        <v>9.7956252261822563</v>
      </c>
      <c r="O4" s="630">
        <f>M4*Evaluacion!AN7</f>
        <v>9.1980141381127805</v>
      </c>
      <c r="P4" s="630">
        <v>0</v>
      </c>
      <c r="Q4" s="630">
        <f>M4*Evaluacion!AO7</f>
        <v>2.7632730806000496</v>
      </c>
      <c r="R4" s="630">
        <f>M4*Evaluacion!AP7</f>
        <v>1.7810410731306234</v>
      </c>
      <c r="S4" s="630">
        <v>0</v>
      </c>
      <c r="T4" s="630">
        <v>0</v>
      </c>
      <c r="U4" s="630">
        <f>Evaluacion!R7</f>
        <v>4.0862499999999988</v>
      </c>
      <c r="V4" s="630">
        <f>Evaluacion!T7*M4</f>
        <v>0.62909999999999988</v>
      </c>
      <c r="W4" s="630">
        <f>Evaluacion!U7*M4</f>
        <v>0.84060000000000001</v>
      </c>
      <c r="AA4" s="636"/>
    </row>
    <row r="5" spans="1:27" x14ac:dyDescent="0.25">
      <c r="A5" t="s">
        <v>978</v>
      </c>
      <c r="B5" t="str">
        <f>Evaluacion!A6</f>
        <v>E. Toney</v>
      </c>
      <c r="C5">
        <f>Evaluacion!D6</f>
        <v>0</v>
      </c>
      <c r="D5" s="290">
        <f>Evaluacion!K6</f>
        <v>0</v>
      </c>
      <c r="E5" s="290">
        <f>Evaluacion!L6</f>
        <v>12.060000000000004</v>
      </c>
      <c r="F5" s="290">
        <f>Evaluacion!M6</f>
        <v>13.076555555555554</v>
      </c>
      <c r="G5" s="290">
        <f>Evaluacion!N6</f>
        <v>9.7100000000000062</v>
      </c>
      <c r="H5" s="290">
        <f>Evaluacion!O6</f>
        <v>9.6</v>
      </c>
      <c r="I5" s="290">
        <f>Evaluacion!P6</f>
        <v>3.6816666666666658</v>
      </c>
      <c r="J5" s="290">
        <f>Evaluacion!Q6</f>
        <v>16.627777777777773</v>
      </c>
      <c r="L5" t="str">
        <f t="shared" si="0"/>
        <v>DCN</v>
      </c>
      <c r="M5" s="629">
        <v>0.9</v>
      </c>
      <c r="N5" s="630">
        <f>M5*(Evaluacion!AA6+Evaluacion!AC6)/2</f>
        <v>5.2257935259749599</v>
      </c>
      <c r="O5" s="630">
        <f>M5*Evaluacion!AB6</f>
        <v>13.503342444379744</v>
      </c>
      <c r="P5" s="630">
        <f>N5</f>
        <v>5.2257935259749599</v>
      </c>
      <c r="Q5" s="630">
        <f>M5*Evaluacion!AD6</f>
        <v>3.4315417017623782</v>
      </c>
      <c r="R5" s="630">
        <v>0</v>
      </c>
      <c r="S5" s="630">
        <f>0</f>
        <v>0</v>
      </c>
      <c r="T5" s="630">
        <v>0</v>
      </c>
      <c r="U5" s="630">
        <f>Evaluacion!R6</f>
        <v>4.2825000000000006</v>
      </c>
      <c r="V5" s="630">
        <f>Evaluacion!T6*M5</f>
        <v>0.61462499999999975</v>
      </c>
      <c r="W5" s="630">
        <f>Evaluacion!U6*M5</f>
        <v>0.88310999999999995</v>
      </c>
      <c r="AA5" s="636"/>
    </row>
    <row r="6" spans="1:27" x14ac:dyDescent="0.25">
      <c r="A6" t="s">
        <v>979</v>
      </c>
      <c r="B6" t="str">
        <f>Evaluacion!A5</f>
        <v>D. Toh</v>
      </c>
      <c r="C6" t="str">
        <f>Evaluacion!D5</f>
        <v>CAB</v>
      </c>
      <c r="D6" s="290">
        <f>Evaluacion!K5</f>
        <v>0</v>
      </c>
      <c r="E6" s="290">
        <f>Evaluacion!L5</f>
        <v>11</v>
      </c>
      <c r="F6" s="290">
        <f>Evaluacion!M5</f>
        <v>6.1794444444444414</v>
      </c>
      <c r="G6" s="290">
        <f>Evaluacion!N5</f>
        <v>5.98</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967</v>
      </c>
      <c r="B7" t="str">
        <f>Evaluacion!A10</f>
        <v>E. Romweber</v>
      </c>
      <c r="C7" t="str">
        <f>Evaluacion!D10</f>
        <v>IMP</v>
      </c>
      <c r="D7" s="290">
        <f>Evaluacion!K10</f>
        <v>0</v>
      </c>
      <c r="E7" s="290">
        <f>Evaluacion!L10</f>
        <v>11.95</v>
      </c>
      <c r="F7" s="290">
        <f>Evaluacion!M10</f>
        <v>12.444111111111114</v>
      </c>
      <c r="G7" s="290">
        <f>Evaluacion!N10</f>
        <v>13.05</v>
      </c>
      <c r="H7" s="290">
        <f>Evaluacion!O10</f>
        <v>10.91</v>
      </c>
      <c r="I7" s="290">
        <f>Evaluacion!P10</f>
        <v>7.7700000000000005</v>
      </c>
      <c r="J7" s="290">
        <f>Evaluacion!Q10</f>
        <v>17.13</v>
      </c>
      <c r="L7" t="str">
        <f t="shared" si="0"/>
        <v>LATN</v>
      </c>
      <c r="M7" s="629">
        <v>1</v>
      </c>
      <c r="N7" s="630">
        <v>0</v>
      </c>
      <c r="O7" s="630">
        <f>Evaluacion!AJ10</f>
        <v>6.1679706265324601</v>
      </c>
      <c r="P7" s="630">
        <f>Evaluacion!AI10</f>
        <v>13.706601392294356</v>
      </c>
      <c r="Q7" s="630">
        <f>Evaluacion!AK10</f>
        <v>2.5705626778524668</v>
      </c>
      <c r="R7" s="630">
        <v>0</v>
      </c>
      <c r="S7" s="630">
        <v>0</v>
      </c>
      <c r="T7" s="630">
        <f>Evaluacion!AL10</f>
        <v>9.4071061072490014</v>
      </c>
      <c r="U7" s="630">
        <f>Evaluacion!R10</f>
        <v>4.5962499999999995</v>
      </c>
      <c r="V7" s="630">
        <f>Evaluacion!T10</f>
        <v>0.90239999999999987</v>
      </c>
      <c r="W7" s="630">
        <f>Evaluacion!U10</f>
        <v>0.9919</v>
      </c>
      <c r="AA7" s="636"/>
    </row>
    <row r="8" spans="1:27" x14ac:dyDescent="0.25">
      <c r="A8" t="s">
        <v>596</v>
      </c>
      <c r="B8" t="str">
        <f>Evaluacion!A14</f>
        <v>C. Rojas</v>
      </c>
      <c r="C8" t="str">
        <f>Evaluacion!D14</f>
        <v>TEC</v>
      </c>
      <c r="D8" s="290">
        <f>Evaluacion!K14</f>
        <v>0</v>
      </c>
      <c r="E8" s="290">
        <f>Evaluacion!L14</f>
        <v>8.6075555555555585</v>
      </c>
      <c r="F8" s="290">
        <f>Evaluacion!M14</f>
        <v>14.142779365079358</v>
      </c>
      <c r="G8" s="290">
        <f>Evaluacion!N14</f>
        <v>9.99</v>
      </c>
      <c r="H8" s="290">
        <f>Evaluacion!O14</f>
        <v>10.09</v>
      </c>
      <c r="I8" s="290">
        <f>Evaluacion!P14</f>
        <v>4.3999999999999995</v>
      </c>
      <c r="J8" s="290">
        <f>Evaluacion!Q14</f>
        <v>16.544444444444441</v>
      </c>
      <c r="L8" t="str">
        <f t="shared" si="0"/>
        <v>IHL</v>
      </c>
      <c r="M8" s="629">
        <f>1-0.065</f>
        <v>0.93500000000000005</v>
      </c>
      <c r="N8" s="630">
        <f>M8*Evaluacion!BE14</f>
        <v>3.127910691655035</v>
      </c>
      <c r="O8" s="630">
        <f>M8*Evaluacion!BF14</f>
        <v>3.7405942291957119</v>
      </c>
      <c r="P8" s="630">
        <v>0</v>
      </c>
      <c r="Q8" s="630">
        <f>Evaluacion!BG14*M8</f>
        <v>14.029280331638725</v>
      </c>
      <c r="R8" s="630">
        <f>Evaluacion!BH14*M8</f>
        <v>10.734274477725059</v>
      </c>
      <c r="S8" s="630">
        <f>Evaluacion!BI14*M8</f>
        <v>2.9245156109468384</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13.599999999999998</v>
      </c>
      <c r="G9" s="290">
        <f>Evaluacion!N13</f>
        <v>12.725000000000001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13.555419776996374</v>
      </c>
      <c r="R9" s="630">
        <v>0</v>
      </c>
      <c r="S9" s="630">
        <f>Evaluacion!BI13*M9</f>
        <v>2.8233073433478548</v>
      </c>
      <c r="T9" s="630">
        <f>Evaluacion!BH13*M9</f>
        <v>12.052405739500315</v>
      </c>
      <c r="U9" s="630">
        <v>0</v>
      </c>
      <c r="V9" s="630">
        <f>Evaluacion!T13*M9</f>
        <v>0.66149691666666666</v>
      </c>
      <c r="W9" s="630">
        <f>Evaluacion!U13*M9</f>
        <v>0.77020313333333335</v>
      </c>
      <c r="AA9" s="636"/>
    </row>
    <row r="10" spans="1:27" x14ac:dyDescent="0.25">
      <c r="A10" t="s">
        <v>970</v>
      </c>
      <c r="B10" t="str">
        <f>Evaluacion!A11</f>
        <v>K. Helms</v>
      </c>
      <c r="C10" t="str">
        <f>Evaluacion!D11</f>
        <v>TEC</v>
      </c>
      <c r="D10" s="290">
        <f>Evaluacion!K11</f>
        <v>0</v>
      </c>
      <c r="E10" s="290">
        <f>Evaluacion!L11</f>
        <v>7.11</v>
      </c>
      <c r="F10" s="290">
        <f>Evaluacion!M11</f>
        <v>10.350000000000003</v>
      </c>
      <c r="G10" s="290">
        <f>Evaluacion!N11</f>
        <v>13.305</v>
      </c>
      <c r="H10" s="290">
        <f>Evaluacion!O11</f>
        <v>10.359999999999998</v>
      </c>
      <c r="I10" s="290">
        <f>Evaluacion!P11</f>
        <v>5.4050000000000002</v>
      </c>
      <c r="J10" s="290">
        <f>Evaluacion!Q11</f>
        <v>17.300000000000004</v>
      </c>
      <c r="L10" t="str">
        <f t="shared" si="0"/>
        <v>EXTN</v>
      </c>
      <c r="M10" s="629">
        <v>1</v>
      </c>
      <c r="N10" s="630">
        <f>Evaluacion!BT11</f>
        <v>2.8271632650405123</v>
      </c>
      <c r="O10" s="630">
        <f>Evaluacion!BU11</f>
        <v>2.4289712558798771</v>
      </c>
      <c r="P10" s="630">
        <v>0</v>
      </c>
      <c r="Q10" s="630">
        <f>Evaluacion!BV11</f>
        <v>6.0036341042022316</v>
      </c>
      <c r="R10" s="630">
        <f>Evaluacion!BW11</f>
        <v>17.175398653749603</v>
      </c>
      <c r="S10" s="630">
        <f>Evaluacion!BX11</f>
        <v>1.5977808277109224</v>
      </c>
      <c r="T10" s="630">
        <v>0</v>
      </c>
      <c r="U10" s="630">
        <v>0</v>
      </c>
      <c r="V10" s="630">
        <f>Evaluacion!T11</f>
        <v>0.78925000000000023</v>
      </c>
      <c r="W10" s="630">
        <f>Evaluacion!U11</f>
        <v>0.80340000000000023</v>
      </c>
      <c r="AA10" s="636"/>
    </row>
    <row r="11" spans="1:27" x14ac:dyDescent="0.25">
      <c r="A11" t="s">
        <v>970</v>
      </c>
      <c r="B11" t="str">
        <f>Evaluacion!A12</f>
        <v>S. Zobbe</v>
      </c>
      <c r="C11" t="str">
        <f>Evaluacion!D12</f>
        <v>CAB</v>
      </c>
      <c r="D11" s="290">
        <f>Evaluacion!K12</f>
        <v>0</v>
      </c>
      <c r="E11" s="290">
        <f>Evaluacion!L12</f>
        <v>8.1199999999999992</v>
      </c>
      <c r="F11" s="290">
        <f>Evaluacion!M12</f>
        <v>12.008412698412698</v>
      </c>
      <c r="G11" s="290">
        <f>Evaluacion!N12</f>
        <v>12.13</v>
      </c>
      <c r="H11" s="290">
        <f>Evaluacion!O12</f>
        <v>10.24</v>
      </c>
      <c r="I11" s="290">
        <f>Evaluacion!P12</f>
        <v>7.4766666666666666</v>
      </c>
      <c r="J11" s="290">
        <f>Evaluacion!Q12</f>
        <v>15.270000000000001</v>
      </c>
      <c r="L11" t="str">
        <f t="shared" si="0"/>
        <v>EXTN</v>
      </c>
      <c r="M11" s="629">
        <v>1</v>
      </c>
      <c r="N11" s="630">
        <v>0</v>
      </c>
      <c r="O11" s="630">
        <f>Evaluacion!BU12</f>
        <v>2.6513034961379072</v>
      </c>
      <c r="P11" s="630">
        <f>Evaluacion!BT12</f>
        <v>3.0859434135375641</v>
      </c>
      <c r="Q11" s="630">
        <f>Evaluacion!BV12</f>
        <v>6.713256838198876</v>
      </c>
      <c r="R11" s="630">
        <v>0</v>
      </c>
      <c r="S11" s="630">
        <f>Evaluacion!BX12</f>
        <v>1.5713057501339622</v>
      </c>
      <c r="T11" s="630">
        <f>Evaluacion!BW12</f>
        <v>16.0214457119705</v>
      </c>
      <c r="U11" s="630">
        <v>0</v>
      </c>
      <c r="V11" s="630">
        <f>Evaluacion!T12</f>
        <v>0.8319333333333333</v>
      </c>
      <c r="W11" s="630">
        <f>Evaluacion!U12</f>
        <v>0.78290000000000004</v>
      </c>
      <c r="AA11" s="636"/>
    </row>
    <row r="12" spans="1:27" x14ac:dyDescent="0.25">
      <c r="A12" t="s">
        <v>736</v>
      </c>
      <c r="B12" t="str">
        <f>Evaluacion!A20</f>
        <v>L. Calosso</v>
      </c>
      <c r="C12" t="str">
        <f>Evaluacion!D20</f>
        <v>TEC</v>
      </c>
      <c r="D12" s="290">
        <f>Evaluacion!K20</f>
        <v>0</v>
      </c>
      <c r="E12" s="290">
        <f>Evaluacion!L20</f>
        <v>2</v>
      </c>
      <c r="F12" s="290">
        <f>Evaluacion!M20</f>
        <v>14.1038</v>
      </c>
      <c r="G12" s="290">
        <f>Evaluacion!N20</f>
        <v>3</v>
      </c>
      <c r="H12" s="290">
        <f>Evaluacion!O20</f>
        <v>15.02</v>
      </c>
      <c r="I12" s="290">
        <f>Evaluacion!P20</f>
        <v>10</v>
      </c>
      <c r="J12" s="290">
        <f>Evaluacion!Q20</f>
        <v>9.3000000000000007</v>
      </c>
      <c r="L12" t="str">
        <f t="shared" si="0"/>
        <v>DD</v>
      </c>
      <c r="M12" s="629">
        <v>1</v>
      </c>
      <c r="N12" s="630">
        <v>0</v>
      </c>
      <c r="O12" s="630">
        <v>0</v>
      </c>
      <c r="P12" s="630">
        <v>0</v>
      </c>
      <c r="Q12" s="630">
        <f>M12*Evaluacion!CD20</f>
        <v>6.8788154370076713</v>
      </c>
      <c r="R12" s="630">
        <f>M12*Evaluacion!CE20</f>
        <v>8.2927761941911591</v>
      </c>
      <c r="S12" s="630">
        <f>M12*Evaluacion!CF20</f>
        <v>17.18268115583901</v>
      </c>
      <c r="T12" s="630">
        <f>R12</f>
        <v>8.2927761941911591</v>
      </c>
      <c r="U12" s="630">
        <v>0</v>
      </c>
      <c r="V12" s="630">
        <f>Evaluacion!T20*M12</f>
        <v>0.77900000000000003</v>
      </c>
      <c r="W12" s="630">
        <f>Evaluacion!U20*M12</f>
        <v>0.35899999999999999</v>
      </c>
      <c r="AA12" s="636"/>
    </row>
    <row r="13" spans="1:27" x14ac:dyDescent="0.25">
      <c r="L13" s="288"/>
      <c r="M13" s="476"/>
      <c r="N13" s="631">
        <f>SUM(N2:N12)</f>
        <v>51.91637968916438</v>
      </c>
      <c r="O13" s="631">
        <f t="shared" ref="O13:W13" si="1">SUM(O2:O12)</f>
        <v>80.158830748925411</v>
      </c>
      <c r="P13" s="631">
        <f t="shared" si="1"/>
        <v>50.121109335967482</v>
      </c>
      <c r="Q13" s="631">
        <f t="shared" si="1"/>
        <v>60.62889440138683</v>
      </c>
      <c r="R13" s="631">
        <f t="shared" si="1"/>
        <v>47.849054778768178</v>
      </c>
      <c r="S13" s="631">
        <f t="shared" si="1"/>
        <v>26.099590687978587</v>
      </c>
      <c r="T13" s="631">
        <f t="shared" si="1"/>
        <v>47.418990925539148</v>
      </c>
      <c r="U13" s="632">
        <f t="shared" si="1"/>
        <v>21.15069444444444</v>
      </c>
      <c r="V13" s="632">
        <f t="shared" si="1"/>
        <v>7.3709475515873013</v>
      </c>
      <c r="W13" s="632">
        <f t="shared" si="1"/>
        <v>8.8863664686868695</v>
      </c>
    </row>
    <row r="14" spans="1:27" ht="15.75" x14ac:dyDescent="0.25">
      <c r="L14" s="288"/>
      <c r="M14" s="288" t="s">
        <v>975</v>
      </c>
      <c r="N14" s="633">
        <f>N13*0.34</f>
        <v>17.651569094315889</v>
      </c>
      <c r="O14" s="633">
        <f>O13*0.245</f>
        <v>19.638913533486726</v>
      </c>
      <c r="P14" s="633">
        <f>P13*0.34</f>
        <v>17.041177174228945</v>
      </c>
      <c r="Q14" s="633">
        <f>Q13*0.125</f>
        <v>7.5786118001733538</v>
      </c>
      <c r="R14" s="633">
        <f>R13*0.25</f>
        <v>11.962263694692044</v>
      </c>
      <c r="S14" s="633">
        <f>S13*0.19</f>
        <v>4.958922230715932</v>
      </c>
      <c r="T14" s="633">
        <f>T13*0.25</f>
        <v>11.854747731384787</v>
      </c>
    </row>
    <row r="15" spans="1:27" ht="15.75" x14ac:dyDescent="0.25">
      <c r="L15" s="288"/>
      <c r="M15" s="288" t="s">
        <v>976</v>
      </c>
      <c r="N15" s="643">
        <f>N14*1.2/1.05</f>
        <v>20.173221822075302</v>
      </c>
      <c r="O15" s="643">
        <f t="shared" ref="O15:P15" si="2">O14*1.2/1.05</f>
        <v>22.444472609699112</v>
      </c>
      <c r="P15" s="643">
        <f t="shared" si="2"/>
        <v>19.475631056261651</v>
      </c>
      <c r="Q15" s="643">
        <f>Q14</f>
        <v>7.5786118001733538</v>
      </c>
      <c r="R15" s="643">
        <f>R14*0.925/1.05</f>
        <v>10.538184683419182</v>
      </c>
      <c r="S15" s="643">
        <f t="shared" ref="S15:T15" si="3">S14*0.925/1.05</f>
        <v>4.3685743461068922</v>
      </c>
      <c r="T15" s="643">
        <f t="shared" si="3"/>
        <v>10.443468239553265</v>
      </c>
    </row>
    <row r="16" spans="1:27" ht="15.75" x14ac:dyDescent="0.25">
      <c r="L16" s="288"/>
      <c r="M16" s="288" t="s">
        <v>977</v>
      </c>
      <c r="N16" s="643">
        <f>N14*0.925/1.05</f>
        <v>15.550191821183045</v>
      </c>
      <c r="O16" s="643">
        <f t="shared" ref="O16:P16" si="4">O14*0.925/1.05</f>
        <v>17.300947636643066</v>
      </c>
      <c r="P16" s="643">
        <f t="shared" si="4"/>
        <v>15.012465605868357</v>
      </c>
      <c r="Q16" s="643">
        <f>Q15</f>
        <v>7.5786118001733538</v>
      </c>
      <c r="R16" s="643">
        <f>R14*1.135/1.05</f>
        <v>12.930637422357592</v>
      </c>
      <c r="S16" s="643">
        <f t="shared" ref="S16:T16" si="5">S14*1.135/1.05</f>
        <v>5.3603587922500795</v>
      </c>
      <c r="T16" s="643">
        <f t="shared" si="5"/>
        <v>12.814417785830223</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SUM(Y4:Y12)</f>
        <v>0.23658764552873529</v>
      </c>
      <c r="Z2" s="652">
        <f>SUM(Z4:Z12)</f>
        <v>0.33824859010884656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9" t="s">
        <v>1</v>
      </c>
      <c r="P3" s="647" t="s">
        <v>968</v>
      </c>
      <c r="Q3" s="646" t="s">
        <v>998</v>
      </c>
      <c r="R3" s="646" t="s">
        <v>1004</v>
      </c>
      <c r="S3" s="646" t="s">
        <v>999</v>
      </c>
      <c r="T3" s="646" t="s">
        <v>969</v>
      </c>
      <c r="U3" s="646" t="s">
        <v>596</v>
      </c>
      <c r="V3" s="646" t="s">
        <v>1003</v>
      </c>
      <c r="W3" s="647" t="s">
        <v>736</v>
      </c>
      <c r="X3" s="647" t="s">
        <v>67</v>
      </c>
      <c r="Y3" s="646" t="s">
        <v>1001</v>
      </c>
      <c r="Z3" s="649" t="s">
        <v>1002</v>
      </c>
      <c r="AA3" s="649" t="s">
        <v>1007</v>
      </c>
      <c r="AD3" t="s">
        <v>1</v>
      </c>
      <c r="AE3" t="s">
        <v>928</v>
      </c>
      <c r="AG3" t="s">
        <v>1</v>
      </c>
      <c r="AH3" t="s">
        <v>928</v>
      </c>
    </row>
    <row r="4" spans="1:34" x14ac:dyDescent="0.25">
      <c r="A4" s="312" t="str">
        <f>PLANTILLA!A17</f>
        <v>#12</v>
      </c>
      <c r="B4" s="170" t="str">
        <f>PLANTILLA!D17</f>
        <v>E. Gross</v>
      </c>
      <c r="C4" s="5">
        <f>PLANTILLA!E17</f>
        <v>30</v>
      </c>
      <c r="D4" s="5">
        <f ca="1">PLANTILLA!F17</f>
        <v>63</v>
      </c>
      <c r="E4" s="163">
        <f>PLANTILLA!X17</f>
        <v>0</v>
      </c>
      <c r="F4" s="163">
        <f>PLANTILLA!Y17</f>
        <v>10.349999999999996</v>
      </c>
      <c r="G4" s="163">
        <f>PLANTILLA!Z17</f>
        <v>12.849777777777778</v>
      </c>
      <c r="H4" s="163">
        <f>PLANTILLA!AA17</f>
        <v>5.1199999999999983</v>
      </c>
      <c r="I4" s="163">
        <f>PLANTILLA!AB17</f>
        <v>9.24</v>
      </c>
      <c r="J4" s="163">
        <f>PLANTILLA!AC17</f>
        <v>2.98</v>
      </c>
      <c r="K4" s="163">
        <f>PLANTILLA!AD17</f>
        <v>16.959999999999997</v>
      </c>
      <c r="L4" s="363">
        <f>1/13</f>
        <v>7.6923076923076927E-2</v>
      </c>
      <c r="M4" s="363"/>
      <c r="N4" s="36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38">
        <f>P4</f>
        <v>6.6819197896120994E-2</v>
      </c>
      <c r="Z4" s="438">
        <f>P4</f>
        <v>6.6819197896120994E-2</v>
      </c>
      <c r="AA4" s="438">
        <f t="shared" ref="AA4:AA23" si="9">MAX(Z4,Y4)</f>
        <v>6.6819197896120994E-2</v>
      </c>
      <c r="AD4" t="s">
        <v>967</v>
      </c>
      <c r="AE4" s="668" t="s">
        <v>1020</v>
      </c>
      <c r="AG4" t="s">
        <v>967</v>
      </c>
      <c r="AH4" s="668" t="str">
        <f>AE4</f>
        <v>B. Pinczehelyi</v>
      </c>
    </row>
    <row r="5" spans="1:34" x14ac:dyDescent="0.25">
      <c r="A5" s="312" t="str">
        <f>PLANTILLA!A10</f>
        <v>#3</v>
      </c>
      <c r="B5" s="170" t="str">
        <f>PLANTILLA!D10</f>
        <v>B. Bartolache</v>
      </c>
      <c r="C5" s="5">
        <f>PLANTILLA!E10</f>
        <v>30</v>
      </c>
      <c r="D5" s="5">
        <f ca="1">PLANTILLA!F10</f>
        <v>99</v>
      </c>
      <c r="E5" s="163">
        <f>PLANTILLA!X10</f>
        <v>0</v>
      </c>
      <c r="F5" s="163">
        <f>PLANTILLA!Y10</f>
        <v>11.649999999999997</v>
      </c>
      <c r="G5" s="163">
        <f>PLANTILLA!Z10</f>
        <v>6.6900000000000022</v>
      </c>
      <c r="H5" s="163">
        <f>PLANTILLA!AA10</f>
        <v>7.3600000000000012</v>
      </c>
      <c r="I5" s="163">
        <f>PLANTILLA!AB10</f>
        <v>9.0199999999999978</v>
      </c>
      <c r="J5" s="163">
        <f>PLANTILLA!AC10</f>
        <v>4.6199999999999966</v>
      </c>
      <c r="K5" s="163">
        <f>PLANTILLA!AD10</f>
        <v>15.6</v>
      </c>
      <c r="L5" s="363">
        <f>1/15</f>
        <v>6.6666666666666666E-2</v>
      </c>
      <c r="M5" s="363"/>
      <c r="N5" s="36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38"/>
      <c r="Z5" s="438">
        <f>R5</f>
        <v>4.8982336182336182E-2</v>
      </c>
      <c r="AA5" s="438">
        <f t="shared" si="9"/>
        <v>4.8982336182336182E-2</v>
      </c>
      <c r="AD5" t="s">
        <v>968</v>
      </c>
      <c r="AE5" t="s">
        <v>312</v>
      </c>
      <c r="AG5" t="s">
        <v>979</v>
      </c>
      <c r="AH5" t="s">
        <v>313</v>
      </c>
    </row>
    <row r="6" spans="1:34" x14ac:dyDescent="0.25">
      <c r="A6" s="312" t="str">
        <f>PLANTILLA!A8</f>
        <v>#8</v>
      </c>
      <c r="B6" s="170" t="str">
        <f>PLANTILLA!D8</f>
        <v>D. Toh</v>
      </c>
      <c r="C6" s="5">
        <f>PLANTILLA!E8</f>
        <v>31</v>
      </c>
      <c r="D6" s="5">
        <f ca="1">PLANTILLA!F8</f>
        <v>48</v>
      </c>
      <c r="E6" s="163">
        <f>PLANTILLA!X8</f>
        <v>0</v>
      </c>
      <c r="F6" s="163">
        <f>PLANTILLA!Y8</f>
        <v>11</v>
      </c>
      <c r="G6" s="163">
        <f>PLANTILLA!Z8</f>
        <v>6.1794444444444414</v>
      </c>
      <c r="H6" s="163">
        <f>PLANTILLA!AA8</f>
        <v>5.98</v>
      </c>
      <c r="I6" s="163">
        <f>PLANTILLA!AB8</f>
        <v>7.7227777777777789</v>
      </c>
      <c r="J6" s="163">
        <f>PLANTILLA!AC8</f>
        <v>4.383333333333332</v>
      </c>
      <c r="K6" s="163">
        <f>PLANTILLA!AD8</f>
        <v>15.349999999999998</v>
      </c>
      <c r="L6" s="363">
        <f>1/15</f>
        <v>6.6666666666666666E-2</v>
      </c>
      <c r="M6" s="363"/>
      <c r="N6" s="36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38"/>
      <c r="Z6" s="438">
        <f>R6</f>
        <v>4.8982336182336182E-2</v>
      </c>
      <c r="AA6" s="438">
        <f t="shared" si="9"/>
        <v>4.8982336182336182E-2</v>
      </c>
      <c r="AD6" t="s">
        <v>967</v>
      </c>
      <c r="AE6" t="s">
        <v>309</v>
      </c>
      <c r="AG6" t="s">
        <v>978</v>
      </c>
      <c r="AH6" t="s">
        <v>309</v>
      </c>
    </row>
    <row r="7" spans="1:34" x14ac:dyDescent="0.25">
      <c r="A7" s="312" t="str">
        <f>PLANTILLA!A9</f>
        <v>#2</v>
      </c>
      <c r="B7" s="170" t="str">
        <f>PLANTILLA!D9</f>
        <v>E. Toney</v>
      </c>
      <c r="C7" s="5">
        <f>PLANTILLA!E9</f>
        <v>31</v>
      </c>
      <c r="D7" s="5">
        <f ca="1">PLANTILLA!F9</f>
        <v>2</v>
      </c>
      <c r="E7" s="163">
        <f>PLANTILLA!X9</f>
        <v>0</v>
      </c>
      <c r="F7" s="163">
        <f>PLANTILLA!Y9</f>
        <v>12.060000000000004</v>
      </c>
      <c r="G7" s="163">
        <f>PLANTILLA!Z9</f>
        <v>13.076555555555554</v>
      </c>
      <c r="H7" s="163">
        <f>PLANTILLA!AA9</f>
        <v>9.7100000000000062</v>
      </c>
      <c r="I7" s="163">
        <f>PLANTILLA!AB9</f>
        <v>9.6</v>
      </c>
      <c r="J7" s="163">
        <f>PLANTILLA!AC9</f>
        <v>3.6816666666666658</v>
      </c>
      <c r="K7" s="163">
        <f>PLANTILLA!AD9</f>
        <v>16.627777777777773</v>
      </c>
      <c r="L7" s="363">
        <f>1/18</f>
        <v>5.5555555555555552E-2</v>
      </c>
      <c r="M7" s="363"/>
      <c r="N7" s="36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38">
        <f>S7</f>
        <v>3.930579297245964E-2</v>
      </c>
      <c r="Z7" s="438">
        <f>R7</f>
        <v>4.0818613485280153E-2</v>
      </c>
      <c r="AA7" s="438">
        <f t="shared" si="9"/>
        <v>4.0818613485280153E-2</v>
      </c>
      <c r="AD7" t="s">
        <v>596</v>
      </c>
      <c r="AE7" t="s">
        <v>752</v>
      </c>
      <c r="AG7" t="s">
        <v>979</v>
      </c>
      <c r="AH7" t="s">
        <v>315</v>
      </c>
    </row>
    <row r="8" spans="1:34" x14ac:dyDescent="0.25">
      <c r="A8" s="312" t="str">
        <f>PLANTILLA!A12</f>
        <v>#7</v>
      </c>
      <c r="B8" s="170" t="str">
        <f>PLANTILLA!D12</f>
        <v>E. Romweber</v>
      </c>
      <c r="C8" s="5">
        <f>PLANTILLA!E12</f>
        <v>30</v>
      </c>
      <c r="D8" s="5">
        <f ca="1">PLANTILLA!F12</f>
        <v>76</v>
      </c>
      <c r="E8" s="163">
        <f>PLANTILLA!X12</f>
        <v>0</v>
      </c>
      <c r="F8" s="163">
        <f>PLANTILLA!Y12</f>
        <v>11.95</v>
      </c>
      <c r="G8" s="163">
        <f>PLANTILLA!Z12</f>
        <v>12.444111111111114</v>
      </c>
      <c r="H8" s="163">
        <f>PLANTILLA!AA12</f>
        <v>13.05</v>
      </c>
      <c r="I8" s="163">
        <f>PLANTILLA!AB12</f>
        <v>10.91</v>
      </c>
      <c r="J8" s="163">
        <f>PLANTILLA!AC12</f>
        <v>7.7700000000000005</v>
      </c>
      <c r="K8" s="163">
        <f>PLANTILLA!AD12</f>
        <v>17.13</v>
      </c>
      <c r="L8" s="363">
        <f>1/18</f>
        <v>5.5555555555555552E-2</v>
      </c>
      <c r="M8" s="363"/>
      <c r="N8" s="36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38">
        <f>V8</f>
        <v>9.3280555555555547E-3</v>
      </c>
      <c r="Z8" s="438">
        <f>S8</f>
        <v>3.930579297245964E-2</v>
      </c>
      <c r="AA8" s="438">
        <f t="shared" si="9"/>
        <v>3.930579297245964E-2</v>
      </c>
      <c r="AD8" t="s">
        <v>969</v>
      </c>
      <c r="AE8" t="s">
        <v>440</v>
      </c>
      <c r="AG8" t="s">
        <v>967</v>
      </c>
      <c r="AH8" t="s">
        <v>980</v>
      </c>
    </row>
    <row r="9" spans="1:34" x14ac:dyDescent="0.25">
      <c r="A9" s="312" t="str">
        <f>PLANTILLA!A21</f>
        <v>#19</v>
      </c>
      <c r="B9" s="170" t="str">
        <f>PLANTILLA!D21</f>
        <v>G. Kerschl</v>
      </c>
      <c r="C9" s="5">
        <f>PLANTILLA!E21</f>
        <v>28</v>
      </c>
      <c r="D9" s="5">
        <f ca="1">PLANTILLA!F21</f>
        <v>65</v>
      </c>
      <c r="E9" s="163">
        <f>PLANTILLA!X21</f>
        <v>0</v>
      </c>
      <c r="F9" s="163">
        <f>PLANTILLA!Y21</f>
        <v>2</v>
      </c>
      <c r="G9" s="163">
        <f>PLANTILLA!Z21</f>
        <v>14.5</v>
      </c>
      <c r="H9" s="163">
        <f>PLANTILLA!AA21</f>
        <v>12</v>
      </c>
      <c r="I9" s="163">
        <f>PLANTILLA!AB21</f>
        <v>12</v>
      </c>
      <c r="J9" s="163">
        <f>PLANTILLA!AC21</f>
        <v>8</v>
      </c>
      <c r="K9" s="163">
        <f>PLANTILLA!AD21</f>
        <v>2</v>
      </c>
      <c r="L9" s="363">
        <f>1/5</f>
        <v>0.2</v>
      </c>
      <c r="M9" s="363"/>
      <c r="N9" s="36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38">
        <f>U9</f>
        <v>3.6839999999999998E-2</v>
      </c>
      <c r="Z9" s="438">
        <f>U9</f>
        <v>3.6839999999999998E-2</v>
      </c>
      <c r="AA9" s="438">
        <f t="shared" si="9"/>
        <v>3.6839999999999998E-2</v>
      </c>
      <c r="AD9" t="s">
        <v>596</v>
      </c>
      <c r="AE9" t="s">
        <v>325</v>
      </c>
      <c r="AG9" t="s">
        <v>596</v>
      </c>
      <c r="AH9" t="s">
        <v>325</v>
      </c>
    </row>
    <row r="10" spans="1:34" x14ac:dyDescent="0.25">
      <c r="A10" s="312" t="str">
        <f>PLANTILLA!A7</f>
        <v>#17</v>
      </c>
      <c r="B10" s="170" t="str">
        <f>PLANTILLA!D7</f>
        <v>B. Pinczehelyi</v>
      </c>
      <c r="C10" s="5">
        <f>PLANTILLA!E7</f>
        <v>30</v>
      </c>
      <c r="D10" s="5">
        <f ca="1">PLANTILLA!F7</f>
        <v>3</v>
      </c>
      <c r="E10" s="163">
        <f>PLANTILLA!X7</f>
        <v>0</v>
      </c>
      <c r="F10" s="163">
        <f>PLANTILLA!Y7</f>
        <v>14.200000000000003</v>
      </c>
      <c r="G10" s="163">
        <f>PLANTILLA!Z7</f>
        <v>9.299333333333335</v>
      </c>
      <c r="H10" s="163">
        <f>PLANTILLA!AA7</f>
        <v>14.249999999999996</v>
      </c>
      <c r="I10" s="163">
        <f>PLANTILLA!AB7</f>
        <v>9.4199999999999982</v>
      </c>
      <c r="J10" s="163">
        <f>PLANTILLA!AC7</f>
        <v>1.1428571428571428</v>
      </c>
      <c r="K10" s="163">
        <f>PLANTILLA!AD7</f>
        <v>9.4</v>
      </c>
      <c r="L10" s="363">
        <f>1/25</f>
        <v>0.04</v>
      </c>
      <c r="M10" s="363"/>
      <c r="N10" s="36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38">
        <f>S10</f>
        <v>2.8300170940170941E-2</v>
      </c>
      <c r="Z10" s="438">
        <f>S10</f>
        <v>2.8300170940170941E-2</v>
      </c>
      <c r="AA10" s="438">
        <f t="shared" si="9"/>
        <v>2.8300170940170941E-2</v>
      </c>
      <c r="AD10" t="s">
        <v>970</v>
      </c>
      <c r="AE10" t="s">
        <v>980</v>
      </c>
      <c r="AG10" t="s">
        <v>596</v>
      </c>
      <c r="AH10" t="s">
        <v>752</v>
      </c>
    </row>
    <row r="11" spans="1:34" x14ac:dyDescent="0.25">
      <c r="A11" s="312" t="str">
        <f>PLANTILLA!A5</f>
        <v>#1</v>
      </c>
      <c r="B11" s="170" t="str">
        <f>PLANTILLA!D5</f>
        <v>D. Gehmacher</v>
      </c>
      <c r="C11" s="5">
        <f>PLANTILLA!E5</f>
        <v>29</v>
      </c>
      <c r="D11" s="5">
        <f ca="1">PLANTILLA!F5</f>
        <v>103</v>
      </c>
      <c r="E11" s="163">
        <f>PLANTILLA!X5</f>
        <v>16.666666666666668</v>
      </c>
      <c r="F11" s="163">
        <f>PLANTILLA!Y5</f>
        <v>11.832727272727276</v>
      </c>
      <c r="G11" s="163">
        <f>PLANTILLA!Z5</f>
        <v>2.0299999999999994</v>
      </c>
      <c r="H11" s="163">
        <f>PLANTILLA!AA5</f>
        <v>2.1199999999999992</v>
      </c>
      <c r="I11" s="163">
        <f>PLANTILLA!AB5</f>
        <v>1.0400000000000003</v>
      </c>
      <c r="J11" s="163">
        <f>PLANTILLA!AC5</f>
        <v>0.14055555555555557</v>
      </c>
      <c r="K11" s="163">
        <f>PLANTILLA!AD5</f>
        <v>17.849999999999998</v>
      </c>
      <c r="L11" s="363">
        <f>1/12</f>
        <v>8.3333333333333329E-2</v>
      </c>
      <c r="M11" s="363"/>
      <c r="N11" s="36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38">
        <f>O11</f>
        <v>2.8200142450142449E-2</v>
      </c>
      <c r="Z11" s="438">
        <f>O11</f>
        <v>2.8200142450142449E-2</v>
      </c>
      <c r="AA11" s="438">
        <f t="shared" si="9"/>
        <v>2.8200142450142449E-2</v>
      </c>
      <c r="AD11" t="s">
        <v>970</v>
      </c>
      <c r="AE11" t="s">
        <v>338</v>
      </c>
      <c r="AG11" t="s">
        <v>970</v>
      </c>
      <c r="AH11" t="s">
        <v>338</v>
      </c>
    </row>
    <row r="12" spans="1:34" x14ac:dyDescent="0.25">
      <c r="A12" s="312" t="str">
        <f>PLANTILLA!A18</f>
        <v>#5</v>
      </c>
      <c r="B12" s="170" t="str">
        <f>PLANTILLA!D18</f>
        <v>L. Bauman</v>
      </c>
      <c r="C12" s="5">
        <f>PLANTILLA!E18</f>
        <v>30</v>
      </c>
      <c r="D12" s="5">
        <f ca="1">PLANTILLA!F18</f>
        <v>38</v>
      </c>
      <c r="E12" s="163">
        <f>PLANTILLA!X18</f>
        <v>0</v>
      </c>
      <c r="F12" s="163">
        <f>PLANTILLA!Y18</f>
        <v>5.2811111111111115</v>
      </c>
      <c r="G12" s="163">
        <f>PLANTILLA!Z18</f>
        <v>14.23617089947089</v>
      </c>
      <c r="H12" s="163">
        <f>PLANTILLA!AA18</f>
        <v>3.4924999999999993</v>
      </c>
      <c r="I12" s="163">
        <f>PLANTILLA!AB18</f>
        <v>9.1400000000000041</v>
      </c>
      <c r="J12" s="163">
        <f>PLANTILLA!AC18</f>
        <v>7.4318888888888894</v>
      </c>
      <c r="K12" s="163">
        <f>PLANTILLA!AD18</f>
        <v>16.07</v>
      </c>
      <c r="L12" s="363">
        <f>1/7</f>
        <v>0.14285714285714285</v>
      </c>
      <c r="M12" s="363"/>
      <c r="N12" s="36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38">
        <f>T12</f>
        <v>2.7794285714285716E-2</v>
      </c>
      <c r="Z12" s="438">
        <f>W12</f>
        <v>0</v>
      </c>
      <c r="AA12" s="438">
        <f t="shared" si="9"/>
        <v>2.7794285714285716E-2</v>
      </c>
      <c r="AD12" t="s">
        <v>67</v>
      </c>
      <c r="AE12" t="s">
        <v>327</v>
      </c>
      <c r="AG12" t="s">
        <v>970</v>
      </c>
      <c r="AH12" t="s">
        <v>600</v>
      </c>
    </row>
    <row r="13" spans="1:34" x14ac:dyDescent="0.25">
      <c r="A13" s="312" t="str">
        <f>PLANTILLA!A13</f>
        <v>#11</v>
      </c>
      <c r="B13" s="237" t="str">
        <f>PLANTILLA!D13</f>
        <v>K. Helms</v>
      </c>
      <c r="C13" s="5">
        <f>PLANTILLA!E13</f>
        <v>30</v>
      </c>
      <c r="D13" s="5">
        <f ca="1">PLANTILLA!F13</f>
        <v>23</v>
      </c>
      <c r="E13" s="163">
        <f>PLANTILLA!X13</f>
        <v>0</v>
      </c>
      <c r="F13" s="163">
        <f>PLANTILLA!Y13</f>
        <v>7.11</v>
      </c>
      <c r="G13" s="163">
        <f>PLANTILLA!Z13</f>
        <v>10.350000000000003</v>
      </c>
      <c r="H13" s="163">
        <f>PLANTILLA!AA13</f>
        <v>13.305</v>
      </c>
      <c r="I13" s="163">
        <f>PLANTILLA!AB13</f>
        <v>10.359999999999998</v>
      </c>
      <c r="J13" s="163">
        <f>PLANTILLA!AC13</f>
        <v>5.4050000000000002</v>
      </c>
      <c r="K13" s="163">
        <f>PLANTILLA!AD13</f>
        <v>17.300000000000004</v>
      </c>
      <c r="L13" s="363">
        <f>1/8</f>
        <v>0.125</v>
      </c>
      <c r="M13" s="363"/>
      <c r="N13" s="36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38">
        <f>V13</f>
        <v>2.0988125E-2</v>
      </c>
      <c r="Z13" s="438">
        <f>V13</f>
        <v>2.0988125E-2</v>
      </c>
      <c r="AA13" s="438">
        <f t="shared" si="9"/>
        <v>2.0988125E-2</v>
      </c>
      <c r="AD13" t="s">
        <v>67</v>
      </c>
      <c r="AE13" t="s">
        <v>600</v>
      </c>
      <c r="AG13" t="s">
        <v>67</v>
      </c>
      <c r="AH13" t="s">
        <v>327</v>
      </c>
    </row>
    <row r="14" spans="1:34" x14ac:dyDescent="0.25">
      <c r="A14" s="312" t="str">
        <f>PLANTILLA!A14</f>
        <v>#10</v>
      </c>
      <c r="B14" s="237" t="str">
        <f>PLANTILLA!D14</f>
        <v>S. Zobbe</v>
      </c>
      <c r="C14" s="5">
        <f>PLANTILLA!E14</f>
        <v>27</v>
      </c>
      <c r="D14" s="5">
        <f ca="1">PLANTILLA!F14</f>
        <v>38</v>
      </c>
      <c r="E14" s="163">
        <f>PLANTILLA!X14</f>
        <v>0</v>
      </c>
      <c r="F14" s="163">
        <f>PLANTILLA!Y14</f>
        <v>8.1199999999999992</v>
      </c>
      <c r="G14" s="163">
        <f>PLANTILLA!Z14</f>
        <v>12.008412698412698</v>
      </c>
      <c r="H14" s="163">
        <f>PLANTILLA!AA14</f>
        <v>12.13</v>
      </c>
      <c r="I14" s="163">
        <f>PLANTILLA!AB14</f>
        <v>10.24</v>
      </c>
      <c r="J14" s="163">
        <f>PLANTILLA!AC14</f>
        <v>7.4766666666666666</v>
      </c>
      <c r="K14" s="163">
        <f>PLANTILLA!AD14</f>
        <v>15.270000000000001</v>
      </c>
      <c r="L14" s="363">
        <f>1/9</f>
        <v>0.1111111111111111</v>
      </c>
      <c r="M14" s="363"/>
      <c r="N14" s="36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38">
        <f>V14</f>
        <v>1.8656111111111109E-2</v>
      </c>
      <c r="Z14" s="438">
        <f>V14</f>
        <v>1.8656111111111109E-2</v>
      </c>
      <c r="AA14" s="438">
        <f t="shared" si="9"/>
        <v>1.8656111111111109E-2</v>
      </c>
    </row>
    <row r="15" spans="1:34" x14ac:dyDescent="0.25">
      <c r="A15" s="312" t="str">
        <f>PLANTILLA!A15</f>
        <v>#6</v>
      </c>
      <c r="B15" s="237" t="str">
        <f>PLANTILLA!D15</f>
        <v>S. Buschelman</v>
      </c>
      <c r="C15" s="5">
        <f>PLANTILLA!E15</f>
        <v>29</v>
      </c>
      <c r="D15" s="5">
        <f ca="1">PLANTILLA!F15</f>
        <v>35</v>
      </c>
      <c r="E15" s="163">
        <f>PLANTILLA!X15</f>
        <v>0</v>
      </c>
      <c r="F15" s="163">
        <f>PLANTILLA!Y15</f>
        <v>9.1936666666666653</v>
      </c>
      <c r="G15" s="163">
        <f>PLANTILLA!Z15</f>
        <v>13.599999999999998</v>
      </c>
      <c r="H15" s="163">
        <f>PLANTILLA!AA15</f>
        <v>12.725000000000001</v>
      </c>
      <c r="I15" s="163">
        <f>PLANTILLA!AB15</f>
        <v>9.6733333333333356</v>
      </c>
      <c r="J15" s="163">
        <f>PLANTILLA!AC15</f>
        <v>5.0296666666666656</v>
      </c>
      <c r="K15" s="163">
        <f>PLANTILLA!AD15</f>
        <v>15.2</v>
      </c>
      <c r="L15" s="363">
        <f>1/10</f>
        <v>0.1</v>
      </c>
      <c r="M15" s="363"/>
      <c r="N15" s="36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38">
        <f>U15</f>
        <v>1.8419999999999999E-2</v>
      </c>
      <c r="Z15" s="438">
        <f>U15</f>
        <v>1.8419999999999999E-2</v>
      </c>
      <c r="AA15" s="438">
        <f t="shared" si="9"/>
        <v>1.8419999999999999E-2</v>
      </c>
    </row>
    <row r="16" spans="1:34" x14ac:dyDescent="0.25">
      <c r="A16" s="312" t="str">
        <f>PLANTILLA!A16</f>
        <v>#4</v>
      </c>
      <c r="B16" s="237" t="str">
        <f>PLANTILLA!D16</f>
        <v>C. Rojas</v>
      </c>
      <c r="C16" s="5">
        <f>PLANTILLA!E16</f>
        <v>31</v>
      </c>
      <c r="D16" s="5">
        <f ca="1">PLANTILLA!F16</f>
        <v>69</v>
      </c>
      <c r="E16" s="163">
        <f>PLANTILLA!X16</f>
        <v>0</v>
      </c>
      <c r="F16" s="163">
        <f>PLANTILLA!Y16</f>
        <v>8.6075555555555585</v>
      </c>
      <c r="G16" s="163">
        <f>PLANTILLA!Z16</f>
        <v>14.142779365079358</v>
      </c>
      <c r="H16" s="163">
        <f>PLANTILLA!AA16</f>
        <v>9.99</v>
      </c>
      <c r="I16" s="163">
        <f>PLANTILLA!AB16</f>
        <v>10.09</v>
      </c>
      <c r="J16" s="163">
        <f>PLANTILLA!AC16</f>
        <v>4.3999999999999995</v>
      </c>
      <c r="K16" s="163">
        <f>PLANTILLA!AD16</f>
        <v>16.544444444444441</v>
      </c>
      <c r="L16" s="363">
        <f>1/11</f>
        <v>9.0909090909090912E-2</v>
      </c>
      <c r="M16" s="363"/>
      <c r="N16" s="36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38">
        <f>U16</f>
        <v>1.6745454545454543E-2</v>
      </c>
      <c r="Z16" s="438">
        <f>U16</f>
        <v>1.6745454545454543E-2</v>
      </c>
      <c r="AA16" s="438">
        <f t="shared" si="9"/>
        <v>1.6745454545454543E-2</v>
      </c>
    </row>
    <row r="17" spans="1:27" x14ac:dyDescent="0.25">
      <c r="A17" s="312" t="str">
        <f>PLANTILLA!A22</f>
        <v>#9</v>
      </c>
      <c r="B17" s="312" t="str">
        <f>PLANTILLA!D22</f>
        <v>J. Limon</v>
      </c>
      <c r="C17" s="5">
        <f>PLANTILLA!E22</f>
        <v>29</v>
      </c>
      <c r="D17" s="5">
        <f ca="1">PLANTILLA!F22</f>
        <v>75</v>
      </c>
      <c r="E17" s="163">
        <f>PLANTILLA!X22</f>
        <v>0</v>
      </c>
      <c r="F17" s="163">
        <f>PLANTILLA!Y22</f>
        <v>6.8176190476190497</v>
      </c>
      <c r="G17" s="163">
        <f>PLANTILLA!Z22</f>
        <v>8.375</v>
      </c>
      <c r="H17" s="163">
        <f>PLANTILLA!AA22</f>
        <v>8.7199999999999971</v>
      </c>
      <c r="I17" s="163">
        <f>PLANTILLA!AB22</f>
        <v>9.6900000000000013</v>
      </c>
      <c r="J17" s="163">
        <f>PLANTILLA!AC22</f>
        <v>8.5625000000000018</v>
      </c>
      <c r="K17" s="163">
        <f>PLANTILLA!AD22</f>
        <v>18.639999999999993</v>
      </c>
      <c r="L17" s="363">
        <f>1/8</f>
        <v>0.125</v>
      </c>
      <c r="M17" s="363"/>
      <c r="N17" s="36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38">
        <v>0</v>
      </c>
      <c r="Z17" s="438">
        <v>0</v>
      </c>
      <c r="AA17" s="438">
        <f t="shared" si="9"/>
        <v>0</v>
      </c>
    </row>
    <row r="18" spans="1:27" x14ac:dyDescent="0.25">
      <c r="A18" s="312" t="str">
        <f>PLANTILLA!A24</f>
        <v>#15</v>
      </c>
      <c r="B18" s="312" t="str">
        <f>PLANTILLA!D24</f>
        <v>P .Trivadi</v>
      </c>
      <c r="C18" s="5">
        <f>PLANTILLA!E24</f>
        <v>26</v>
      </c>
      <c r="D18" s="5">
        <f ca="1">PLANTILLA!F24</f>
        <v>106</v>
      </c>
      <c r="E18" s="163">
        <f>PLANTILLA!X24</f>
        <v>0</v>
      </c>
      <c r="F18" s="163">
        <f>PLANTILLA!Y24</f>
        <v>4</v>
      </c>
      <c r="G18" s="163">
        <f>PLANTILLA!Z24</f>
        <v>5.5338722222222207</v>
      </c>
      <c r="H18" s="163">
        <f>PLANTILLA!AA24</f>
        <v>5.47</v>
      </c>
      <c r="I18" s="163">
        <f>PLANTILLA!AB24</f>
        <v>10.799999999999999</v>
      </c>
      <c r="J18" s="163">
        <f>PLANTILLA!AC24</f>
        <v>8.384500000000001</v>
      </c>
      <c r="K18" s="163">
        <f>PLANTILLA!AD24</f>
        <v>13.566666666666668</v>
      </c>
      <c r="L18" s="363">
        <f>1/6</f>
        <v>0.16666666666666666</v>
      </c>
      <c r="M18" s="363"/>
      <c r="N18" s="36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38">
        <v>0</v>
      </c>
      <c r="Z18" s="438">
        <v>0</v>
      </c>
      <c r="AA18" s="438">
        <f t="shared" si="9"/>
        <v>0</v>
      </c>
    </row>
    <row r="19" spans="1:27" x14ac:dyDescent="0.25">
      <c r="A19" s="312" t="str">
        <f>PLANTILLA!A23</f>
        <v>#18</v>
      </c>
      <c r="B19" s="312" t="str">
        <f>PLANTILLA!D23</f>
        <v>L. Calosso</v>
      </c>
      <c r="C19" s="5">
        <f>PLANTILLA!E23</f>
        <v>30</v>
      </c>
      <c r="D19" s="5">
        <f ca="1">PLANTILLA!F23</f>
        <v>32</v>
      </c>
      <c r="E19" s="163">
        <f>PLANTILLA!X23</f>
        <v>0</v>
      </c>
      <c r="F19" s="163">
        <f>PLANTILLA!Y23</f>
        <v>2</v>
      </c>
      <c r="G19" s="163">
        <f>PLANTILLA!Z23</f>
        <v>14.1038</v>
      </c>
      <c r="H19" s="163">
        <f>PLANTILLA!AA23</f>
        <v>3</v>
      </c>
      <c r="I19" s="163">
        <f>PLANTILLA!AB23</f>
        <v>15.02</v>
      </c>
      <c r="J19" s="163">
        <f>PLANTILLA!AC23</f>
        <v>10</v>
      </c>
      <c r="K19" s="163">
        <f>PLANTILLA!AD23</f>
        <v>9.3000000000000007</v>
      </c>
      <c r="L19" s="363">
        <f>1/5</f>
        <v>0.2</v>
      </c>
      <c r="M19" s="363"/>
      <c r="N19" s="36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38">
        <v>0</v>
      </c>
      <c r="Z19" s="438">
        <v>0</v>
      </c>
      <c r="AA19" s="438">
        <f t="shared" si="9"/>
        <v>0</v>
      </c>
    </row>
    <row r="20" spans="1:27" x14ac:dyDescent="0.25">
      <c r="A20" s="312" t="str">
        <f>PLANTILLA!A11</f>
        <v>#13</v>
      </c>
      <c r="B20" s="312" t="str">
        <f>PLANTILLA!D11</f>
        <v>F. Lasprilla</v>
      </c>
      <c r="C20" s="5">
        <f>PLANTILLA!E11</f>
        <v>27</v>
      </c>
      <c r="D20" s="5">
        <f ca="1">PLANTILLA!F11</f>
        <v>10</v>
      </c>
      <c r="E20" s="163">
        <f>PLANTILLA!X11</f>
        <v>0</v>
      </c>
      <c r="F20" s="163">
        <f>PLANTILLA!Y11</f>
        <v>9.5796666666666663</v>
      </c>
      <c r="G20" s="163">
        <f>PLANTILLA!Z11</f>
        <v>7.7307222222222229</v>
      </c>
      <c r="H20" s="163">
        <f>PLANTILLA!AA11</f>
        <v>6.129999999999999</v>
      </c>
      <c r="I20" s="163">
        <f>PLANTILLA!AB11</f>
        <v>8.8633333333333315</v>
      </c>
      <c r="J20" s="163">
        <f>PLANTILLA!AC11</f>
        <v>3.2566666666666673</v>
      </c>
      <c r="K20" s="163">
        <f>PLANTILLA!AD11</f>
        <v>13.238888888888889</v>
      </c>
      <c r="L20" s="363"/>
      <c r="M20" s="363"/>
      <c r="N20" s="36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38"/>
      <c r="Z20" s="438"/>
      <c r="AA20" s="438">
        <f t="shared" si="9"/>
        <v>0</v>
      </c>
    </row>
    <row r="21" spans="1:27" x14ac:dyDescent="0.25">
      <c r="A21" s="312" t="str">
        <f>PLANTILLA!A19</f>
        <v>#14</v>
      </c>
      <c r="B21" s="312" t="str">
        <f>PLANTILLA!D19</f>
        <v>W. Gelifini</v>
      </c>
      <c r="C21" s="5">
        <f>PLANTILLA!E19</f>
        <v>28</v>
      </c>
      <c r="D21" s="5">
        <f ca="1">PLANTILLA!F19</f>
        <v>100</v>
      </c>
      <c r="E21" s="163">
        <f>PLANTILLA!X19</f>
        <v>0</v>
      </c>
      <c r="F21" s="163">
        <f>PLANTILLA!Y19</f>
        <v>5.6315555555555523</v>
      </c>
      <c r="G21" s="163">
        <f>PLANTILLA!Z19</f>
        <v>9.8423388888888876</v>
      </c>
      <c r="H21" s="163">
        <f>PLANTILLA!AA19</f>
        <v>7.0526666666666671</v>
      </c>
      <c r="I21" s="163">
        <f>PLANTILLA!AB19</f>
        <v>9.2666666666666639</v>
      </c>
      <c r="J21" s="163">
        <f>PLANTILLA!AC19</f>
        <v>3.5417777777777766</v>
      </c>
      <c r="K21" s="163">
        <f>PLANTILLA!AD19</f>
        <v>12.450000000000001</v>
      </c>
      <c r="L21" s="363"/>
      <c r="M21" s="363"/>
      <c r="N21" s="36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38"/>
      <c r="Z21" s="438"/>
      <c r="AA21" s="438">
        <f t="shared" si="9"/>
        <v>0</v>
      </c>
    </row>
    <row r="22" spans="1:27" x14ac:dyDescent="0.25">
      <c r="A22" s="312" t="str">
        <f>PLANTILLA!A6</f>
        <v>#16</v>
      </c>
      <c r="B22" s="312" t="str">
        <f>PLANTILLA!D6</f>
        <v>T. Hammond</v>
      </c>
      <c r="C22" s="5">
        <f>PLANTILLA!E6</f>
        <v>34</v>
      </c>
      <c r="D22" s="5">
        <f ca="1">PLANTILLA!F6</f>
        <v>0</v>
      </c>
      <c r="E22" s="163">
        <f>PLANTILLA!X6</f>
        <v>10.3</v>
      </c>
      <c r="F22" s="163">
        <f>PLANTILLA!Y6</f>
        <v>10.794999999999998</v>
      </c>
      <c r="G22" s="163">
        <f>PLANTILLA!Z6</f>
        <v>4.620000000000001</v>
      </c>
      <c r="H22" s="163">
        <f>PLANTILLA!AA6</f>
        <v>4.95</v>
      </c>
      <c r="I22" s="163">
        <f>PLANTILLA!AB6</f>
        <v>6.5444444444444434</v>
      </c>
      <c r="J22" s="163">
        <f>PLANTILLA!AC6</f>
        <v>3.99</v>
      </c>
      <c r="K22" s="163">
        <f>PLANTILLA!AD6</f>
        <v>15.778888888888888</v>
      </c>
      <c r="L22" s="363"/>
      <c r="M22" s="363"/>
      <c r="N22" s="36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38"/>
      <c r="Z22" s="438"/>
      <c r="AA22" s="438">
        <f t="shared" si="9"/>
        <v>0</v>
      </c>
    </row>
    <row r="23" spans="1:27" x14ac:dyDescent="0.25">
      <c r="A23" s="312" t="str">
        <f>PLANTILLA!A20</f>
        <v>#89</v>
      </c>
      <c r="B23" s="312" t="str">
        <f>PLANTILLA!D20</f>
        <v>M. Amico</v>
      </c>
      <c r="C23" s="5">
        <f>PLANTILLA!E20</f>
        <v>28</v>
      </c>
      <c r="D23" s="5">
        <f ca="1">PLANTILLA!F20</f>
        <v>107</v>
      </c>
      <c r="E23" s="163">
        <f>PLANTILLA!X20</f>
        <v>0</v>
      </c>
      <c r="F23" s="163">
        <f>PLANTILLA!Y20</f>
        <v>2.47611111111111</v>
      </c>
      <c r="G23" s="163">
        <f>PLANTILLA!Z20</f>
        <v>7.3099999999999978</v>
      </c>
      <c r="H23" s="163">
        <f>PLANTILLA!AA20</f>
        <v>4.1588235294117641</v>
      </c>
      <c r="I23" s="163">
        <f>PLANTILLA!AB20</f>
        <v>7.2649999999999988</v>
      </c>
      <c r="J23" s="163">
        <f>PLANTILLA!AC20</f>
        <v>4.3299999999999983</v>
      </c>
      <c r="K23" s="163">
        <f>PLANTILLA!AD20</f>
        <v>9.5</v>
      </c>
      <c r="L23" s="363"/>
      <c r="M23" s="363"/>
      <c r="N23" s="36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38"/>
      <c r="Z23" s="438"/>
      <c r="AA23" s="438">
        <f t="shared" si="9"/>
        <v>0</v>
      </c>
    </row>
    <row r="26" spans="1:27" x14ac:dyDescent="0.25">
      <c r="B26" s="31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L13" sqref="L1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42584</v>
      </c>
      <c r="Y2" s="652">
        <f>SUM(Y4:Y22)</f>
        <v>0.38669362836502424</v>
      </c>
      <c r="Z2" s="652">
        <f>SUM(Z4:Z22)</f>
        <v>0.36442744206594319</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997</v>
      </c>
      <c r="O3" s="647" t="s">
        <v>1</v>
      </c>
      <c r="P3" s="647" t="s">
        <v>968</v>
      </c>
      <c r="Q3" s="646" t="s">
        <v>998</v>
      </c>
      <c r="R3" s="646" t="s">
        <v>1004</v>
      </c>
      <c r="S3" s="646" t="s">
        <v>999</v>
      </c>
      <c r="T3" s="646" t="s">
        <v>969</v>
      </c>
      <c r="U3" s="646" t="s">
        <v>596</v>
      </c>
      <c r="V3" s="646" t="s">
        <v>1003</v>
      </c>
      <c r="W3" s="647" t="s">
        <v>736</v>
      </c>
      <c r="X3" s="651" t="s">
        <v>67</v>
      </c>
      <c r="Y3" s="649" t="s">
        <v>1001</v>
      </c>
      <c r="Z3" s="649" t="s">
        <v>1002</v>
      </c>
      <c r="AA3" s="649" t="s">
        <v>1007</v>
      </c>
      <c r="AD3" t="s">
        <v>1</v>
      </c>
      <c r="AE3" t="s">
        <v>928</v>
      </c>
      <c r="AG3" t="s">
        <v>1</v>
      </c>
      <c r="AH3" t="s">
        <v>928</v>
      </c>
    </row>
    <row r="4" spans="1:34" x14ac:dyDescent="0.25">
      <c r="A4" s="312" t="str">
        <f>PLANTILLA!A15</f>
        <v>#6</v>
      </c>
      <c r="B4" s="170" t="str">
        <f>PLANTILLA!D15</f>
        <v>S. Buschelman</v>
      </c>
      <c r="C4" s="312">
        <f>PLANTILLA!E15</f>
        <v>29</v>
      </c>
      <c r="D4" s="312">
        <f ca="1">PLANTILLA!F15</f>
        <v>35</v>
      </c>
      <c r="E4" s="163">
        <f>PLANTILLA!X15</f>
        <v>0</v>
      </c>
      <c r="F4" s="163">
        <f>PLANTILLA!Y15</f>
        <v>9.1936666666666653</v>
      </c>
      <c r="G4" s="163">
        <f>PLANTILLA!Z15</f>
        <v>13.599999999999998</v>
      </c>
      <c r="H4" s="163">
        <f>PLANTILLA!AA15</f>
        <v>12.725000000000001</v>
      </c>
      <c r="I4" s="163">
        <f>PLANTILLA!AB15</f>
        <v>9.6733333333333356</v>
      </c>
      <c r="J4" s="163">
        <f>PLANTILLA!AC15</f>
        <v>5.0296666666666656</v>
      </c>
      <c r="K4" s="163">
        <f>PLANTILLA!AD15</f>
        <v>15.2</v>
      </c>
      <c r="L4" s="648">
        <f>1/16</f>
        <v>6.25E-2</v>
      </c>
      <c r="M4" s="363">
        <f t="shared" ref="M4:M23" si="0">L4*0.5</f>
        <v>3.125E-2</v>
      </c>
      <c r="N4" s="36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38">
        <f>U4</f>
        <v>5.50625E-2</v>
      </c>
      <c r="Z4" s="438">
        <f>U4</f>
        <v>5.50625E-2</v>
      </c>
      <c r="AA4" s="438">
        <f t="shared" ref="AA4:AA23" si="11">MAX(Z4,Y4)</f>
        <v>5.50625E-2</v>
      </c>
      <c r="AD4" t="s">
        <v>967</v>
      </c>
      <c r="AE4" s="668" t="s">
        <v>1020</v>
      </c>
      <c r="AG4" t="s">
        <v>967</v>
      </c>
      <c r="AH4" s="668" t="str">
        <f>AE4</f>
        <v>B. Pinczehelyi</v>
      </c>
    </row>
    <row r="5" spans="1:34" x14ac:dyDescent="0.25">
      <c r="A5" s="312" t="str">
        <f>PLANTILLA!A18</f>
        <v>#5</v>
      </c>
      <c r="B5" s="170" t="str">
        <f>PLANTILLA!D18</f>
        <v>L. Bauman</v>
      </c>
      <c r="C5" s="312">
        <f>PLANTILLA!E18</f>
        <v>30</v>
      </c>
      <c r="D5" s="312">
        <f ca="1">PLANTILLA!F18</f>
        <v>38</v>
      </c>
      <c r="E5" s="163">
        <f>PLANTILLA!X18</f>
        <v>0</v>
      </c>
      <c r="F5" s="163">
        <f>PLANTILLA!Y18</f>
        <v>5.2811111111111115</v>
      </c>
      <c r="G5" s="163">
        <f>PLANTILLA!Z18</f>
        <v>14.23617089947089</v>
      </c>
      <c r="H5" s="163">
        <f>PLANTILLA!AA18</f>
        <v>3.4924999999999993</v>
      </c>
      <c r="I5" s="163">
        <f>PLANTILLA!AB18</f>
        <v>9.1400000000000041</v>
      </c>
      <c r="J5" s="163">
        <f>PLANTILLA!AC18</f>
        <v>7.4318888888888894</v>
      </c>
      <c r="K5" s="163">
        <f>PLANTILLA!AD18</f>
        <v>16.07</v>
      </c>
      <c r="L5" s="648">
        <f>1/21</f>
        <v>4.7619047619047616E-2</v>
      </c>
      <c r="M5" s="363">
        <f t="shared" si="0"/>
        <v>2.3809523809523808E-2</v>
      </c>
      <c r="N5" s="36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38">
        <f>T5</f>
        <v>4.7619047619047616E-2</v>
      </c>
      <c r="Z5" s="438">
        <f>W5</f>
        <v>1.9333333333333334E-2</v>
      </c>
      <c r="AA5" s="438">
        <f t="shared" si="11"/>
        <v>4.7619047619047616E-2</v>
      </c>
      <c r="AD5" t="s">
        <v>968</v>
      </c>
      <c r="AE5" t="s">
        <v>312</v>
      </c>
      <c r="AG5" t="s">
        <v>979</v>
      </c>
      <c r="AH5" t="s">
        <v>313</v>
      </c>
    </row>
    <row r="6" spans="1:34" x14ac:dyDescent="0.25">
      <c r="A6" s="312" t="str">
        <f>PLANTILLA!A22</f>
        <v>#9</v>
      </c>
      <c r="B6" s="170" t="str">
        <f>PLANTILLA!D22</f>
        <v>J. Limon</v>
      </c>
      <c r="C6" s="312">
        <f>PLANTILLA!E22</f>
        <v>29</v>
      </c>
      <c r="D6" s="312">
        <f ca="1">PLANTILLA!F22</f>
        <v>75</v>
      </c>
      <c r="E6" s="163">
        <f>PLANTILLA!X22</f>
        <v>0</v>
      </c>
      <c r="F6" s="163">
        <f>PLANTILLA!Y22</f>
        <v>6.8176190476190497</v>
      </c>
      <c r="G6" s="163">
        <f>PLANTILLA!Z22</f>
        <v>8.375</v>
      </c>
      <c r="H6" s="163">
        <f>PLANTILLA!AA22</f>
        <v>8.7199999999999971</v>
      </c>
      <c r="I6" s="163">
        <f>PLANTILLA!AB22</f>
        <v>9.6900000000000013</v>
      </c>
      <c r="J6" s="163">
        <f>PLANTILLA!AC22</f>
        <v>8.5625000000000018</v>
      </c>
      <c r="K6" s="163">
        <f>PLANTILLA!AD22</f>
        <v>18.639999999999993</v>
      </c>
      <c r="L6" s="363">
        <f>1/9</f>
        <v>0.1111111111111111</v>
      </c>
      <c r="M6" s="363">
        <f t="shared" si="0"/>
        <v>5.5555555555555552E-2</v>
      </c>
      <c r="N6" s="36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38">
        <f>W6</f>
        <v>4.5111111111111109E-2</v>
      </c>
      <c r="Z6" s="438"/>
      <c r="AA6" s="438">
        <f t="shared" si="11"/>
        <v>4.5111111111111109E-2</v>
      </c>
      <c r="AD6" t="s">
        <v>967</v>
      </c>
      <c r="AE6" t="s">
        <v>309</v>
      </c>
      <c r="AG6" t="s">
        <v>978</v>
      </c>
      <c r="AH6" t="s">
        <v>309</v>
      </c>
    </row>
    <row r="7" spans="1:34" x14ac:dyDescent="0.25">
      <c r="A7" s="312" t="str">
        <f>PLANTILLA!A21</f>
        <v>#19</v>
      </c>
      <c r="B7" s="170" t="str">
        <f>PLANTILLA!D21</f>
        <v>G. Kerschl</v>
      </c>
      <c r="C7" s="312">
        <f>PLANTILLA!E21</f>
        <v>28</v>
      </c>
      <c r="D7" s="312">
        <f ca="1">PLANTILLA!F21</f>
        <v>65</v>
      </c>
      <c r="E7" s="163">
        <f>PLANTILLA!X21</f>
        <v>0</v>
      </c>
      <c r="F7" s="163">
        <f>PLANTILLA!Y21</f>
        <v>2</v>
      </c>
      <c r="G7" s="163">
        <f>PLANTILLA!Z21</f>
        <v>14.5</v>
      </c>
      <c r="H7" s="163">
        <f>PLANTILLA!AA21</f>
        <v>12</v>
      </c>
      <c r="I7" s="163">
        <f>PLANTILLA!AB21</f>
        <v>12</v>
      </c>
      <c r="J7" s="163">
        <f>PLANTILLA!AC21</f>
        <v>8</v>
      </c>
      <c r="K7" s="163">
        <f>PLANTILLA!AD21</f>
        <v>2</v>
      </c>
      <c r="L7">
        <f>1/20</f>
        <v>0.05</v>
      </c>
      <c r="M7" s="363">
        <f t="shared" si="0"/>
        <v>2.5000000000000001E-2</v>
      </c>
      <c r="N7" s="36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38">
        <f>U7</f>
        <v>4.4050000000000006E-2</v>
      </c>
      <c r="Z7" s="438">
        <f>U7</f>
        <v>4.4050000000000006E-2</v>
      </c>
      <c r="AA7" s="438">
        <f t="shared" si="11"/>
        <v>4.4050000000000006E-2</v>
      </c>
      <c r="AD7" t="s">
        <v>596</v>
      </c>
      <c r="AE7" t="s">
        <v>752</v>
      </c>
      <c r="AG7" t="s">
        <v>979</v>
      </c>
      <c r="AH7" t="s">
        <v>315</v>
      </c>
    </row>
    <row r="8" spans="1:34" x14ac:dyDescent="0.25">
      <c r="A8" s="312" t="str">
        <f>PLANTILLA!A13</f>
        <v>#11</v>
      </c>
      <c r="B8" s="170" t="str">
        <f>PLANTILLA!D13</f>
        <v>K. Helms</v>
      </c>
      <c r="C8" s="312">
        <f>PLANTILLA!E13</f>
        <v>30</v>
      </c>
      <c r="D8" s="312">
        <f ca="1">PLANTILLA!F13</f>
        <v>23</v>
      </c>
      <c r="E8" s="163">
        <f>PLANTILLA!X13</f>
        <v>0</v>
      </c>
      <c r="F8" s="163">
        <f>PLANTILLA!Y13</f>
        <v>7.11</v>
      </c>
      <c r="G8" s="163">
        <f>PLANTILLA!Z13</f>
        <v>10.350000000000003</v>
      </c>
      <c r="H8" s="163">
        <f>PLANTILLA!AA13</f>
        <v>13.305</v>
      </c>
      <c r="I8" s="163">
        <f>PLANTILLA!AB13</f>
        <v>10.359999999999998</v>
      </c>
      <c r="J8" s="163">
        <f>PLANTILLA!AC13</f>
        <v>5.4050000000000002</v>
      </c>
      <c r="K8" s="163">
        <f>PLANTILLA!AD13</f>
        <v>17.300000000000004</v>
      </c>
      <c r="L8" s="648">
        <f>1/12</f>
        <v>8.3333333333333329E-2</v>
      </c>
      <c r="M8" s="363">
        <f t="shared" si="0"/>
        <v>4.1666666666666664E-2</v>
      </c>
      <c r="N8" s="36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38">
        <f>V8</f>
        <v>3.7916666666666668E-2</v>
      </c>
      <c r="Z8" s="438">
        <f>V8</f>
        <v>3.7916666666666668E-2</v>
      </c>
      <c r="AA8" s="438">
        <f t="shared" si="11"/>
        <v>3.7916666666666668E-2</v>
      </c>
      <c r="AD8" t="s">
        <v>969</v>
      </c>
      <c r="AE8" t="s">
        <v>440</v>
      </c>
      <c r="AG8" t="s">
        <v>967</v>
      </c>
      <c r="AH8" t="s">
        <v>980</v>
      </c>
    </row>
    <row r="9" spans="1:34" x14ac:dyDescent="0.25">
      <c r="A9" s="312" t="str">
        <f>PLANTILLA!A16</f>
        <v>#4</v>
      </c>
      <c r="B9" s="170" t="str">
        <f>PLANTILLA!D16</f>
        <v>C. Rojas</v>
      </c>
      <c r="C9" s="312">
        <f>PLANTILLA!E16</f>
        <v>31</v>
      </c>
      <c r="D9" s="312">
        <f ca="1">PLANTILLA!F16</f>
        <v>69</v>
      </c>
      <c r="E9" s="163">
        <f>PLANTILLA!X16</f>
        <v>0</v>
      </c>
      <c r="F9" s="163">
        <f>PLANTILLA!Y16</f>
        <v>8.6075555555555585</v>
      </c>
      <c r="G9" s="163">
        <f>PLANTILLA!Z16</f>
        <v>14.142779365079358</v>
      </c>
      <c r="H9" s="163">
        <f>PLANTILLA!AA16</f>
        <v>9.99</v>
      </c>
      <c r="I9" s="163">
        <f>PLANTILLA!AB16</f>
        <v>10.09</v>
      </c>
      <c r="J9" s="163">
        <f>PLANTILLA!AC16</f>
        <v>4.3999999999999995</v>
      </c>
      <c r="K9" s="163">
        <f>PLANTILLA!AD16</f>
        <v>16.544444444444441</v>
      </c>
      <c r="L9" s="648">
        <f>1/26</f>
        <v>3.8461538461538464E-2</v>
      </c>
      <c r="M9" s="363">
        <f t="shared" si="0"/>
        <v>1.9230769230769232E-2</v>
      </c>
      <c r="N9" s="36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38">
        <f>U9</f>
        <v>3.3884615384615388E-2</v>
      </c>
      <c r="Z9" s="438">
        <f>U9</f>
        <v>3.3884615384615388E-2</v>
      </c>
      <c r="AA9" s="438">
        <f t="shared" si="11"/>
        <v>3.3884615384615388E-2</v>
      </c>
      <c r="AD9" t="s">
        <v>596</v>
      </c>
      <c r="AE9" t="s">
        <v>325</v>
      </c>
      <c r="AG9" t="s">
        <v>596</v>
      </c>
      <c r="AH9" t="s">
        <v>325</v>
      </c>
    </row>
    <row r="10" spans="1:34" x14ac:dyDescent="0.25">
      <c r="A10" s="312" t="str">
        <f>PLANTILLA!A14</f>
        <v>#10</v>
      </c>
      <c r="B10" s="704" t="str">
        <f>PLANTILLA!D14</f>
        <v>S. Zobbe</v>
      </c>
      <c r="C10" s="312">
        <f>PLANTILLA!E14</f>
        <v>27</v>
      </c>
      <c r="D10" s="312">
        <f ca="1">PLANTILLA!F14</f>
        <v>38</v>
      </c>
      <c r="E10" s="163">
        <f>PLANTILLA!X14</f>
        <v>0</v>
      </c>
      <c r="F10" s="163">
        <f>PLANTILLA!Y14</f>
        <v>8.1199999999999992</v>
      </c>
      <c r="G10" s="163">
        <f>PLANTILLA!Z14</f>
        <v>12.008412698412698</v>
      </c>
      <c r="H10" s="163">
        <f>PLANTILLA!AA14</f>
        <v>12.13</v>
      </c>
      <c r="I10" s="163">
        <f>PLANTILLA!AB14</f>
        <v>10.24</v>
      </c>
      <c r="J10" s="163">
        <f>PLANTILLA!AC14</f>
        <v>7.4766666666666666</v>
      </c>
      <c r="K10" s="163">
        <f>PLANTILLA!AD14</f>
        <v>15.270000000000001</v>
      </c>
      <c r="L10" s="648">
        <f>1/14</f>
        <v>7.1428571428571425E-2</v>
      </c>
      <c r="M10" s="363">
        <f t="shared" si="0"/>
        <v>3.5714285714285712E-2</v>
      </c>
      <c r="N10" s="36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38">
        <f>V10</f>
        <v>3.2500000000000001E-2</v>
      </c>
      <c r="Z10" s="438">
        <f>V10</f>
        <v>3.2500000000000001E-2</v>
      </c>
      <c r="AA10" s="438">
        <f t="shared" si="11"/>
        <v>3.2500000000000001E-2</v>
      </c>
      <c r="AD10" t="s">
        <v>970</v>
      </c>
      <c r="AE10" t="s">
        <v>980</v>
      </c>
      <c r="AG10" t="s">
        <v>596</v>
      </c>
      <c r="AH10" t="s">
        <v>752</v>
      </c>
    </row>
    <row r="11" spans="1:34" x14ac:dyDescent="0.25">
      <c r="A11" s="312" t="str">
        <f>PLANTILLA!A12</f>
        <v>#7</v>
      </c>
      <c r="B11" s="704" t="str">
        <f>PLANTILLA!D12</f>
        <v>E. Romweber</v>
      </c>
      <c r="C11" s="312">
        <f>PLANTILLA!E12</f>
        <v>30</v>
      </c>
      <c r="D11" s="312">
        <f ca="1">PLANTILLA!F12</f>
        <v>76</v>
      </c>
      <c r="E11" s="163">
        <f>PLANTILLA!X12</f>
        <v>0</v>
      </c>
      <c r="F11" s="163">
        <f>PLANTILLA!Y12</f>
        <v>11.95</v>
      </c>
      <c r="G11" s="163">
        <f>PLANTILLA!Z12</f>
        <v>12.444111111111114</v>
      </c>
      <c r="H11" s="163">
        <f>PLANTILLA!AA12</f>
        <v>13.05</v>
      </c>
      <c r="I11" s="163">
        <f>PLANTILLA!AB12</f>
        <v>10.91</v>
      </c>
      <c r="J11" s="163">
        <f>PLANTILLA!AC12</f>
        <v>7.7700000000000005</v>
      </c>
      <c r="K11" s="163">
        <f>PLANTILLA!AD12</f>
        <v>17.13</v>
      </c>
      <c r="L11" s="648">
        <f>1/16</f>
        <v>6.25E-2</v>
      </c>
      <c r="M11" s="363">
        <f t="shared" si="0"/>
        <v>3.125E-2</v>
      </c>
      <c r="N11" s="36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38">
        <f>V11</f>
        <v>2.8437500000000001E-2</v>
      </c>
      <c r="Z11" s="438">
        <f>V11</f>
        <v>2.8437500000000001E-2</v>
      </c>
      <c r="AA11" s="438">
        <f t="shared" si="11"/>
        <v>2.8437500000000001E-2</v>
      </c>
      <c r="AD11" t="s">
        <v>970</v>
      </c>
      <c r="AE11" t="s">
        <v>338</v>
      </c>
      <c r="AG11" t="s">
        <v>970</v>
      </c>
      <c r="AH11" t="s">
        <v>338</v>
      </c>
    </row>
    <row r="12" spans="1:34" x14ac:dyDescent="0.25">
      <c r="A12" s="312" t="str">
        <f>PLANTILLA!A8</f>
        <v>#8</v>
      </c>
      <c r="B12" s="237" t="str">
        <f>PLANTILLA!D8</f>
        <v>D. Toh</v>
      </c>
      <c r="C12" s="312">
        <f>PLANTILLA!E8</f>
        <v>31</v>
      </c>
      <c r="D12" s="312">
        <f ca="1">PLANTILLA!F8</f>
        <v>48</v>
      </c>
      <c r="E12" s="163">
        <f>PLANTILLA!X8</f>
        <v>0</v>
      </c>
      <c r="F12" s="163">
        <f>PLANTILLA!Y8</f>
        <v>11</v>
      </c>
      <c r="G12" s="163">
        <f>PLANTILLA!Z8</f>
        <v>6.1794444444444414</v>
      </c>
      <c r="H12" s="163">
        <f>PLANTILLA!AA8</f>
        <v>5.98</v>
      </c>
      <c r="I12" s="163">
        <f>PLANTILLA!AB8</f>
        <v>7.7227777777777789</v>
      </c>
      <c r="J12" s="163">
        <f>PLANTILLA!AC8</f>
        <v>4.383333333333332</v>
      </c>
      <c r="K12" s="163">
        <f>PLANTILLA!AD8</f>
        <v>15.349999999999998</v>
      </c>
      <c r="L12" s="648">
        <f>1/7</f>
        <v>0.14285714285714285</v>
      </c>
      <c r="M12" s="363">
        <f t="shared" si="0"/>
        <v>7.1428571428571425E-2</v>
      </c>
      <c r="N12" s="36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38"/>
      <c r="Z12" s="438">
        <f>R12</f>
        <v>2.357142857142857E-2</v>
      </c>
      <c r="AA12" s="438">
        <f t="shared" si="11"/>
        <v>2.357142857142857E-2</v>
      </c>
      <c r="AD12" t="s">
        <v>67</v>
      </c>
      <c r="AE12" t="s">
        <v>327</v>
      </c>
      <c r="AG12" t="s">
        <v>970</v>
      </c>
      <c r="AH12" t="s">
        <v>600</v>
      </c>
    </row>
    <row r="13" spans="1:34" x14ac:dyDescent="0.25">
      <c r="A13" s="312" t="str">
        <f>PLANTILLA!A10</f>
        <v>#3</v>
      </c>
      <c r="B13" s="237" t="str">
        <f>PLANTILLA!D10</f>
        <v>B. Bartolache</v>
      </c>
      <c r="C13" s="312">
        <f>PLANTILLA!E10</f>
        <v>30</v>
      </c>
      <c r="D13" s="312">
        <f ca="1">PLANTILLA!F10</f>
        <v>99</v>
      </c>
      <c r="E13" s="163">
        <f>PLANTILLA!X10</f>
        <v>0</v>
      </c>
      <c r="F13" s="163">
        <f>PLANTILLA!Y10</f>
        <v>11.649999999999997</v>
      </c>
      <c r="G13" s="163">
        <f>PLANTILLA!Z10</f>
        <v>6.6900000000000022</v>
      </c>
      <c r="H13" s="163">
        <f>PLANTILLA!AA10</f>
        <v>7.3600000000000012</v>
      </c>
      <c r="I13" s="163">
        <f>PLANTILLA!AB10</f>
        <v>9.0199999999999978</v>
      </c>
      <c r="J13" s="163">
        <f>PLANTILLA!AC10</f>
        <v>4.6199999999999966</v>
      </c>
      <c r="K13" s="163">
        <f>PLANTILLA!AD10</f>
        <v>15.6</v>
      </c>
      <c r="L13" s="648">
        <f>1/8</f>
        <v>0.125</v>
      </c>
      <c r="M13" s="363">
        <f t="shared" si="0"/>
        <v>6.25E-2</v>
      </c>
      <c r="N13" s="36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38"/>
      <c r="Z13" s="438">
        <f>S13</f>
        <v>2.0875000000000001E-2</v>
      </c>
      <c r="AA13" s="438">
        <f t="shared" si="11"/>
        <v>2.0875000000000001E-2</v>
      </c>
      <c r="AD13" t="s">
        <v>67</v>
      </c>
      <c r="AE13" t="s">
        <v>600</v>
      </c>
      <c r="AG13" t="s">
        <v>67</v>
      </c>
      <c r="AH13" t="s">
        <v>327</v>
      </c>
    </row>
    <row r="14" spans="1:34" x14ac:dyDescent="0.25">
      <c r="A14" s="312" t="str">
        <f>PLANTILLA!A9</f>
        <v>#2</v>
      </c>
      <c r="B14" s="704" t="str">
        <f>PLANTILLA!D9</f>
        <v>E. Toney</v>
      </c>
      <c r="C14" s="312">
        <f>PLANTILLA!E9</f>
        <v>31</v>
      </c>
      <c r="D14" s="312">
        <f ca="1">PLANTILLA!F9</f>
        <v>2</v>
      </c>
      <c r="E14" s="163">
        <f>PLANTILLA!X9</f>
        <v>0</v>
      </c>
      <c r="F14" s="163">
        <f>PLANTILLA!Y9</f>
        <v>12.060000000000004</v>
      </c>
      <c r="G14" s="163">
        <f>PLANTILLA!Z9</f>
        <v>13.076555555555554</v>
      </c>
      <c r="H14" s="163">
        <f>PLANTILLA!AA9</f>
        <v>9.7100000000000062</v>
      </c>
      <c r="I14" s="163">
        <f>PLANTILLA!AB9</f>
        <v>9.6</v>
      </c>
      <c r="J14" s="163">
        <f>PLANTILLA!AC9</f>
        <v>3.6816666666666658</v>
      </c>
      <c r="K14" s="163">
        <f>PLANTILLA!AD9</f>
        <v>16.627777777777773</v>
      </c>
      <c r="L14" s="648">
        <f>1/19</f>
        <v>5.2631578947368418E-2</v>
      </c>
      <c r="M14" s="363">
        <f t="shared" si="0"/>
        <v>2.6315789473684209E-2</v>
      </c>
      <c r="N14" s="36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38">
        <f>P14</f>
        <v>1.2421052631578946E-2</v>
      </c>
      <c r="Z14" s="438">
        <f>Q14</f>
        <v>1.9105263157894736E-2</v>
      </c>
      <c r="AA14" s="438">
        <f t="shared" si="11"/>
        <v>1.9105263157894736E-2</v>
      </c>
    </row>
    <row r="15" spans="1:34" x14ac:dyDescent="0.25">
      <c r="A15" s="312" t="str">
        <f>PLANTILLA!A23</f>
        <v>#18</v>
      </c>
      <c r="B15" s="704" t="str">
        <f>PLANTILLA!D23</f>
        <v>L. Calosso</v>
      </c>
      <c r="C15" s="312">
        <f>PLANTILLA!E23</f>
        <v>30</v>
      </c>
      <c r="D15" s="312">
        <f ca="1">PLANTILLA!F23</f>
        <v>32</v>
      </c>
      <c r="E15" s="163">
        <f>PLANTILLA!X23</f>
        <v>0</v>
      </c>
      <c r="F15" s="163">
        <f>PLANTILLA!Y23</f>
        <v>2</v>
      </c>
      <c r="G15" s="163">
        <f>PLANTILLA!Z23</f>
        <v>14.1038</v>
      </c>
      <c r="H15" s="163">
        <f>PLANTILLA!AA23</f>
        <v>3</v>
      </c>
      <c r="I15" s="163">
        <f>PLANTILLA!AB23</f>
        <v>15.02</v>
      </c>
      <c r="J15" s="163">
        <f>PLANTILLA!AC23</f>
        <v>10</v>
      </c>
      <c r="K15" s="163">
        <f>PLANTILLA!AD23</f>
        <v>9.3000000000000007</v>
      </c>
      <c r="L15" s="648">
        <f>1/23</f>
        <v>4.3478260869565216E-2</v>
      </c>
      <c r="M15" s="363">
        <f t="shared" si="0"/>
        <v>2.1739130434782608E-2</v>
      </c>
      <c r="N15" s="36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38">
        <f>W15</f>
        <v>1.7652173913043478E-2</v>
      </c>
      <c r="Z15" s="438">
        <f>W15</f>
        <v>1.7652173913043478E-2</v>
      </c>
      <c r="AA15" s="438">
        <f t="shared" si="11"/>
        <v>1.7652173913043478E-2</v>
      </c>
    </row>
    <row r="16" spans="1:34" x14ac:dyDescent="0.25">
      <c r="A16" s="312" t="str">
        <f>PLANTILLA!A17</f>
        <v>#12</v>
      </c>
      <c r="B16" s="237" t="str">
        <f>PLANTILLA!D17</f>
        <v>E. Gross</v>
      </c>
      <c r="C16" s="312">
        <f>PLANTILLA!E17</f>
        <v>30</v>
      </c>
      <c r="D16" s="312">
        <f ca="1">PLANTILLA!F17</f>
        <v>63</v>
      </c>
      <c r="E16" s="163">
        <f>PLANTILLA!X17</f>
        <v>0</v>
      </c>
      <c r="F16" s="163">
        <f>PLANTILLA!Y17</f>
        <v>10.349999999999996</v>
      </c>
      <c r="G16" s="163">
        <f>PLANTILLA!Z17</f>
        <v>12.849777777777778</v>
      </c>
      <c r="H16" s="163">
        <f>PLANTILLA!AA17</f>
        <v>5.1199999999999983</v>
      </c>
      <c r="I16" s="163">
        <f>PLANTILLA!AB17</f>
        <v>9.24</v>
      </c>
      <c r="J16" s="163">
        <f>PLANTILLA!AC17</f>
        <v>2.98</v>
      </c>
      <c r="K16" s="163">
        <f>PLANTILLA!AD17</f>
        <v>16.959999999999997</v>
      </c>
      <c r="L16" s="648">
        <f>1/14</f>
        <v>7.1428571428571425E-2</v>
      </c>
      <c r="M16" s="363">
        <f t="shared" si="0"/>
        <v>3.5714285714285712E-2</v>
      </c>
      <c r="N16" s="36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38">
        <f>P16</f>
        <v>1.6857142857142855E-2</v>
      </c>
      <c r="Z16" s="438">
        <f>P16</f>
        <v>1.6857142857142855E-2</v>
      </c>
      <c r="AA16" s="438">
        <f t="shared" si="11"/>
        <v>1.6857142857142855E-2</v>
      </c>
    </row>
    <row r="17" spans="1:27" x14ac:dyDescent="0.25">
      <c r="A17" s="312" t="str">
        <f>PLANTILLA!A7</f>
        <v>#17</v>
      </c>
      <c r="B17" s="237" t="str">
        <f>PLANTILLA!D7</f>
        <v>B. Pinczehelyi</v>
      </c>
      <c r="C17" s="312">
        <f>PLANTILLA!E7</f>
        <v>30</v>
      </c>
      <c r="D17" s="312">
        <f ca="1">PLANTILLA!F7</f>
        <v>3</v>
      </c>
      <c r="E17" s="163">
        <f>PLANTILLA!X7</f>
        <v>0</v>
      </c>
      <c r="F17" s="163">
        <f>PLANTILLA!Y7</f>
        <v>14.200000000000003</v>
      </c>
      <c r="G17" s="163">
        <f>PLANTILLA!Z7</f>
        <v>9.299333333333335</v>
      </c>
      <c r="H17" s="163">
        <f>PLANTILLA!AA7</f>
        <v>14.249999999999996</v>
      </c>
      <c r="I17" s="163">
        <f>PLANTILLA!AB7</f>
        <v>9.4199999999999982</v>
      </c>
      <c r="J17" s="163">
        <f>PLANTILLA!AC7</f>
        <v>1.1428571428571428</v>
      </c>
      <c r="K17" s="163">
        <f>PLANTILLA!AD7</f>
        <v>9.4</v>
      </c>
      <c r="L17" s="648">
        <f>1/11</f>
        <v>9.0909090909090912E-2</v>
      </c>
      <c r="M17" s="363">
        <f t="shared" si="0"/>
        <v>4.5454545454545456E-2</v>
      </c>
      <c r="N17" s="36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38">
        <f>S17</f>
        <v>1.5181818181818183E-2</v>
      </c>
      <c r="Z17" s="438">
        <f>S17</f>
        <v>1.5181818181818183E-2</v>
      </c>
      <c r="AA17" s="438">
        <f t="shared" si="11"/>
        <v>1.5181818181818183E-2</v>
      </c>
    </row>
    <row r="18" spans="1:27" x14ac:dyDescent="0.25">
      <c r="A18" s="312" t="str">
        <f>PLANTILLA!A24</f>
        <v>#15</v>
      </c>
      <c r="B18" s="312" t="str">
        <f>PLANTILLA!D24</f>
        <v>P .Trivadi</v>
      </c>
      <c r="C18" s="312">
        <f>PLANTILLA!E24</f>
        <v>26</v>
      </c>
      <c r="D18" s="312">
        <f ca="1">PLANTILLA!F24</f>
        <v>106</v>
      </c>
      <c r="E18" s="163">
        <f>PLANTILLA!X24</f>
        <v>0</v>
      </c>
      <c r="F18" s="163">
        <f>PLANTILLA!Y24</f>
        <v>4</v>
      </c>
      <c r="G18" s="163">
        <f>PLANTILLA!Z24</f>
        <v>5.5338722222222207</v>
      </c>
      <c r="H18" s="163">
        <f>PLANTILLA!AA24</f>
        <v>5.47</v>
      </c>
      <c r="I18" s="163">
        <f>PLANTILLA!AB24</f>
        <v>10.799999999999999</v>
      </c>
      <c r="J18" s="163">
        <f>PLANTILLA!AC24</f>
        <v>8.384500000000001</v>
      </c>
      <c r="K18" s="163">
        <f>PLANTILLA!AD24</f>
        <v>13.566666666666668</v>
      </c>
      <c r="L18" s="648">
        <f>1/6</f>
        <v>0.16666666666666666</v>
      </c>
      <c r="M18" s="363">
        <f t="shared" si="0"/>
        <v>8.3333333333333329E-2</v>
      </c>
      <c r="N18" s="36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38">
        <v>0</v>
      </c>
      <c r="Z18" s="438">
        <v>0</v>
      </c>
      <c r="AA18" s="438">
        <f t="shared" si="11"/>
        <v>0</v>
      </c>
    </row>
    <row r="19" spans="1:27" x14ac:dyDescent="0.25">
      <c r="A19" s="312" t="str">
        <f>PLANTILLA!A5</f>
        <v>#1</v>
      </c>
      <c r="B19" s="312" t="str">
        <f>PLANTILLA!D5</f>
        <v>D. Gehmacher</v>
      </c>
      <c r="C19" s="312">
        <f>PLANTILLA!E5</f>
        <v>29</v>
      </c>
      <c r="D19" s="312">
        <f ca="1">PLANTILLA!F5</f>
        <v>103</v>
      </c>
      <c r="E19" s="163">
        <f>PLANTILLA!X5</f>
        <v>16.666666666666668</v>
      </c>
      <c r="F19" s="163">
        <f>PLANTILLA!Y5</f>
        <v>11.832727272727276</v>
      </c>
      <c r="G19" s="163">
        <f>PLANTILLA!Z5</f>
        <v>2.0299999999999994</v>
      </c>
      <c r="H19" s="163">
        <f>PLANTILLA!AA5</f>
        <v>2.1199999999999992</v>
      </c>
      <c r="I19" s="163">
        <f>PLANTILLA!AB5</f>
        <v>1.0400000000000003</v>
      </c>
      <c r="J19" s="163">
        <f>PLANTILLA!AC5</f>
        <v>0.14055555555555557</v>
      </c>
      <c r="K19" s="163">
        <f>PLANTILLA!AD5</f>
        <v>17.849999999999998</v>
      </c>
      <c r="L19" s="648">
        <v>0</v>
      </c>
      <c r="M19" s="363">
        <f t="shared" si="0"/>
        <v>0</v>
      </c>
      <c r="N19" s="36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38">
        <f>O19</f>
        <v>0</v>
      </c>
      <c r="Z19" s="438">
        <f>O19</f>
        <v>0</v>
      </c>
      <c r="AA19" s="438">
        <f t="shared" si="11"/>
        <v>0</v>
      </c>
    </row>
    <row r="20" spans="1:27" x14ac:dyDescent="0.25">
      <c r="A20" s="312" t="str">
        <f>PLANTILLA!A6</f>
        <v>#16</v>
      </c>
      <c r="B20" s="312" t="str">
        <f>PLANTILLA!D6</f>
        <v>T. Hammond</v>
      </c>
      <c r="C20" s="312">
        <f>PLANTILLA!E6</f>
        <v>34</v>
      </c>
      <c r="D20" s="312">
        <f ca="1">PLANTILLA!F6</f>
        <v>0</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648"/>
      <c r="M20" s="363">
        <f t="shared" si="0"/>
        <v>0</v>
      </c>
      <c r="N20" s="36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38"/>
      <c r="Z20" s="438"/>
      <c r="AA20" s="438">
        <f t="shared" si="11"/>
        <v>0</v>
      </c>
    </row>
    <row r="21" spans="1:27" x14ac:dyDescent="0.25">
      <c r="A21" s="312" t="str">
        <f>PLANTILLA!A11</f>
        <v>#13</v>
      </c>
      <c r="B21" s="312" t="str">
        <f>PLANTILLA!D11</f>
        <v>F. Lasprilla</v>
      </c>
      <c r="C21" s="312">
        <f>PLANTILLA!E11</f>
        <v>27</v>
      </c>
      <c r="D21" s="312">
        <f ca="1">PLANTILLA!F11</f>
        <v>10</v>
      </c>
      <c r="E21" s="163">
        <f>PLANTILLA!X11</f>
        <v>0</v>
      </c>
      <c r="F21" s="163">
        <f>PLANTILLA!Y11</f>
        <v>9.5796666666666663</v>
      </c>
      <c r="G21" s="163">
        <f>PLANTILLA!Z11</f>
        <v>7.7307222222222229</v>
      </c>
      <c r="H21" s="163">
        <f>PLANTILLA!AA11</f>
        <v>6.129999999999999</v>
      </c>
      <c r="I21" s="163">
        <f>PLANTILLA!AB11</f>
        <v>8.8633333333333315</v>
      </c>
      <c r="J21" s="163">
        <f>PLANTILLA!AC11</f>
        <v>3.2566666666666673</v>
      </c>
      <c r="K21" s="163">
        <f>PLANTILLA!AD11</f>
        <v>13.238888888888889</v>
      </c>
      <c r="L21" s="648"/>
      <c r="M21" s="363">
        <f t="shared" si="0"/>
        <v>0</v>
      </c>
      <c r="N21" s="36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38"/>
      <c r="Z21" s="438"/>
      <c r="AA21" s="438">
        <f t="shared" si="11"/>
        <v>0</v>
      </c>
    </row>
    <row r="22" spans="1:27" x14ac:dyDescent="0.25">
      <c r="A22" s="312" t="str">
        <f>PLANTILLA!A19</f>
        <v>#14</v>
      </c>
      <c r="B22" s="312" t="str">
        <f>PLANTILLA!D19</f>
        <v>W. Gelifini</v>
      </c>
      <c r="C22" s="312">
        <f>PLANTILLA!E19</f>
        <v>28</v>
      </c>
      <c r="D22" s="312">
        <f ca="1">PLANTILLA!F19</f>
        <v>100</v>
      </c>
      <c r="E22" s="163">
        <f>PLANTILLA!X19</f>
        <v>0</v>
      </c>
      <c r="F22" s="163">
        <f>PLANTILLA!Y19</f>
        <v>5.6315555555555523</v>
      </c>
      <c r="G22" s="163">
        <f>PLANTILLA!Z19</f>
        <v>9.8423388888888876</v>
      </c>
      <c r="H22" s="163">
        <f>PLANTILLA!AA19</f>
        <v>7.0526666666666671</v>
      </c>
      <c r="I22" s="163">
        <f>PLANTILLA!AB19</f>
        <v>9.2666666666666639</v>
      </c>
      <c r="J22" s="163">
        <f>PLANTILLA!AC19</f>
        <v>3.5417777777777766</v>
      </c>
      <c r="K22" s="163">
        <f>PLANTILLA!AD19</f>
        <v>12.450000000000001</v>
      </c>
      <c r="L22" s="648"/>
      <c r="M22" s="363">
        <f t="shared" si="0"/>
        <v>0</v>
      </c>
      <c r="N22" s="36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38"/>
      <c r="Z22" s="438"/>
      <c r="AA22" s="438">
        <f t="shared" si="11"/>
        <v>0</v>
      </c>
    </row>
    <row r="23" spans="1:27" x14ac:dyDescent="0.25">
      <c r="A23" s="312" t="str">
        <f>PLANTILLA!A20</f>
        <v>#89</v>
      </c>
      <c r="B23" s="312" t="str">
        <f>PLANTILLA!D20</f>
        <v>M. Amico</v>
      </c>
      <c r="C23" s="312">
        <f>PLANTILLA!E20</f>
        <v>28</v>
      </c>
      <c r="D23" s="312">
        <f ca="1">PLANTILLA!F20</f>
        <v>107</v>
      </c>
      <c r="E23" s="163">
        <f>PLANTILLA!X20</f>
        <v>0</v>
      </c>
      <c r="F23" s="163">
        <f>PLANTILLA!Y20</f>
        <v>2.47611111111111</v>
      </c>
      <c r="G23" s="163">
        <f>PLANTILLA!Z20</f>
        <v>7.3099999999999978</v>
      </c>
      <c r="H23" s="163">
        <f>PLANTILLA!AA20</f>
        <v>4.1588235294117641</v>
      </c>
      <c r="I23" s="163">
        <f>PLANTILLA!AB20</f>
        <v>7.2649999999999988</v>
      </c>
      <c r="J23" s="163">
        <f>PLANTILLA!AC20</f>
        <v>4.3299999999999983</v>
      </c>
      <c r="K23" s="163">
        <f>PLANTILLA!AD20</f>
        <v>9.5</v>
      </c>
      <c r="L23"/>
      <c r="M23" s="363">
        <f t="shared" si="0"/>
        <v>0</v>
      </c>
      <c r="N23" s="36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38"/>
      <c r="Z23" s="438"/>
      <c r="AA23" s="438">
        <f t="shared" si="11"/>
        <v>0</v>
      </c>
    </row>
    <row r="26" spans="1:27" x14ac:dyDescent="0.25">
      <c r="B26" s="31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42585</v>
      </c>
      <c r="Y2" s="652">
        <f>SUM(Y4:Y22)</f>
        <v>0.24062111707736711</v>
      </c>
      <c r="Z2" s="652">
        <f>SUM(Z4:Z22)</f>
        <v>0.19504062465312466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PLANTILLA!A22</f>
        <v>#9</v>
      </c>
      <c r="B4" s="703" t="str">
        <f>PLANTILLA!D22</f>
        <v>J. Limon</v>
      </c>
      <c r="C4" s="312">
        <f>PLANTILLA!E22</f>
        <v>29</v>
      </c>
      <c r="D4" s="312">
        <f ca="1">PLANTILLA!F22</f>
        <v>75</v>
      </c>
      <c r="E4" s="163">
        <f>PLANTILLA!X22</f>
        <v>0</v>
      </c>
      <c r="F4" s="163">
        <f>PLANTILLA!Y22</f>
        <v>6.8176190476190497</v>
      </c>
      <c r="G4" s="163">
        <f>PLANTILLA!Z22</f>
        <v>8.375</v>
      </c>
      <c r="H4" s="163">
        <f>PLANTILLA!AA22</f>
        <v>8.7199999999999971</v>
      </c>
      <c r="I4" s="163">
        <f>PLANTILLA!AB22</f>
        <v>9.6900000000000013</v>
      </c>
      <c r="J4" s="163">
        <f>PLANTILLA!AC22</f>
        <v>8.5625000000000018</v>
      </c>
      <c r="K4" s="163">
        <f>PLANTILLA!AD22</f>
        <v>18.639999999999993</v>
      </c>
      <c r="L4" s="363">
        <f>1/8</f>
        <v>0.125</v>
      </c>
      <c r="M4" s="363"/>
      <c r="N4" s="36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38">
        <f>W4</f>
        <v>4.7065340909090911E-2</v>
      </c>
      <c r="Z4" s="438"/>
      <c r="AA4" s="438">
        <f t="shared" ref="AA4:AA23" si="6">MAX(Z4,Y4)</f>
        <v>4.7065340909090911E-2</v>
      </c>
      <c r="AD4" t="s">
        <v>967</v>
      </c>
      <c r="AE4" s="668" t="s">
        <v>1020</v>
      </c>
      <c r="AG4" t="s">
        <v>967</v>
      </c>
      <c r="AH4" s="668" t="str">
        <f>AE4</f>
        <v>B. Pinczehelyi</v>
      </c>
    </row>
    <row r="5" spans="1:34" x14ac:dyDescent="0.25">
      <c r="A5" s="312" t="str">
        <f>PLANTILLA!A18</f>
        <v>#5</v>
      </c>
      <c r="B5" s="703" t="str">
        <f>PLANTILLA!D18</f>
        <v>L. Bauman</v>
      </c>
      <c r="C5" s="312">
        <f>PLANTILLA!E18</f>
        <v>30</v>
      </c>
      <c r="D5" s="312">
        <f ca="1">PLANTILLA!F18</f>
        <v>38</v>
      </c>
      <c r="E5" s="163">
        <f>PLANTILLA!X18</f>
        <v>0</v>
      </c>
      <c r="F5" s="163">
        <f>PLANTILLA!Y18</f>
        <v>5.2811111111111115</v>
      </c>
      <c r="G5" s="163">
        <f>PLANTILLA!Z18</f>
        <v>14.23617089947089</v>
      </c>
      <c r="H5" s="163">
        <f>PLANTILLA!AA18</f>
        <v>3.4924999999999993</v>
      </c>
      <c r="I5" s="163">
        <f>PLANTILLA!AB18</f>
        <v>9.1400000000000041</v>
      </c>
      <c r="J5" s="163">
        <f>PLANTILLA!AC18</f>
        <v>7.4318888888888894</v>
      </c>
      <c r="K5" s="163">
        <f>PLANTILLA!AD18</f>
        <v>16.07</v>
      </c>
      <c r="L5" s="363">
        <f>1/9</f>
        <v>0.1111111111111111</v>
      </c>
      <c r="M5" s="363"/>
      <c r="N5" s="36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38">
        <f>T5</f>
        <v>4.0351010101010096E-2</v>
      </c>
      <c r="Z5" s="438">
        <f>W5</f>
        <v>4.183585858585858E-2</v>
      </c>
      <c r="AA5" s="438">
        <f t="shared" si="6"/>
        <v>4.183585858585858E-2</v>
      </c>
      <c r="AD5" t="s">
        <v>968</v>
      </c>
      <c r="AE5" t="s">
        <v>312</v>
      </c>
      <c r="AG5" t="s">
        <v>979</v>
      </c>
      <c r="AH5" t="s">
        <v>313</v>
      </c>
    </row>
    <row r="6" spans="1:34" x14ac:dyDescent="0.25">
      <c r="A6" s="312" t="str">
        <f>PLANTILLA!A15</f>
        <v>#6</v>
      </c>
      <c r="B6" s="703" t="str">
        <f>PLANTILLA!D15</f>
        <v>S. Buschelman</v>
      </c>
      <c r="C6" s="312">
        <f>PLANTILLA!E15</f>
        <v>29</v>
      </c>
      <c r="D6" s="312">
        <f ca="1">PLANTILLA!F15</f>
        <v>35</v>
      </c>
      <c r="E6" s="163">
        <f>PLANTILLA!X15</f>
        <v>0</v>
      </c>
      <c r="F6" s="163">
        <f>PLANTILLA!Y15</f>
        <v>9.1936666666666653</v>
      </c>
      <c r="G6" s="163">
        <f>PLANTILLA!Z15</f>
        <v>13.599999999999998</v>
      </c>
      <c r="H6" s="163">
        <f>PLANTILLA!AA15</f>
        <v>12.725000000000001</v>
      </c>
      <c r="I6" s="163">
        <f>PLANTILLA!AB15</f>
        <v>9.6733333333333356</v>
      </c>
      <c r="J6" s="163">
        <f>PLANTILLA!AC15</f>
        <v>5.0296666666666656</v>
      </c>
      <c r="K6" s="163">
        <f>PLANTILLA!AD15</f>
        <v>15.2</v>
      </c>
      <c r="L6" s="363">
        <f>1/8</f>
        <v>0.125</v>
      </c>
      <c r="M6" s="363"/>
      <c r="N6" s="36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38">
        <f>U6</f>
        <v>3.5380681818181818E-2</v>
      </c>
      <c r="Z6" s="438">
        <f>U6</f>
        <v>3.5380681818181818E-2</v>
      </c>
      <c r="AA6" s="438">
        <f t="shared" si="6"/>
        <v>3.5380681818181818E-2</v>
      </c>
      <c r="AD6" t="s">
        <v>967</v>
      </c>
      <c r="AE6" t="s">
        <v>309</v>
      </c>
      <c r="AG6" t="s">
        <v>978</v>
      </c>
      <c r="AH6" t="s">
        <v>309</v>
      </c>
    </row>
    <row r="7" spans="1:34" x14ac:dyDescent="0.25">
      <c r="A7" s="312" t="str">
        <f>PLANTILLA!A21</f>
        <v>#19</v>
      </c>
      <c r="B7" s="703" t="str">
        <f>PLANTILLA!D21</f>
        <v>G. Kerschl</v>
      </c>
      <c r="C7" s="312">
        <f>PLANTILLA!E21</f>
        <v>28</v>
      </c>
      <c r="D7" s="312">
        <f ca="1">PLANTILLA!F21</f>
        <v>65</v>
      </c>
      <c r="E7" s="163">
        <f>PLANTILLA!X21</f>
        <v>0</v>
      </c>
      <c r="F7" s="163">
        <f>PLANTILLA!Y21</f>
        <v>2</v>
      </c>
      <c r="G7" s="163">
        <f>PLANTILLA!Z21</f>
        <v>14.5</v>
      </c>
      <c r="H7" s="163">
        <f>PLANTILLA!AA21</f>
        <v>12</v>
      </c>
      <c r="I7" s="163">
        <f>PLANTILLA!AB21</f>
        <v>12</v>
      </c>
      <c r="J7" s="163">
        <f>PLANTILLA!AC21</f>
        <v>8</v>
      </c>
      <c r="K7" s="163">
        <f>PLANTILLA!AD21</f>
        <v>2</v>
      </c>
      <c r="L7" s="363">
        <f>1/14</f>
        <v>7.1428571428571425E-2</v>
      </c>
      <c r="M7" s="363"/>
      <c r="N7" s="36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38">
        <f>W7</f>
        <v>2.6894480519480523E-2</v>
      </c>
      <c r="Z7" s="438">
        <f>W7</f>
        <v>2.6894480519480523E-2</v>
      </c>
      <c r="AA7" s="438">
        <f t="shared" si="6"/>
        <v>2.6894480519480523E-2</v>
      </c>
      <c r="AD7" t="s">
        <v>596</v>
      </c>
      <c r="AE7" t="s">
        <v>752</v>
      </c>
      <c r="AG7" t="s">
        <v>979</v>
      </c>
      <c r="AH7" t="s">
        <v>315</v>
      </c>
    </row>
    <row r="8" spans="1:34" x14ac:dyDescent="0.25">
      <c r="A8" s="312" t="str">
        <f>PLANTILLA!A16</f>
        <v>#4</v>
      </c>
      <c r="B8" s="703" t="str">
        <f>PLANTILLA!D16</f>
        <v>C. Rojas</v>
      </c>
      <c r="C8" s="312">
        <f>PLANTILLA!E16</f>
        <v>31</v>
      </c>
      <c r="D8" s="312">
        <f ca="1">PLANTILLA!F16</f>
        <v>69</v>
      </c>
      <c r="E8" s="163">
        <f>PLANTILLA!X16</f>
        <v>0</v>
      </c>
      <c r="F8" s="163">
        <f>PLANTILLA!Y16</f>
        <v>8.6075555555555585</v>
      </c>
      <c r="G8" s="163">
        <f>PLANTILLA!Z16</f>
        <v>14.142779365079358</v>
      </c>
      <c r="H8" s="163">
        <f>PLANTILLA!AA16</f>
        <v>9.99</v>
      </c>
      <c r="I8" s="163">
        <f>PLANTILLA!AB16</f>
        <v>10.09</v>
      </c>
      <c r="J8" s="163">
        <f>PLANTILLA!AC16</f>
        <v>4.3999999999999995</v>
      </c>
      <c r="K8" s="163">
        <f>PLANTILLA!AD16</f>
        <v>16.544444444444441</v>
      </c>
      <c r="L8" s="363">
        <f>1/12</f>
        <v>8.3333333333333329E-2</v>
      </c>
      <c r="M8" s="363"/>
      <c r="N8" s="36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38">
        <f>U8</f>
        <v>2.3587121212121212E-2</v>
      </c>
      <c r="Z8" s="438">
        <f>U8</f>
        <v>2.3587121212121212E-2</v>
      </c>
      <c r="AA8" s="438">
        <f t="shared" si="6"/>
        <v>2.3587121212121212E-2</v>
      </c>
      <c r="AD8" t="s">
        <v>969</v>
      </c>
      <c r="AE8" t="s">
        <v>440</v>
      </c>
      <c r="AG8" t="s">
        <v>967</v>
      </c>
      <c r="AH8" t="s">
        <v>980</v>
      </c>
    </row>
    <row r="9" spans="1:34" x14ac:dyDescent="0.25">
      <c r="A9" s="312" t="str">
        <f>PLANTILLA!A13</f>
        <v>#11</v>
      </c>
      <c r="B9" s="703" t="str">
        <f>PLANTILLA!D13</f>
        <v>K. Helms</v>
      </c>
      <c r="C9" s="312">
        <f>PLANTILLA!E13</f>
        <v>30</v>
      </c>
      <c r="D9" s="312">
        <f ca="1">PLANTILLA!F13</f>
        <v>23</v>
      </c>
      <c r="E9" s="163">
        <f>PLANTILLA!X13</f>
        <v>0</v>
      </c>
      <c r="F9" s="163">
        <f>PLANTILLA!Y13</f>
        <v>7.11</v>
      </c>
      <c r="G9" s="163">
        <f>PLANTILLA!Z13</f>
        <v>10.350000000000003</v>
      </c>
      <c r="H9" s="163">
        <f>PLANTILLA!AA13</f>
        <v>13.305</v>
      </c>
      <c r="I9" s="163">
        <f>PLANTILLA!AB13</f>
        <v>10.359999999999998</v>
      </c>
      <c r="J9" s="163">
        <f>PLANTILLA!AC13</f>
        <v>5.4050000000000002</v>
      </c>
      <c r="K9" s="163">
        <f>PLANTILLA!AD13</f>
        <v>17.300000000000004</v>
      </c>
      <c r="L9" s="363">
        <f>1/10</f>
        <v>0.1</v>
      </c>
      <c r="M9" s="363"/>
      <c r="N9" s="36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38">
        <f>V9</f>
        <v>1.9088636363636363E-2</v>
      </c>
      <c r="Z9" s="438">
        <f>V9</f>
        <v>1.9088636363636363E-2</v>
      </c>
      <c r="AA9" s="438">
        <f t="shared" si="6"/>
        <v>1.9088636363636363E-2</v>
      </c>
      <c r="AD9" t="s">
        <v>596</v>
      </c>
      <c r="AE9" t="s">
        <v>325</v>
      </c>
      <c r="AG9" t="s">
        <v>596</v>
      </c>
      <c r="AH9" t="s">
        <v>325</v>
      </c>
    </row>
    <row r="10" spans="1:34" x14ac:dyDescent="0.25">
      <c r="A10" s="312" t="str">
        <f>PLANTILLA!A14</f>
        <v>#10</v>
      </c>
      <c r="B10" s="703" t="str">
        <f>PLANTILLA!D14</f>
        <v>S. Zobbe</v>
      </c>
      <c r="C10" s="312">
        <f>PLANTILLA!E14</f>
        <v>27</v>
      </c>
      <c r="D10" s="312">
        <f ca="1">PLANTILLA!F14</f>
        <v>38</v>
      </c>
      <c r="E10" s="163">
        <f>PLANTILLA!X14</f>
        <v>0</v>
      </c>
      <c r="F10" s="163">
        <f>PLANTILLA!Y14</f>
        <v>8.1199999999999992</v>
      </c>
      <c r="G10" s="163">
        <f>PLANTILLA!Z14</f>
        <v>12.008412698412698</v>
      </c>
      <c r="H10" s="163">
        <f>PLANTILLA!AA14</f>
        <v>12.13</v>
      </c>
      <c r="I10" s="163">
        <f>PLANTILLA!AB14</f>
        <v>10.24</v>
      </c>
      <c r="J10" s="163">
        <f>PLANTILLA!AC14</f>
        <v>7.4766666666666666</v>
      </c>
      <c r="K10" s="163">
        <f>PLANTILLA!AD14</f>
        <v>15.270000000000001</v>
      </c>
      <c r="L10" s="363">
        <f>1/10</f>
        <v>0.1</v>
      </c>
      <c r="M10" s="363"/>
      <c r="N10" s="36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38">
        <f>V10</f>
        <v>1.9088636363636363E-2</v>
      </c>
      <c r="Z10" s="438">
        <f>V10</f>
        <v>1.9088636363636363E-2</v>
      </c>
      <c r="AA10" s="438">
        <f t="shared" si="6"/>
        <v>1.9088636363636363E-2</v>
      </c>
      <c r="AD10" t="s">
        <v>970</v>
      </c>
      <c r="AE10" t="s">
        <v>980</v>
      </c>
      <c r="AG10" t="s">
        <v>596</v>
      </c>
      <c r="AH10" t="s">
        <v>752</v>
      </c>
    </row>
    <row r="11" spans="1:34" x14ac:dyDescent="0.25">
      <c r="A11" s="312" t="str">
        <f>PLANTILLA!A12</f>
        <v>#7</v>
      </c>
      <c r="B11" s="703" t="str">
        <f>PLANTILLA!D12</f>
        <v>E. Romweber</v>
      </c>
      <c r="C11" s="312">
        <f>PLANTILLA!E12</f>
        <v>30</v>
      </c>
      <c r="D11" s="312">
        <f ca="1">PLANTILLA!F12</f>
        <v>76</v>
      </c>
      <c r="E11" s="163">
        <f>PLANTILLA!X12</f>
        <v>0</v>
      </c>
      <c r="F11" s="163">
        <f>PLANTILLA!Y12</f>
        <v>11.95</v>
      </c>
      <c r="G11" s="163">
        <f>PLANTILLA!Z12</f>
        <v>12.444111111111114</v>
      </c>
      <c r="H11" s="163">
        <f>PLANTILLA!AA12</f>
        <v>13.05</v>
      </c>
      <c r="I11" s="163">
        <f>PLANTILLA!AB12</f>
        <v>10.91</v>
      </c>
      <c r="J11" s="163">
        <f>PLANTILLA!AC12</f>
        <v>7.7700000000000005</v>
      </c>
      <c r="K11" s="163">
        <f>PLANTILLA!AD12</f>
        <v>17.13</v>
      </c>
      <c r="L11" s="363">
        <f>1/13</f>
        <v>7.6923076923076927E-2</v>
      </c>
      <c r="M11" s="363"/>
      <c r="N11" s="36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38">
        <f>V11</f>
        <v>1.4683566433566433E-2</v>
      </c>
      <c r="Z11" s="438">
        <f>V11</f>
        <v>1.4683566433566433E-2</v>
      </c>
      <c r="AA11" s="438">
        <f t="shared" si="6"/>
        <v>1.4683566433566433E-2</v>
      </c>
      <c r="AD11" t="s">
        <v>970</v>
      </c>
      <c r="AE11" t="s">
        <v>338</v>
      </c>
      <c r="AG11" t="s">
        <v>970</v>
      </c>
      <c r="AH11" t="s">
        <v>338</v>
      </c>
    </row>
    <row r="12" spans="1:34" x14ac:dyDescent="0.25">
      <c r="A12" s="312" t="str">
        <f>PLANTILLA!A23</f>
        <v>#18</v>
      </c>
      <c r="B12" s="703" t="str">
        <f>PLANTILLA!D23</f>
        <v>L. Calosso</v>
      </c>
      <c r="C12" s="312">
        <f>PLANTILLA!E23</f>
        <v>30</v>
      </c>
      <c r="D12" s="312">
        <f ca="1">PLANTILLA!F23</f>
        <v>32</v>
      </c>
      <c r="E12" s="163">
        <f>PLANTILLA!X23</f>
        <v>0</v>
      </c>
      <c r="F12" s="163">
        <f>PLANTILLA!Y23</f>
        <v>2</v>
      </c>
      <c r="G12" s="163">
        <f>PLANTILLA!Z23</f>
        <v>14.1038</v>
      </c>
      <c r="H12" s="163">
        <f>PLANTILLA!AA23</f>
        <v>3</v>
      </c>
      <c r="I12" s="163">
        <f>PLANTILLA!AB23</f>
        <v>15.02</v>
      </c>
      <c r="J12" s="163">
        <f>PLANTILLA!AC23</f>
        <v>10</v>
      </c>
      <c r="K12" s="163">
        <f>PLANTILLA!AD23</f>
        <v>9.3000000000000007</v>
      </c>
      <c r="L12" s="363">
        <f>1/26</f>
        <v>3.8461538461538464E-2</v>
      </c>
      <c r="M12" s="363"/>
      <c r="N12" s="36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38">
        <f>W12</f>
        <v>1.448164335664336E-2</v>
      </c>
      <c r="Z12" s="438">
        <f>W12</f>
        <v>1.448164335664336E-2</v>
      </c>
      <c r="AA12" s="438">
        <f t="shared" si="6"/>
        <v>1.448164335664336E-2</v>
      </c>
      <c r="AD12" t="s">
        <v>67</v>
      </c>
      <c r="AE12" t="s">
        <v>327</v>
      </c>
      <c r="AG12" t="s">
        <v>970</v>
      </c>
      <c r="AH12" t="s">
        <v>600</v>
      </c>
    </row>
    <row r="13" spans="1:34" x14ac:dyDescent="0.25">
      <c r="A13" s="312" t="str">
        <f>PLANTILLA!A24</f>
        <v>#15</v>
      </c>
      <c r="B13" s="703" t="str">
        <f>PLANTILLA!D24</f>
        <v>P .Trivadi</v>
      </c>
      <c r="C13" s="312">
        <f>PLANTILLA!E24</f>
        <v>26</v>
      </c>
      <c r="D13" s="312">
        <f ca="1">PLANTILLA!F24</f>
        <v>106</v>
      </c>
      <c r="E13" s="163">
        <f>PLANTILLA!X24</f>
        <v>0</v>
      </c>
      <c r="F13" s="163">
        <f>PLANTILLA!Y24</f>
        <v>4</v>
      </c>
      <c r="G13" s="163">
        <f>PLANTILLA!Z24</f>
        <v>5.5338722222222207</v>
      </c>
      <c r="H13" s="163">
        <f>PLANTILLA!AA24</f>
        <v>5.47</v>
      </c>
      <c r="I13" s="163">
        <f>PLANTILLA!AB24</f>
        <v>10.799999999999999</v>
      </c>
      <c r="J13" s="163">
        <f>PLANTILLA!AC24</f>
        <v>8.384500000000001</v>
      </c>
      <c r="K13" s="163">
        <f>PLANTILLA!AD24</f>
        <v>13.566666666666668</v>
      </c>
      <c r="L13" s="363">
        <f>1/9</f>
        <v>0.1111111111111111</v>
      </c>
      <c r="M13" s="363"/>
      <c r="N13" s="36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38">
        <v>0</v>
      </c>
      <c r="Z13" s="438">
        <v>0</v>
      </c>
      <c r="AA13" s="438">
        <f t="shared" si="6"/>
        <v>0</v>
      </c>
      <c r="AD13" t="s">
        <v>67</v>
      </c>
      <c r="AE13" t="s">
        <v>600</v>
      </c>
      <c r="AG13" t="s">
        <v>67</v>
      </c>
      <c r="AH13" t="s">
        <v>327</v>
      </c>
    </row>
    <row r="14" spans="1:34" x14ac:dyDescent="0.25">
      <c r="A14" s="312" t="str">
        <f>PLANTILLA!A5</f>
        <v>#1</v>
      </c>
      <c r="B14" s="312" t="str">
        <f>PLANTILLA!D5</f>
        <v>D. Gehmacher</v>
      </c>
      <c r="C14" s="312">
        <f>PLANTILLA!E5</f>
        <v>29</v>
      </c>
      <c r="D14" s="312">
        <f ca="1">PLANTILLA!F5</f>
        <v>103</v>
      </c>
      <c r="E14" s="163">
        <f>PLANTILLA!X5</f>
        <v>16.666666666666668</v>
      </c>
      <c r="F14" s="163">
        <f>PLANTILLA!Y5</f>
        <v>11.832727272727276</v>
      </c>
      <c r="G14" s="163">
        <f>PLANTILLA!Z5</f>
        <v>2.0299999999999994</v>
      </c>
      <c r="H14" s="163">
        <f>PLANTILLA!AA5</f>
        <v>2.1199999999999992</v>
      </c>
      <c r="I14" s="163">
        <f>PLANTILLA!AB5</f>
        <v>1.0400000000000003</v>
      </c>
      <c r="J14" s="163">
        <f>PLANTILLA!AC5</f>
        <v>0.14055555555555557</v>
      </c>
      <c r="K14" s="163">
        <f>PLANTILLA!AD5</f>
        <v>17.849999999999998</v>
      </c>
      <c r="L14" s="363">
        <v>0</v>
      </c>
      <c r="M14" s="363"/>
      <c r="N14" s="36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38">
        <f>L14</f>
        <v>0</v>
      </c>
      <c r="Z14" s="438">
        <f>L14</f>
        <v>0</v>
      </c>
      <c r="AA14" s="438">
        <f t="shared" si="6"/>
        <v>0</v>
      </c>
    </row>
    <row r="15" spans="1:34" x14ac:dyDescent="0.25">
      <c r="A15" s="312" t="str">
        <f>PLANTILLA!A7</f>
        <v>#17</v>
      </c>
      <c r="B15" s="703" t="str">
        <f>PLANTILLA!D7</f>
        <v>B. Pinczehelyi</v>
      </c>
      <c r="C15" s="312">
        <f>PLANTILLA!E7</f>
        <v>30</v>
      </c>
      <c r="D15" s="312">
        <f ca="1">PLANTILLA!F7</f>
        <v>3</v>
      </c>
      <c r="E15" s="163">
        <f>PLANTILLA!X7</f>
        <v>0</v>
      </c>
      <c r="F15" s="163">
        <f>PLANTILLA!Y7</f>
        <v>14.200000000000003</v>
      </c>
      <c r="G15" s="163">
        <f>PLANTILLA!Z7</f>
        <v>9.299333333333335</v>
      </c>
      <c r="H15" s="163">
        <f>PLANTILLA!AA7</f>
        <v>14.249999999999996</v>
      </c>
      <c r="I15" s="163">
        <f>PLANTILLA!AB7</f>
        <v>9.4199999999999982</v>
      </c>
      <c r="J15" s="163">
        <f>PLANTILLA!AC7</f>
        <v>1.1428571428571428</v>
      </c>
      <c r="K15" s="163">
        <f>PLANTILLA!AD7</f>
        <v>9.4</v>
      </c>
      <c r="L15" s="363">
        <f>1/10</f>
        <v>0.1</v>
      </c>
      <c r="M15" s="363"/>
      <c r="N15" s="36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38">
        <v>0</v>
      </c>
      <c r="Z15" s="438">
        <v>0</v>
      </c>
      <c r="AA15" s="438">
        <f t="shared" si="6"/>
        <v>0</v>
      </c>
    </row>
    <row r="16" spans="1:34" x14ac:dyDescent="0.25">
      <c r="A16" s="312" t="str">
        <f>PLANTILLA!A8</f>
        <v>#8</v>
      </c>
      <c r="B16" s="703" t="str">
        <f>PLANTILLA!D8</f>
        <v>D. Toh</v>
      </c>
      <c r="C16" s="312">
        <f>PLANTILLA!E8</f>
        <v>31</v>
      </c>
      <c r="D16" s="312">
        <f ca="1">PLANTILLA!F8</f>
        <v>48</v>
      </c>
      <c r="E16" s="163">
        <f>PLANTILLA!X8</f>
        <v>0</v>
      </c>
      <c r="F16" s="163">
        <f>PLANTILLA!Y8</f>
        <v>11</v>
      </c>
      <c r="G16" s="163">
        <f>PLANTILLA!Z8</f>
        <v>6.1794444444444414</v>
      </c>
      <c r="H16" s="163">
        <f>PLANTILLA!AA8</f>
        <v>5.98</v>
      </c>
      <c r="I16" s="163">
        <f>PLANTILLA!AB8</f>
        <v>7.7227777777777789</v>
      </c>
      <c r="J16" s="163">
        <f>PLANTILLA!AC8</f>
        <v>4.383333333333332</v>
      </c>
      <c r="K16" s="163">
        <f>PLANTILLA!AD8</f>
        <v>15.349999999999998</v>
      </c>
      <c r="L16" s="363">
        <f>1/8</f>
        <v>0.125</v>
      </c>
      <c r="M16" s="363"/>
      <c r="N16" s="36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38">
        <v>0</v>
      </c>
      <c r="Z16" s="438">
        <v>0</v>
      </c>
      <c r="AA16" s="438">
        <f t="shared" si="6"/>
        <v>0</v>
      </c>
    </row>
    <row r="17" spans="1:27" x14ac:dyDescent="0.25">
      <c r="A17" s="312" t="str">
        <f>PLANTILLA!A9</f>
        <v>#2</v>
      </c>
      <c r="B17" s="703" t="str">
        <f>PLANTILLA!D9</f>
        <v>E. Toney</v>
      </c>
      <c r="C17" s="312">
        <f>PLANTILLA!E9</f>
        <v>31</v>
      </c>
      <c r="D17" s="312">
        <f ca="1">PLANTILLA!F9</f>
        <v>2</v>
      </c>
      <c r="E17" s="163">
        <f>PLANTILLA!X9</f>
        <v>0</v>
      </c>
      <c r="F17" s="163">
        <f>PLANTILLA!Y9</f>
        <v>12.060000000000004</v>
      </c>
      <c r="G17" s="163">
        <f>PLANTILLA!Z9</f>
        <v>13.076555555555554</v>
      </c>
      <c r="H17" s="163">
        <f>PLANTILLA!AA9</f>
        <v>9.7100000000000062</v>
      </c>
      <c r="I17" s="163">
        <f>PLANTILLA!AB9</f>
        <v>9.6</v>
      </c>
      <c r="J17" s="163">
        <f>PLANTILLA!AC9</f>
        <v>3.6816666666666658</v>
      </c>
      <c r="K17" s="163">
        <f>PLANTILLA!AD9</f>
        <v>16.627777777777773</v>
      </c>
      <c r="L17" s="363">
        <f>1/11</f>
        <v>9.0909090909090912E-2</v>
      </c>
      <c r="M17" s="363"/>
      <c r="N17" s="36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38">
        <f>S17</f>
        <v>0</v>
      </c>
      <c r="Z17" s="438">
        <f>S17</f>
        <v>0</v>
      </c>
      <c r="AA17" s="438">
        <f t="shared" si="6"/>
        <v>0</v>
      </c>
    </row>
    <row r="18" spans="1:27" x14ac:dyDescent="0.25">
      <c r="A18" s="312" t="str">
        <f>PLANTILLA!A17</f>
        <v>#12</v>
      </c>
      <c r="B18" s="703" t="str">
        <f>PLANTILLA!D17</f>
        <v>E. Gross</v>
      </c>
      <c r="C18" s="312">
        <f>PLANTILLA!E17</f>
        <v>30</v>
      </c>
      <c r="D18" s="312">
        <f ca="1">PLANTILLA!F17</f>
        <v>63</v>
      </c>
      <c r="E18" s="163">
        <f>PLANTILLA!X17</f>
        <v>0</v>
      </c>
      <c r="F18" s="163">
        <f>PLANTILLA!Y17</f>
        <v>10.349999999999996</v>
      </c>
      <c r="G18" s="163">
        <f>PLANTILLA!Z17</f>
        <v>12.849777777777778</v>
      </c>
      <c r="H18" s="163">
        <f>PLANTILLA!AA17</f>
        <v>5.1199999999999983</v>
      </c>
      <c r="I18" s="163">
        <f>PLANTILLA!AB17</f>
        <v>9.24</v>
      </c>
      <c r="J18" s="163">
        <f>PLANTILLA!AC17</f>
        <v>2.98</v>
      </c>
      <c r="K18" s="163">
        <f>PLANTILLA!AD17</f>
        <v>16.959999999999997</v>
      </c>
      <c r="L18" s="363">
        <f>1/10</f>
        <v>0.1</v>
      </c>
      <c r="M18" s="363"/>
      <c r="N18" s="36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38">
        <v>0</v>
      </c>
      <c r="Z18" s="438">
        <v>0</v>
      </c>
      <c r="AA18" s="438">
        <f t="shared" si="6"/>
        <v>0</v>
      </c>
    </row>
    <row r="19" spans="1:27" x14ac:dyDescent="0.25">
      <c r="A19" s="312" t="str">
        <f>PLANTILLA!A10</f>
        <v>#3</v>
      </c>
      <c r="B19" s="703" t="str">
        <f>PLANTILLA!D10</f>
        <v>B. Bartolache</v>
      </c>
      <c r="C19" s="312">
        <f>PLANTILLA!E10</f>
        <v>30</v>
      </c>
      <c r="D19" s="312">
        <f ca="1">PLANTILLA!F10</f>
        <v>99</v>
      </c>
      <c r="E19" s="163">
        <f>PLANTILLA!X10</f>
        <v>0</v>
      </c>
      <c r="F19" s="163">
        <f>PLANTILLA!Y10</f>
        <v>11.649999999999997</v>
      </c>
      <c r="G19" s="163">
        <f>PLANTILLA!Z10</f>
        <v>6.6900000000000022</v>
      </c>
      <c r="H19" s="163">
        <f>PLANTILLA!AA10</f>
        <v>7.3600000000000012</v>
      </c>
      <c r="I19" s="163">
        <f>PLANTILLA!AB10</f>
        <v>9.0199999999999978</v>
      </c>
      <c r="J19" s="163">
        <f>PLANTILLA!AC10</f>
        <v>4.6199999999999966</v>
      </c>
      <c r="K19" s="163">
        <f>PLANTILLA!AD10</f>
        <v>15.6</v>
      </c>
      <c r="L19" s="363">
        <f>1/10</f>
        <v>0.1</v>
      </c>
      <c r="M19" s="363"/>
      <c r="N19" s="36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38">
        <v>0</v>
      </c>
      <c r="Z19" s="438">
        <f>S19</f>
        <v>0</v>
      </c>
      <c r="AA19" s="438">
        <f t="shared" si="6"/>
        <v>0</v>
      </c>
    </row>
    <row r="20" spans="1:27" x14ac:dyDescent="0.25">
      <c r="A20" s="312" t="str">
        <f>PLANTILLA!A6</f>
        <v>#16</v>
      </c>
      <c r="B20" s="312" t="str">
        <f>PLANTILLA!D6</f>
        <v>T. Hammond</v>
      </c>
      <c r="C20" s="312">
        <f>PLANTILLA!E6</f>
        <v>34</v>
      </c>
      <c r="D20" s="312">
        <f ca="1">PLANTILLA!F6</f>
        <v>0</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363"/>
      <c r="M20" s="363"/>
      <c r="N20" s="36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38"/>
      <c r="Z20" s="438"/>
      <c r="AA20" s="438">
        <f t="shared" si="6"/>
        <v>0</v>
      </c>
    </row>
    <row r="21" spans="1:27" x14ac:dyDescent="0.25">
      <c r="A21" s="312" t="str">
        <f>PLANTILLA!A11</f>
        <v>#13</v>
      </c>
      <c r="B21" s="312" t="str">
        <f>PLANTILLA!D11</f>
        <v>F. Lasprilla</v>
      </c>
      <c r="C21" s="312">
        <f>PLANTILLA!E11</f>
        <v>27</v>
      </c>
      <c r="D21" s="312">
        <f ca="1">PLANTILLA!F11</f>
        <v>10</v>
      </c>
      <c r="E21" s="163">
        <f>PLANTILLA!X11</f>
        <v>0</v>
      </c>
      <c r="F21" s="163">
        <f>PLANTILLA!Y11</f>
        <v>9.5796666666666663</v>
      </c>
      <c r="G21" s="163">
        <f>PLANTILLA!Z11</f>
        <v>7.7307222222222229</v>
      </c>
      <c r="H21" s="163">
        <f>PLANTILLA!AA11</f>
        <v>6.129999999999999</v>
      </c>
      <c r="I21" s="163">
        <f>PLANTILLA!AB11</f>
        <v>8.8633333333333315</v>
      </c>
      <c r="J21" s="163">
        <f>PLANTILLA!AC11</f>
        <v>3.2566666666666673</v>
      </c>
      <c r="K21" s="163">
        <f>PLANTILLA!AD11</f>
        <v>13.238888888888889</v>
      </c>
      <c r="L21" s="363"/>
      <c r="M21" s="363"/>
      <c r="N21" s="36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38"/>
      <c r="Z21" s="438"/>
      <c r="AA21" s="438">
        <f t="shared" si="6"/>
        <v>0</v>
      </c>
    </row>
    <row r="22" spans="1:27" x14ac:dyDescent="0.25">
      <c r="A22" s="312" t="str">
        <f>PLANTILLA!A19</f>
        <v>#14</v>
      </c>
      <c r="B22" s="312" t="str">
        <f>PLANTILLA!D19</f>
        <v>W. Gelifini</v>
      </c>
      <c r="C22" s="312">
        <f>PLANTILLA!E19</f>
        <v>28</v>
      </c>
      <c r="D22" s="312">
        <f ca="1">PLANTILLA!F19</f>
        <v>100</v>
      </c>
      <c r="E22" s="163">
        <f>PLANTILLA!X19</f>
        <v>0</v>
      </c>
      <c r="F22" s="163">
        <f>PLANTILLA!Y19</f>
        <v>5.6315555555555523</v>
      </c>
      <c r="G22" s="163">
        <f>PLANTILLA!Z19</f>
        <v>9.8423388888888876</v>
      </c>
      <c r="H22" s="163">
        <f>PLANTILLA!AA19</f>
        <v>7.0526666666666671</v>
      </c>
      <c r="I22" s="163">
        <f>PLANTILLA!AB19</f>
        <v>9.2666666666666639</v>
      </c>
      <c r="J22" s="163">
        <f>PLANTILLA!AC19</f>
        <v>3.5417777777777766</v>
      </c>
      <c r="K22" s="163">
        <f>PLANTILLA!AD19</f>
        <v>12.450000000000001</v>
      </c>
      <c r="L22" s="363"/>
      <c r="M22" s="363"/>
      <c r="N22" s="36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38"/>
      <c r="Z22" s="438"/>
      <c r="AA22" s="438">
        <f t="shared" si="6"/>
        <v>0</v>
      </c>
    </row>
    <row r="23" spans="1:27" x14ac:dyDescent="0.25">
      <c r="A23" s="312" t="str">
        <f>PLANTILLA!A20</f>
        <v>#89</v>
      </c>
      <c r="B23" s="312" t="str">
        <f>PLANTILLA!D20</f>
        <v>M. Amico</v>
      </c>
      <c r="C23" s="312">
        <f>PLANTILLA!E20</f>
        <v>28</v>
      </c>
      <c r="D23" s="312">
        <f ca="1">PLANTILLA!F20</f>
        <v>107</v>
      </c>
      <c r="E23" s="163">
        <f>PLANTILLA!X20</f>
        <v>0</v>
      </c>
      <c r="F23" s="163">
        <f>PLANTILLA!Y20</f>
        <v>2.47611111111111</v>
      </c>
      <c r="G23" s="163">
        <f>PLANTILLA!Z20</f>
        <v>7.3099999999999978</v>
      </c>
      <c r="H23" s="163">
        <f>PLANTILLA!AA20</f>
        <v>4.1588235294117641</v>
      </c>
      <c r="I23" s="163">
        <f>PLANTILLA!AB20</f>
        <v>7.2649999999999988</v>
      </c>
      <c r="J23" s="163">
        <f>PLANTILLA!AC20</f>
        <v>4.3299999999999983</v>
      </c>
      <c r="K23" s="163">
        <f>PLANTILLA!AD20</f>
        <v>9.5</v>
      </c>
      <c r="L23" s="363"/>
      <c r="M23" s="363"/>
      <c r="N23" s="36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38"/>
      <c r="Z23" s="438"/>
      <c r="AA23" s="438">
        <f t="shared" si="6"/>
        <v>0</v>
      </c>
    </row>
    <row r="26" spans="1:27" x14ac:dyDescent="0.25">
      <c r="B26" s="31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SUM(Y4:Y22)</f>
        <v>0.35961805555555554</v>
      </c>
      <c r="Z2" s="652">
        <f>SUM(Z4:Z22)</f>
        <v>0.49770896464646464</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PLANTILLA!A8</f>
        <v>#8</v>
      </c>
      <c r="B4" s="703" t="str">
        <f>PLANTILLA!D8</f>
        <v>D. Toh</v>
      </c>
      <c r="C4" s="312">
        <f>PLANTILLA!E8</f>
        <v>31</v>
      </c>
      <c r="D4" s="312">
        <f ca="1">PLANTILLA!F8</f>
        <v>48</v>
      </c>
      <c r="E4" s="163">
        <f>PLANTILLA!X8</f>
        <v>0</v>
      </c>
      <c r="F4" s="163">
        <f>PLANTILLA!Y8</f>
        <v>11</v>
      </c>
      <c r="G4" s="163">
        <f>PLANTILLA!Z8</f>
        <v>6.1794444444444414</v>
      </c>
      <c r="H4" s="163">
        <f>PLANTILLA!AA8</f>
        <v>5.98</v>
      </c>
      <c r="I4" s="163">
        <f>PLANTILLA!AB8</f>
        <v>7.7227777777777789</v>
      </c>
      <c r="J4" s="163">
        <f>PLANTILLA!AC8</f>
        <v>4.383333333333332</v>
      </c>
      <c r="K4" s="163">
        <f>PLANTILLA!AD8</f>
        <v>15.349999999999998</v>
      </c>
      <c r="L4" s="363">
        <f>1/4</f>
        <v>0.25</v>
      </c>
      <c r="M4" s="363">
        <f t="shared" ref="M4:M23" si="0">L4/2</f>
        <v>0.125</v>
      </c>
      <c r="N4" s="36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38"/>
      <c r="Z4" s="438">
        <f>R4</f>
        <v>7.1499999999999994E-2</v>
      </c>
      <c r="AA4" s="438">
        <f t="shared" ref="AA4:AA23" si="8">MAX(Z4,Y4)</f>
        <v>7.1499999999999994E-2</v>
      </c>
      <c r="AD4" t="s">
        <v>967</v>
      </c>
      <c r="AE4" s="668" t="s">
        <v>1020</v>
      </c>
      <c r="AG4" t="s">
        <v>967</v>
      </c>
      <c r="AH4" s="668" t="str">
        <f>AE4</f>
        <v>B. Pinczehelyi</v>
      </c>
    </row>
    <row r="5" spans="1:34" x14ac:dyDescent="0.25">
      <c r="A5" s="312" t="str">
        <f>PLANTILLA!A10</f>
        <v>#3</v>
      </c>
      <c r="B5" s="703" t="str">
        <f>PLANTILLA!D10</f>
        <v>B. Bartolache</v>
      </c>
      <c r="C5" s="312">
        <f>PLANTILLA!E10</f>
        <v>30</v>
      </c>
      <c r="D5" s="312">
        <f ca="1">PLANTILLA!F10</f>
        <v>99</v>
      </c>
      <c r="E5" s="163">
        <f>PLANTILLA!X10</f>
        <v>0</v>
      </c>
      <c r="F5" s="163">
        <f>PLANTILLA!Y10</f>
        <v>11.649999999999997</v>
      </c>
      <c r="G5" s="163">
        <f>PLANTILLA!Z10</f>
        <v>6.6900000000000022</v>
      </c>
      <c r="H5" s="163">
        <f>PLANTILLA!AA10</f>
        <v>7.3600000000000012</v>
      </c>
      <c r="I5" s="163">
        <f>PLANTILLA!AB10</f>
        <v>9.0199999999999978</v>
      </c>
      <c r="J5" s="163">
        <f>PLANTILLA!AC10</f>
        <v>4.6199999999999966</v>
      </c>
      <c r="K5" s="163">
        <f>PLANTILLA!AD10</f>
        <v>15.6</v>
      </c>
      <c r="L5" s="363">
        <f>1/6</f>
        <v>0.16666666666666666</v>
      </c>
      <c r="M5" s="363">
        <f t="shared" si="0"/>
        <v>8.3333333333333329E-2</v>
      </c>
      <c r="N5" s="36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38"/>
      <c r="Z5" s="438">
        <f>S5</f>
        <v>5.5681818181818173E-2</v>
      </c>
      <c r="AA5" s="438">
        <f t="shared" si="8"/>
        <v>5.5681818181818173E-2</v>
      </c>
      <c r="AD5" t="s">
        <v>968</v>
      </c>
      <c r="AE5" t="s">
        <v>312</v>
      </c>
      <c r="AG5" t="s">
        <v>979</v>
      </c>
      <c r="AH5" t="s">
        <v>313</v>
      </c>
    </row>
    <row r="6" spans="1:34" x14ac:dyDescent="0.25">
      <c r="A6" s="312" t="str">
        <f>PLANTILLA!A14</f>
        <v>#10</v>
      </c>
      <c r="B6" s="703" t="str">
        <f>PLANTILLA!D14</f>
        <v>S. Zobbe</v>
      </c>
      <c r="C6" s="312">
        <f>PLANTILLA!E14</f>
        <v>27</v>
      </c>
      <c r="D6" s="312">
        <f ca="1">PLANTILLA!F14</f>
        <v>38</v>
      </c>
      <c r="E6" s="163">
        <f>PLANTILLA!X14</f>
        <v>0</v>
      </c>
      <c r="F6" s="163">
        <f>PLANTILLA!Y14</f>
        <v>8.1199999999999992</v>
      </c>
      <c r="G6" s="163">
        <f>PLANTILLA!Z14</f>
        <v>12.008412698412698</v>
      </c>
      <c r="H6" s="163">
        <f>PLANTILLA!AA14</f>
        <v>12.13</v>
      </c>
      <c r="I6" s="163">
        <f>PLANTILLA!AB14</f>
        <v>10.24</v>
      </c>
      <c r="J6" s="163">
        <f>PLANTILLA!AC14</f>
        <v>7.4766666666666666</v>
      </c>
      <c r="K6" s="163">
        <f>PLANTILLA!AD14</f>
        <v>15.270000000000001</v>
      </c>
      <c r="L6" s="363">
        <f>1/9</f>
        <v>0.1111111111111111</v>
      </c>
      <c r="M6" s="363">
        <f t="shared" si="0"/>
        <v>5.5555555555555552E-2</v>
      </c>
      <c r="N6" s="36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38">
        <f>V6</f>
        <v>5.4545454545454536E-2</v>
      </c>
      <c r="Z6" s="438">
        <f>V6</f>
        <v>5.4545454545454536E-2</v>
      </c>
      <c r="AA6" s="438">
        <f t="shared" si="8"/>
        <v>5.4545454545454536E-2</v>
      </c>
      <c r="AD6" t="s">
        <v>967</v>
      </c>
      <c r="AE6" t="s">
        <v>309</v>
      </c>
      <c r="AG6" t="s">
        <v>978</v>
      </c>
      <c r="AH6" t="s">
        <v>309</v>
      </c>
    </row>
    <row r="7" spans="1:34" x14ac:dyDescent="0.25">
      <c r="A7" s="312" t="str">
        <f>PLANTILLA!A9</f>
        <v>#2</v>
      </c>
      <c r="B7" s="703" t="str">
        <f>PLANTILLA!D9</f>
        <v>E. Toney</v>
      </c>
      <c r="C7" s="312">
        <f>PLANTILLA!E9</f>
        <v>31</v>
      </c>
      <c r="D7" s="312">
        <f ca="1">PLANTILLA!F9</f>
        <v>2</v>
      </c>
      <c r="E7" s="163">
        <f>PLANTILLA!X9</f>
        <v>0</v>
      </c>
      <c r="F7" s="163">
        <f>PLANTILLA!Y9</f>
        <v>12.060000000000004</v>
      </c>
      <c r="G7" s="163">
        <f>PLANTILLA!Z9</f>
        <v>13.076555555555554</v>
      </c>
      <c r="H7" s="163">
        <f>PLANTILLA!AA9</f>
        <v>9.7100000000000062</v>
      </c>
      <c r="I7" s="163">
        <f>PLANTILLA!AB9</f>
        <v>9.6</v>
      </c>
      <c r="J7" s="163">
        <f>PLANTILLA!AC9</f>
        <v>3.6816666666666658</v>
      </c>
      <c r="K7" s="163">
        <f>PLANTILLA!AD9</f>
        <v>16.627777777777773</v>
      </c>
      <c r="L7" s="363">
        <f>1/7</f>
        <v>0.14285714285714285</v>
      </c>
      <c r="M7" s="363">
        <f t="shared" si="0"/>
        <v>7.1428571428571425E-2</v>
      </c>
      <c r="N7" s="36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38">
        <f>S7</f>
        <v>4.7727272727272722E-2</v>
      </c>
      <c r="Z7" s="438">
        <f>S7</f>
        <v>4.7727272727272722E-2</v>
      </c>
      <c r="AA7" s="438">
        <f t="shared" si="8"/>
        <v>4.7727272727272722E-2</v>
      </c>
      <c r="AD7" t="s">
        <v>596</v>
      </c>
      <c r="AE7" t="s">
        <v>752</v>
      </c>
      <c r="AG7" t="s">
        <v>979</v>
      </c>
      <c r="AH7" t="s">
        <v>315</v>
      </c>
    </row>
    <row r="8" spans="1:34" x14ac:dyDescent="0.25">
      <c r="A8" s="312" t="str">
        <f>PLANTILLA!A12</f>
        <v>#7</v>
      </c>
      <c r="B8" s="704" t="str">
        <f>PLANTILLA!D12</f>
        <v>E. Romweber</v>
      </c>
      <c r="C8" s="312">
        <f>PLANTILLA!E12</f>
        <v>30</v>
      </c>
      <c r="D8" s="312">
        <f ca="1">PLANTILLA!F12</f>
        <v>76</v>
      </c>
      <c r="E8" s="163">
        <f>PLANTILLA!X12</f>
        <v>0</v>
      </c>
      <c r="F8" s="163">
        <f>PLANTILLA!Y12</f>
        <v>11.95</v>
      </c>
      <c r="G8" s="163">
        <f>PLANTILLA!Z12</f>
        <v>12.444111111111114</v>
      </c>
      <c r="H8" s="163">
        <f>PLANTILLA!AA12</f>
        <v>13.05</v>
      </c>
      <c r="I8" s="163">
        <f>PLANTILLA!AB12</f>
        <v>10.91</v>
      </c>
      <c r="J8" s="163">
        <f>PLANTILLA!AC12</f>
        <v>7.7700000000000005</v>
      </c>
      <c r="K8" s="163">
        <f>PLANTILLA!AD12</f>
        <v>17.13</v>
      </c>
      <c r="L8" s="363">
        <f>1/12</f>
        <v>8.3333333333333329E-2</v>
      </c>
      <c r="M8" s="363">
        <f t="shared" si="0"/>
        <v>4.1666666666666664E-2</v>
      </c>
      <c r="N8" s="36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38">
        <f>V8</f>
        <v>4.0909090909090909E-2</v>
      </c>
      <c r="Z8" s="438">
        <f>V8</f>
        <v>4.0909090909090909E-2</v>
      </c>
      <c r="AA8" s="438">
        <f t="shared" si="8"/>
        <v>4.0909090909090909E-2</v>
      </c>
      <c r="AD8" t="s">
        <v>969</v>
      </c>
      <c r="AE8" t="s">
        <v>440</v>
      </c>
      <c r="AG8" t="s">
        <v>967</v>
      </c>
      <c r="AH8" t="s">
        <v>980</v>
      </c>
    </row>
    <row r="9" spans="1:34" x14ac:dyDescent="0.25">
      <c r="A9" s="312" t="str">
        <f>PLANTILLA!A13</f>
        <v>#11</v>
      </c>
      <c r="B9" s="704" t="str">
        <f>PLANTILLA!D13</f>
        <v>K. Helms</v>
      </c>
      <c r="C9" s="312">
        <f>PLANTILLA!E13</f>
        <v>30</v>
      </c>
      <c r="D9" s="312">
        <f ca="1">PLANTILLA!F13</f>
        <v>23</v>
      </c>
      <c r="E9" s="163">
        <f>PLANTILLA!X13</f>
        <v>0</v>
      </c>
      <c r="F9" s="163">
        <f>PLANTILLA!Y13</f>
        <v>7.11</v>
      </c>
      <c r="G9" s="163">
        <f>PLANTILLA!Z13</f>
        <v>10.350000000000003</v>
      </c>
      <c r="H9" s="163">
        <f>PLANTILLA!AA13</f>
        <v>13.305</v>
      </c>
      <c r="I9" s="163">
        <f>PLANTILLA!AB13</f>
        <v>10.359999999999998</v>
      </c>
      <c r="J9" s="163">
        <f>PLANTILLA!AC13</f>
        <v>5.4050000000000002</v>
      </c>
      <c r="K9" s="163">
        <f>PLANTILLA!AD13</f>
        <v>17.300000000000004</v>
      </c>
      <c r="L9" s="363">
        <f>1/12</f>
        <v>8.3333333333333329E-2</v>
      </c>
      <c r="M9" s="363">
        <f t="shared" si="0"/>
        <v>4.1666666666666664E-2</v>
      </c>
      <c r="N9" s="36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38">
        <f>V9</f>
        <v>4.0909090909090909E-2</v>
      </c>
      <c r="Z9" s="438">
        <f>V9</f>
        <v>4.0909090909090909E-2</v>
      </c>
      <c r="AA9" s="438">
        <f t="shared" si="8"/>
        <v>4.0909090909090909E-2</v>
      </c>
      <c r="AD9" t="s">
        <v>596</v>
      </c>
      <c r="AE9" t="s">
        <v>325</v>
      </c>
      <c r="AG9" t="s">
        <v>596</v>
      </c>
      <c r="AH9" t="s">
        <v>325</v>
      </c>
    </row>
    <row r="10" spans="1:34" x14ac:dyDescent="0.25">
      <c r="A10" s="312" t="str">
        <f>PLANTILLA!A16</f>
        <v>#4</v>
      </c>
      <c r="B10" s="704" t="str">
        <f>PLANTILLA!D16</f>
        <v>C. Rojas</v>
      </c>
      <c r="C10" s="312">
        <f>PLANTILLA!E16</f>
        <v>31</v>
      </c>
      <c r="D10" s="312">
        <f ca="1">PLANTILLA!F16</f>
        <v>69</v>
      </c>
      <c r="E10" s="163">
        <f>PLANTILLA!X16</f>
        <v>0</v>
      </c>
      <c r="F10" s="163">
        <f>PLANTILLA!Y16</f>
        <v>8.6075555555555585</v>
      </c>
      <c r="G10" s="163">
        <f>PLANTILLA!Z16</f>
        <v>14.142779365079358</v>
      </c>
      <c r="H10" s="163">
        <f>PLANTILLA!AA16</f>
        <v>9.99</v>
      </c>
      <c r="I10" s="163">
        <f>PLANTILLA!AB16</f>
        <v>10.09</v>
      </c>
      <c r="J10" s="163">
        <f>PLANTILLA!AC16</f>
        <v>4.3999999999999995</v>
      </c>
      <c r="K10" s="163">
        <f>PLANTILLA!AD16</f>
        <v>16.544444444444441</v>
      </c>
      <c r="L10" s="363">
        <f>1/8</f>
        <v>0.125</v>
      </c>
      <c r="M10" s="363">
        <f t="shared" si="0"/>
        <v>6.25E-2</v>
      </c>
      <c r="N10" s="36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38">
        <f>U10</f>
        <v>4.0767045454545452E-2</v>
      </c>
      <c r="Z10" s="438">
        <f>U10</f>
        <v>4.0767045454545452E-2</v>
      </c>
      <c r="AA10" s="438">
        <f t="shared" si="8"/>
        <v>4.0767045454545452E-2</v>
      </c>
      <c r="AD10" t="s">
        <v>970</v>
      </c>
      <c r="AE10" t="s">
        <v>980</v>
      </c>
      <c r="AG10" t="s">
        <v>596</v>
      </c>
      <c r="AH10" t="s">
        <v>752</v>
      </c>
    </row>
    <row r="11" spans="1:34" x14ac:dyDescent="0.25">
      <c r="A11" s="312" t="str">
        <f>PLANTILLA!A15</f>
        <v>#6</v>
      </c>
      <c r="B11" s="704" t="str">
        <f>PLANTILLA!D15</f>
        <v>S. Buschelman</v>
      </c>
      <c r="C11" s="312">
        <f>PLANTILLA!E15</f>
        <v>29</v>
      </c>
      <c r="D11" s="312">
        <f ca="1">PLANTILLA!F15</f>
        <v>35</v>
      </c>
      <c r="E11" s="163">
        <f>PLANTILLA!X15</f>
        <v>0</v>
      </c>
      <c r="F11" s="163">
        <f>PLANTILLA!Y15</f>
        <v>9.1936666666666653</v>
      </c>
      <c r="G11" s="163">
        <f>PLANTILLA!Z15</f>
        <v>13.599999999999998</v>
      </c>
      <c r="H11" s="163">
        <f>PLANTILLA!AA15</f>
        <v>12.725000000000001</v>
      </c>
      <c r="I11" s="163">
        <f>PLANTILLA!AB15</f>
        <v>9.6733333333333356</v>
      </c>
      <c r="J11" s="163">
        <f>PLANTILLA!AC15</f>
        <v>5.0296666666666656</v>
      </c>
      <c r="K11" s="163">
        <f>PLANTILLA!AD15</f>
        <v>15.2</v>
      </c>
      <c r="L11" s="363">
        <f>1/9</f>
        <v>0.1111111111111111</v>
      </c>
      <c r="M11" s="363">
        <f t="shared" si="0"/>
        <v>5.5555555555555552E-2</v>
      </c>
      <c r="N11" s="36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38">
        <f>U11</f>
        <v>3.6237373737373728E-2</v>
      </c>
      <c r="Z11" s="438">
        <f>U11</f>
        <v>3.6237373737373728E-2</v>
      </c>
      <c r="AA11" s="438">
        <f t="shared" si="8"/>
        <v>3.6237373737373728E-2</v>
      </c>
      <c r="AD11" t="s">
        <v>970</v>
      </c>
      <c r="AE11" t="s">
        <v>338</v>
      </c>
      <c r="AG11" t="s">
        <v>970</v>
      </c>
      <c r="AH11" t="s">
        <v>338</v>
      </c>
    </row>
    <row r="12" spans="1:34" x14ac:dyDescent="0.25">
      <c r="A12" s="312" t="str">
        <f>PLANTILLA!A21</f>
        <v>#19</v>
      </c>
      <c r="B12" s="237" t="str">
        <f>PLANTILLA!D21</f>
        <v>G. Kerschl</v>
      </c>
      <c r="C12" s="312">
        <f>PLANTILLA!E21</f>
        <v>28</v>
      </c>
      <c r="D12" s="312">
        <f ca="1">PLANTILLA!F21</f>
        <v>65</v>
      </c>
      <c r="E12" s="163">
        <f>PLANTILLA!X21</f>
        <v>0</v>
      </c>
      <c r="F12" s="163">
        <f>PLANTILLA!Y21</f>
        <v>2</v>
      </c>
      <c r="G12" s="163">
        <f>PLANTILLA!Z21</f>
        <v>14.5</v>
      </c>
      <c r="H12" s="163">
        <f>PLANTILLA!AA21</f>
        <v>12</v>
      </c>
      <c r="I12" s="163">
        <f>PLANTILLA!AB21</f>
        <v>12</v>
      </c>
      <c r="J12" s="163">
        <f>PLANTILLA!AC21</f>
        <v>8</v>
      </c>
      <c r="K12" s="163">
        <f>PLANTILLA!AD21</f>
        <v>2</v>
      </c>
      <c r="L12" s="363">
        <f>1/10</f>
        <v>0.1</v>
      </c>
      <c r="M12" s="363">
        <f t="shared" si="0"/>
        <v>0.05</v>
      </c>
      <c r="N12" s="36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38">
        <f>U12</f>
        <v>3.2613636363636365E-2</v>
      </c>
      <c r="Z12" s="438">
        <f>U12</f>
        <v>3.2613636363636365E-2</v>
      </c>
      <c r="AA12" s="438">
        <f t="shared" si="8"/>
        <v>3.2613636363636365E-2</v>
      </c>
      <c r="AD12" t="s">
        <v>67</v>
      </c>
      <c r="AE12" t="s">
        <v>327</v>
      </c>
      <c r="AG12" t="s">
        <v>970</v>
      </c>
      <c r="AH12" t="s">
        <v>600</v>
      </c>
    </row>
    <row r="13" spans="1:34" x14ac:dyDescent="0.25">
      <c r="A13" s="312" t="str">
        <f>PLANTILLA!A23</f>
        <v>#18</v>
      </c>
      <c r="B13" s="237" t="str">
        <f>PLANTILLA!D23</f>
        <v>L. Calosso</v>
      </c>
      <c r="C13" s="312">
        <f>PLANTILLA!E23</f>
        <v>30</v>
      </c>
      <c r="D13" s="312">
        <f ca="1">PLANTILLA!F23</f>
        <v>32</v>
      </c>
      <c r="E13" s="163">
        <f>PLANTILLA!X23</f>
        <v>0</v>
      </c>
      <c r="F13" s="163">
        <f>PLANTILLA!Y23</f>
        <v>2</v>
      </c>
      <c r="G13" s="163">
        <f>PLANTILLA!Z23</f>
        <v>14.1038</v>
      </c>
      <c r="H13" s="163">
        <f>PLANTILLA!AA23</f>
        <v>3</v>
      </c>
      <c r="I13" s="163">
        <f>PLANTILLA!AB23</f>
        <v>15.02</v>
      </c>
      <c r="J13" s="163">
        <f>PLANTILLA!AC23</f>
        <v>10</v>
      </c>
      <c r="K13" s="163">
        <f>PLANTILLA!AD23</f>
        <v>9.3000000000000007</v>
      </c>
      <c r="L13" s="363">
        <f>1/3</f>
        <v>0.33333333333333331</v>
      </c>
      <c r="M13" s="363">
        <f t="shared" si="0"/>
        <v>0.16666666666666666</v>
      </c>
      <c r="N13" s="36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38">
        <f>W13</f>
        <v>2.7272727272727268E-2</v>
      </c>
      <c r="Z13" s="438">
        <f>W13</f>
        <v>2.7272727272727268E-2</v>
      </c>
      <c r="AA13" s="438">
        <f t="shared" si="8"/>
        <v>2.7272727272727268E-2</v>
      </c>
      <c r="AD13" t="s">
        <v>67</v>
      </c>
      <c r="AE13" t="s">
        <v>600</v>
      </c>
      <c r="AG13" t="s">
        <v>67</v>
      </c>
      <c r="AH13" t="s">
        <v>327</v>
      </c>
    </row>
    <row r="14" spans="1:34" x14ac:dyDescent="0.25">
      <c r="A14" s="312" t="str">
        <f>PLANTILLA!A18</f>
        <v>#5</v>
      </c>
      <c r="B14" s="237" t="str">
        <f>PLANTILLA!D18</f>
        <v>L. Bauman</v>
      </c>
      <c r="C14" s="312">
        <f>PLANTILLA!E18</f>
        <v>30</v>
      </c>
      <c r="D14" s="312">
        <f ca="1">PLANTILLA!F18</f>
        <v>38</v>
      </c>
      <c r="E14" s="163">
        <f>PLANTILLA!X18</f>
        <v>0</v>
      </c>
      <c r="F14" s="163">
        <f>PLANTILLA!Y18</f>
        <v>5.2811111111111115</v>
      </c>
      <c r="G14" s="163">
        <f>PLANTILLA!Z18</f>
        <v>14.23617089947089</v>
      </c>
      <c r="H14" s="163">
        <f>PLANTILLA!AA18</f>
        <v>3.4924999999999993</v>
      </c>
      <c r="I14" s="163">
        <f>PLANTILLA!AB18</f>
        <v>9.1400000000000041</v>
      </c>
      <c r="J14" s="163">
        <f>PLANTILLA!AC18</f>
        <v>7.4318888888888894</v>
      </c>
      <c r="K14" s="163">
        <f>PLANTILLA!AD18</f>
        <v>16.07</v>
      </c>
      <c r="L14" s="363">
        <f>1/3</f>
        <v>0.33333333333333331</v>
      </c>
      <c r="M14" s="363">
        <f t="shared" si="0"/>
        <v>0.16666666666666666</v>
      </c>
      <c r="N14" s="36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38">
        <f>T14</f>
        <v>0</v>
      </c>
      <c r="Z14" s="438">
        <f>W14</f>
        <v>2.7272727272727268E-2</v>
      </c>
      <c r="AA14" s="438">
        <f t="shared" si="8"/>
        <v>2.7272727272727268E-2</v>
      </c>
    </row>
    <row r="15" spans="1:34" x14ac:dyDescent="0.25">
      <c r="A15" s="312" t="str">
        <f>PLANTILLA!A7</f>
        <v>#17</v>
      </c>
      <c r="B15" s="237" t="str">
        <f>PLANTILLA!D7</f>
        <v>B. Pinczehelyi</v>
      </c>
      <c r="C15" s="312">
        <f>PLANTILLA!E7</f>
        <v>30</v>
      </c>
      <c r="D15" s="312">
        <f ca="1">PLANTILLA!F7</f>
        <v>3</v>
      </c>
      <c r="E15" s="163">
        <f>PLANTILLA!X7</f>
        <v>0</v>
      </c>
      <c r="F15" s="163">
        <f>PLANTILLA!Y7</f>
        <v>14.200000000000003</v>
      </c>
      <c r="G15" s="163">
        <f>PLANTILLA!Z7</f>
        <v>9.299333333333335</v>
      </c>
      <c r="H15" s="163">
        <f>PLANTILLA!AA7</f>
        <v>14.249999999999996</v>
      </c>
      <c r="I15" s="163">
        <f>PLANTILLA!AB7</f>
        <v>9.4199999999999982</v>
      </c>
      <c r="J15" s="163">
        <f>PLANTILLA!AC7</f>
        <v>1.1428571428571428</v>
      </c>
      <c r="K15" s="163">
        <f>PLANTILLA!AD7</f>
        <v>9.4</v>
      </c>
      <c r="L15" s="363">
        <f>1/15</f>
        <v>6.6666666666666666E-2</v>
      </c>
      <c r="M15" s="363">
        <f t="shared" si="0"/>
        <v>3.3333333333333333E-2</v>
      </c>
      <c r="N15" s="36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38">
        <f>S15</f>
        <v>2.227272727272727E-2</v>
      </c>
      <c r="Z15" s="438">
        <f>S15</f>
        <v>2.227272727272727E-2</v>
      </c>
      <c r="AA15" s="438">
        <f t="shared" si="8"/>
        <v>2.227272727272727E-2</v>
      </c>
    </row>
    <row r="16" spans="1:34" x14ac:dyDescent="0.25">
      <c r="A16" s="312" t="str">
        <f>PLANTILLA!A22</f>
        <v>#9</v>
      </c>
      <c r="B16" s="237" t="str">
        <f>PLANTILLA!D22</f>
        <v>J. Limon</v>
      </c>
      <c r="C16" s="312">
        <f>PLANTILLA!E22</f>
        <v>29</v>
      </c>
      <c r="D16" s="312">
        <f ca="1">PLANTILLA!F22</f>
        <v>75</v>
      </c>
      <c r="E16" s="163">
        <f>PLANTILLA!X22</f>
        <v>0</v>
      </c>
      <c r="F16" s="163">
        <f>PLANTILLA!Y22</f>
        <v>6.8176190476190497</v>
      </c>
      <c r="G16" s="163">
        <f>PLANTILLA!Z22</f>
        <v>8.375</v>
      </c>
      <c r="H16" s="163">
        <f>PLANTILLA!AA22</f>
        <v>8.7199999999999971</v>
      </c>
      <c r="I16" s="163">
        <f>PLANTILLA!AB22</f>
        <v>9.6900000000000013</v>
      </c>
      <c r="J16" s="163">
        <f>PLANTILLA!AC22</f>
        <v>8.5625000000000018</v>
      </c>
      <c r="K16" s="163">
        <f>PLANTILLA!AD22</f>
        <v>18.639999999999993</v>
      </c>
      <c r="L16" s="363">
        <f>1/5</f>
        <v>0.2</v>
      </c>
      <c r="M16" s="363">
        <f t="shared" si="0"/>
        <v>0.1</v>
      </c>
      <c r="N16" s="36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38">
        <f>W16</f>
        <v>1.6363636363636361E-2</v>
      </c>
      <c r="Z16" s="438"/>
      <c r="AA16" s="438">
        <f t="shared" si="8"/>
        <v>1.6363636363636361E-2</v>
      </c>
    </row>
    <row r="17" spans="1:27" x14ac:dyDescent="0.25">
      <c r="A17" s="312" t="str">
        <f>PLANTILLA!A24</f>
        <v>#15</v>
      </c>
      <c r="B17" s="237" t="str">
        <f>PLANTILLA!D24</f>
        <v>P .Trivadi</v>
      </c>
      <c r="C17" s="312">
        <f>PLANTILLA!E24</f>
        <v>26</v>
      </c>
      <c r="D17" s="312">
        <f ca="1">PLANTILLA!F24</f>
        <v>106</v>
      </c>
      <c r="E17" s="163">
        <f>PLANTILLA!X24</f>
        <v>0</v>
      </c>
      <c r="F17" s="163">
        <f>PLANTILLA!Y24</f>
        <v>4</v>
      </c>
      <c r="G17" s="163">
        <f>PLANTILLA!Z24</f>
        <v>5.5338722222222207</v>
      </c>
      <c r="H17" s="163">
        <f>PLANTILLA!AA24</f>
        <v>5.47</v>
      </c>
      <c r="I17" s="163">
        <f>PLANTILLA!AB24</f>
        <v>10.799999999999999</v>
      </c>
      <c r="J17" s="163">
        <f>PLANTILLA!AC24</f>
        <v>8.384500000000001</v>
      </c>
      <c r="K17" s="163">
        <f>PLANTILLA!AD24</f>
        <v>13.566666666666668</v>
      </c>
      <c r="L17" s="363">
        <f>1/5</f>
        <v>0.2</v>
      </c>
      <c r="M17" s="363">
        <f t="shared" si="0"/>
        <v>0.1</v>
      </c>
      <c r="N17" s="36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38">
        <v>0</v>
      </c>
      <c r="Z17" s="438">
        <v>0</v>
      </c>
      <c r="AA17" s="438">
        <f t="shared" si="8"/>
        <v>0</v>
      </c>
    </row>
    <row r="18" spans="1:27" x14ac:dyDescent="0.25">
      <c r="A18" s="312" t="str">
        <f>PLANTILLA!A5</f>
        <v>#1</v>
      </c>
      <c r="B18" s="312" t="str">
        <f>PLANTILLA!D5</f>
        <v>D. Gehmacher</v>
      </c>
      <c r="C18" s="312">
        <f>PLANTILLA!E5</f>
        <v>29</v>
      </c>
      <c r="D18" s="312">
        <f ca="1">PLANTILLA!F5</f>
        <v>103</v>
      </c>
      <c r="E18" s="163">
        <f>PLANTILLA!X5</f>
        <v>16.666666666666668</v>
      </c>
      <c r="F18" s="163">
        <f>PLANTILLA!Y5</f>
        <v>11.832727272727276</v>
      </c>
      <c r="G18" s="163">
        <f>PLANTILLA!Z5</f>
        <v>2.0299999999999994</v>
      </c>
      <c r="H18" s="163">
        <f>PLANTILLA!AA5</f>
        <v>2.1199999999999992</v>
      </c>
      <c r="I18" s="163">
        <f>PLANTILLA!AB5</f>
        <v>1.0400000000000003</v>
      </c>
      <c r="J18" s="163">
        <f>PLANTILLA!AC5</f>
        <v>0.14055555555555557</v>
      </c>
      <c r="K18" s="163">
        <f>PLANTILLA!AD5</f>
        <v>17.849999999999998</v>
      </c>
      <c r="L18" s="363">
        <f>0</f>
        <v>0</v>
      </c>
      <c r="M18" s="363">
        <f t="shared" si="0"/>
        <v>0</v>
      </c>
      <c r="N18" s="36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38">
        <f>L18</f>
        <v>0</v>
      </c>
      <c r="Z18" s="438">
        <f>L18</f>
        <v>0</v>
      </c>
      <c r="AA18" s="438">
        <f t="shared" si="8"/>
        <v>0</v>
      </c>
    </row>
    <row r="19" spans="1:27" x14ac:dyDescent="0.25">
      <c r="A19" s="312" t="str">
        <f>PLANTILLA!A17</f>
        <v>#12</v>
      </c>
      <c r="B19" s="312" t="str">
        <f>PLANTILLA!D17</f>
        <v>E. Gross</v>
      </c>
      <c r="C19" s="312">
        <f>PLANTILLA!E17</f>
        <v>30</v>
      </c>
      <c r="D19" s="312">
        <f ca="1">PLANTILLA!F17</f>
        <v>63</v>
      </c>
      <c r="E19" s="163">
        <f>PLANTILLA!X17</f>
        <v>0</v>
      </c>
      <c r="F19" s="163">
        <f>PLANTILLA!Y17</f>
        <v>10.349999999999996</v>
      </c>
      <c r="G19" s="163">
        <f>PLANTILLA!Z17</f>
        <v>12.849777777777778</v>
      </c>
      <c r="H19" s="163">
        <f>PLANTILLA!AA17</f>
        <v>5.1199999999999983</v>
      </c>
      <c r="I19" s="163">
        <f>PLANTILLA!AB17</f>
        <v>9.24</v>
      </c>
      <c r="J19" s="163">
        <f>PLANTILLA!AC17</f>
        <v>2.98</v>
      </c>
      <c r="K19" s="163">
        <f>PLANTILLA!AD17</f>
        <v>16.959999999999997</v>
      </c>
      <c r="L19" s="363">
        <f>1/4</f>
        <v>0.25</v>
      </c>
      <c r="M19" s="363">
        <f t="shared" si="0"/>
        <v>0.125</v>
      </c>
      <c r="N19" s="36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38">
        <v>0</v>
      </c>
      <c r="Z19" s="438">
        <v>0</v>
      </c>
      <c r="AA19" s="438">
        <f t="shared" si="8"/>
        <v>0</v>
      </c>
    </row>
    <row r="20" spans="1:27" x14ac:dyDescent="0.25">
      <c r="A20" s="312" t="str">
        <f>PLANTILLA!A6</f>
        <v>#16</v>
      </c>
      <c r="B20" s="312" t="str">
        <f>PLANTILLA!D6</f>
        <v>T. Hammond</v>
      </c>
      <c r="C20" s="312">
        <f>PLANTILLA!E6</f>
        <v>34</v>
      </c>
      <c r="D20" s="312">
        <f ca="1">PLANTILLA!F6</f>
        <v>0</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363"/>
      <c r="M20" s="363">
        <f t="shared" si="0"/>
        <v>0</v>
      </c>
      <c r="N20" s="36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38"/>
      <c r="Z20" s="438"/>
      <c r="AA20" s="438">
        <f t="shared" si="8"/>
        <v>0</v>
      </c>
    </row>
    <row r="21" spans="1:27" x14ac:dyDescent="0.25">
      <c r="A21" s="312" t="str">
        <f>PLANTILLA!A11</f>
        <v>#13</v>
      </c>
      <c r="B21" s="312" t="str">
        <f>PLANTILLA!D11</f>
        <v>F. Lasprilla</v>
      </c>
      <c r="C21" s="312">
        <f>PLANTILLA!E11</f>
        <v>27</v>
      </c>
      <c r="D21" s="312">
        <f ca="1">PLANTILLA!F11</f>
        <v>10</v>
      </c>
      <c r="E21" s="163">
        <f>PLANTILLA!X11</f>
        <v>0</v>
      </c>
      <c r="F21" s="163">
        <f>PLANTILLA!Y11</f>
        <v>9.5796666666666663</v>
      </c>
      <c r="G21" s="163">
        <f>PLANTILLA!Z11</f>
        <v>7.7307222222222229</v>
      </c>
      <c r="H21" s="163">
        <f>PLANTILLA!AA11</f>
        <v>6.129999999999999</v>
      </c>
      <c r="I21" s="163">
        <f>PLANTILLA!AB11</f>
        <v>8.8633333333333315</v>
      </c>
      <c r="J21" s="163">
        <f>PLANTILLA!AC11</f>
        <v>3.2566666666666673</v>
      </c>
      <c r="K21" s="163">
        <f>PLANTILLA!AD11</f>
        <v>13.238888888888889</v>
      </c>
      <c r="L21" s="363"/>
      <c r="M21" s="363">
        <f t="shared" si="0"/>
        <v>0</v>
      </c>
      <c r="N21" s="36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38"/>
      <c r="Z21" s="438"/>
      <c r="AA21" s="438">
        <f t="shared" si="8"/>
        <v>0</v>
      </c>
    </row>
    <row r="22" spans="1:27" x14ac:dyDescent="0.25">
      <c r="A22" s="312" t="str">
        <f>PLANTILLA!A19</f>
        <v>#14</v>
      </c>
      <c r="B22" s="312" t="str">
        <f>PLANTILLA!D19</f>
        <v>W. Gelifini</v>
      </c>
      <c r="C22" s="312">
        <f>PLANTILLA!E19</f>
        <v>28</v>
      </c>
      <c r="D22" s="312">
        <f ca="1">PLANTILLA!F19</f>
        <v>100</v>
      </c>
      <c r="E22" s="163">
        <f>PLANTILLA!X19</f>
        <v>0</v>
      </c>
      <c r="F22" s="163">
        <f>PLANTILLA!Y19</f>
        <v>5.6315555555555523</v>
      </c>
      <c r="G22" s="163">
        <f>PLANTILLA!Z19</f>
        <v>9.8423388888888876</v>
      </c>
      <c r="H22" s="163">
        <f>PLANTILLA!AA19</f>
        <v>7.0526666666666671</v>
      </c>
      <c r="I22" s="163">
        <f>PLANTILLA!AB19</f>
        <v>9.2666666666666639</v>
      </c>
      <c r="J22" s="163">
        <f>PLANTILLA!AC19</f>
        <v>3.5417777777777766</v>
      </c>
      <c r="K22" s="163">
        <f>PLANTILLA!AD19</f>
        <v>12.450000000000001</v>
      </c>
      <c r="L22" s="363"/>
      <c r="M22" s="363">
        <f t="shared" si="0"/>
        <v>0</v>
      </c>
      <c r="N22" s="36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38"/>
      <c r="Z22" s="438"/>
      <c r="AA22" s="438">
        <f t="shared" si="8"/>
        <v>0</v>
      </c>
    </row>
    <row r="23" spans="1:27" x14ac:dyDescent="0.25">
      <c r="A23" s="312" t="str">
        <f>PLANTILLA!A20</f>
        <v>#89</v>
      </c>
      <c r="B23" s="312" t="str">
        <f>PLANTILLA!D20</f>
        <v>M. Amico</v>
      </c>
      <c r="C23" s="312">
        <f>PLANTILLA!E20</f>
        <v>28</v>
      </c>
      <c r="D23" s="312">
        <f ca="1">PLANTILLA!F20</f>
        <v>107</v>
      </c>
      <c r="E23" s="163">
        <f>PLANTILLA!X20</f>
        <v>0</v>
      </c>
      <c r="F23" s="163">
        <f>PLANTILLA!Y20</f>
        <v>2.47611111111111</v>
      </c>
      <c r="G23" s="163">
        <f>PLANTILLA!Z20</f>
        <v>7.3099999999999978</v>
      </c>
      <c r="H23" s="163">
        <f>PLANTILLA!AA20</f>
        <v>4.1588235294117641</v>
      </c>
      <c r="I23" s="163">
        <f>PLANTILLA!AB20</f>
        <v>7.2649999999999988</v>
      </c>
      <c r="J23" s="163">
        <f>PLANTILLA!AC20</f>
        <v>4.3299999999999983</v>
      </c>
      <c r="K23" s="163">
        <f>PLANTILLA!AD20</f>
        <v>9.5</v>
      </c>
      <c r="L23" s="363"/>
      <c r="M23" s="363">
        <f t="shared" si="0"/>
        <v>0</v>
      </c>
      <c r="N23" s="36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38"/>
      <c r="Z23" s="438"/>
      <c r="AA23" s="438">
        <f t="shared" si="8"/>
        <v>0</v>
      </c>
    </row>
    <row r="25" spans="1:27" x14ac:dyDescent="0.25">
      <c r="B25" s="31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6"/>
  <sheetViews>
    <sheetView zoomScale="90" zoomScaleNormal="90" workbookViewId="0">
      <selection activeCell="D9" sqref="D9"/>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44"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62"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49" t="s">
        <v>516</v>
      </c>
    </row>
    <row r="2" spans="1:24" ht="18.75" x14ac:dyDescent="0.3">
      <c r="A2" s="350">
        <v>43066</v>
      </c>
      <c r="F2" s="318"/>
      <c r="G2" s="730" t="s">
        <v>517</v>
      </c>
      <c r="H2" s="730"/>
      <c r="J2" s="318"/>
      <c r="K2" s="318"/>
      <c r="L2" s="730" t="s">
        <v>1028</v>
      </c>
      <c r="M2" s="730"/>
      <c r="N2" s="730"/>
      <c r="O2" s="663"/>
      <c r="P2" s="336"/>
      <c r="Q2" s="336"/>
      <c r="R2" s="730" t="s">
        <v>519</v>
      </c>
      <c r="S2" s="730"/>
      <c r="U2" s="4" t="s">
        <v>1037</v>
      </c>
      <c r="V2" s="3" t="s">
        <v>178</v>
      </c>
      <c r="W2" s="318"/>
      <c r="X2" s="318"/>
    </row>
    <row r="3" spans="1:24" x14ac:dyDescent="0.25">
      <c r="F3">
        <v>1</v>
      </c>
      <c r="G3" s="3">
        <v>54</v>
      </c>
      <c r="H3" t="s">
        <v>929</v>
      </c>
      <c r="I3" t="s">
        <v>1</v>
      </c>
      <c r="K3" s="653">
        <v>1</v>
      </c>
      <c r="L3" s="3">
        <v>273</v>
      </c>
      <c r="M3" t="s">
        <v>534</v>
      </c>
      <c r="N3" t="s">
        <v>533</v>
      </c>
      <c r="O3" s="400">
        <f t="shared" ref="O3:O22" si="0">L3/$G$22</f>
        <v>0.88064516129032255</v>
      </c>
      <c r="Q3" s="653">
        <v>1</v>
      </c>
      <c r="R3" s="3">
        <v>186</v>
      </c>
      <c r="S3" t="s">
        <v>520</v>
      </c>
      <c r="T3" t="s">
        <v>215</v>
      </c>
      <c r="U3" s="159">
        <f>R3/L7</f>
        <v>0.85321100917431192</v>
      </c>
      <c r="V3" s="47">
        <f t="shared" ref="V3:V16" si="1">R3/$R$32</f>
        <v>0.18397626112759644</v>
      </c>
    </row>
    <row r="4" spans="1:24" s="318" customFormat="1" ht="18.75" x14ac:dyDescent="0.3">
      <c r="A4" s="318" t="s">
        <v>514</v>
      </c>
      <c r="F4">
        <v>2</v>
      </c>
      <c r="G4" s="3">
        <v>53</v>
      </c>
      <c r="H4" t="s">
        <v>209</v>
      </c>
      <c r="I4" s="317" t="s">
        <v>1</v>
      </c>
      <c r="J4"/>
      <c r="K4" s="653">
        <v>2</v>
      </c>
      <c r="L4" s="3">
        <v>270</v>
      </c>
      <c r="M4" t="s">
        <v>548</v>
      </c>
      <c r="N4" s="317" t="s">
        <v>507</v>
      </c>
      <c r="O4" s="400">
        <f t="shared" si="0"/>
        <v>0.87096774193548387</v>
      </c>
      <c r="P4"/>
      <c r="Q4" s="653">
        <v>2</v>
      </c>
      <c r="R4" s="3">
        <v>86</v>
      </c>
      <c r="S4" t="s">
        <v>640</v>
      </c>
      <c r="T4" t="s">
        <v>66</v>
      </c>
      <c r="U4" s="159">
        <f>R4/L13</f>
        <v>0.47513812154696133</v>
      </c>
      <c r="V4" s="47">
        <f t="shared" si="1"/>
        <v>8.5064292779426315E-2</v>
      </c>
      <c r="W4"/>
      <c r="X4"/>
    </row>
    <row r="5" spans="1:24" x14ac:dyDescent="0.25">
      <c r="A5" s="180" t="s">
        <v>515</v>
      </c>
      <c r="B5" s="525" t="s">
        <v>1040</v>
      </c>
      <c r="C5" s="317">
        <v>43066</v>
      </c>
      <c r="D5" t="s">
        <v>1041</v>
      </c>
      <c r="F5">
        <v>3</v>
      </c>
      <c r="G5" s="698">
        <v>46</v>
      </c>
      <c r="H5" s="696" t="s">
        <v>207</v>
      </c>
      <c r="I5" s="697" t="s">
        <v>1</v>
      </c>
      <c r="K5" s="665">
        <v>3</v>
      </c>
      <c r="L5" s="3">
        <v>242</v>
      </c>
      <c r="M5" t="s">
        <v>522</v>
      </c>
      <c r="N5" s="317" t="s">
        <v>65</v>
      </c>
      <c r="O5" s="400">
        <f t="shared" si="0"/>
        <v>0.78064516129032258</v>
      </c>
      <c r="Q5" s="653">
        <v>3</v>
      </c>
      <c r="R5" s="3">
        <v>79</v>
      </c>
      <c r="S5" t="s">
        <v>522</v>
      </c>
      <c r="T5" t="s">
        <v>65</v>
      </c>
      <c r="U5" s="159">
        <f>R5/L5</f>
        <v>0.32644628099173556</v>
      </c>
      <c r="V5" s="47">
        <f t="shared" si="1"/>
        <v>7.8140454995054398E-2</v>
      </c>
    </row>
    <row r="6" spans="1:24" ht="18.75" x14ac:dyDescent="0.3">
      <c r="A6" s="180" t="s">
        <v>1026</v>
      </c>
      <c r="B6" s="396" t="s">
        <v>1033</v>
      </c>
      <c r="C6" s="317">
        <v>43055</v>
      </c>
      <c r="D6" t="s">
        <v>1034</v>
      </c>
      <c r="F6">
        <v>4</v>
      </c>
      <c r="G6" s="698">
        <v>2</v>
      </c>
      <c r="H6" s="696" t="s">
        <v>203</v>
      </c>
      <c r="I6" s="696" t="s">
        <v>1</v>
      </c>
      <c r="J6" s="318"/>
      <c r="K6" s="665">
        <v>4</v>
      </c>
      <c r="L6" s="372">
        <v>225</v>
      </c>
      <c r="M6" t="s">
        <v>591</v>
      </c>
      <c r="N6" s="317" t="s">
        <v>65</v>
      </c>
      <c r="O6" s="400">
        <f t="shared" si="0"/>
        <v>0.72580645161290325</v>
      </c>
      <c r="P6" s="318"/>
      <c r="Q6" s="653">
        <v>4</v>
      </c>
      <c r="R6" s="348">
        <v>71</v>
      </c>
      <c r="S6" t="s">
        <v>534</v>
      </c>
      <c r="T6" t="s">
        <v>533</v>
      </c>
      <c r="U6" s="159">
        <f>R6/L3</f>
        <v>0.26007326007326009</v>
      </c>
      <c r="V6" s="47">
        <f t="shared" si="1"/>
        <v>7.0227497527200797E-2</v>
      </c>
      <c r="X6" s="318"/>
    </row>
    <row r="7" spans="1:24" ht="18.75" x14ac:dyDescent="0.3">
      <c r="F7">
        <v>5</v>
      </c>
      <c r="G7" s="3">
        <v>1</v>
      </c>
      <c r="H7" t="s">
        <v>521</v>
      </c>
      <c r="I7" t="s">
        <v>2</v>
      </c>
      <c r="K7" s="665">
        <v>5</v>
      </c>
      <c r="L7" s="372">
        <v>218</v>
      </c>
      <c r="M7" t="s">
        <v>589</v>
      </c>
      <c r="N7" s="317" t="s">
        <v>215</v>
      </c>
      <c r="O7" s="400">
        <f t="shared" si="0"/>
        <v>0.70322580645161292</v>
      </c>
      <c r="Q7" s="653">
        <v>5</v>
      </c>
      <c r="R7" s="410">
        <v>62</v>
      </c>
      <c r="S7" t="s">
        <v>590</v>
      </c>
      <c r="T7" s="317" t="s">
        <v>66</v>
      </c>
      <c r="U7" s="159">
        <f>R7/L10</f>
        <v>0.29807692307692307</v>
      </c>
      <c r="V7" s="47">
        <f t="shared" si="1"/>
        <v>6.1325420375865483E-2</v>
      </c>
      <c r="W7" s="318"/>
    </row>
    <row r="8" spans="1:24" s="318" customFormat="1" ht="18.75" x14ac:dyDescent="0.3">
      <c r="A8" s="730" t="s">
        <v>1027</v>
      </c>
      <c r="B8" s="730"/>
      <c r="F8">
        <v>5</v>
      </c>
      <c r="G8" s="698">
        <v>1</v>
      </c>
      <c r="H8" s="696" t="s">
        <v>536</v>
      </c>
      <c r="I8" s="696" t="s">
        <v>507</v>
      </c>
      <c r="J8"/>
      <c r="K8" s="665">
        <v>6</v>
      </c>
      <c r="L8" s="344">
        <v>214</v>
      </c>
      <c r="M8" t="s">
        <v>531</v>
      </c>
      <c r="N8" s="317" t="s">
        <v>65</v>
      </c>
      <c r="O8" s="400">
        <f t="shared" si="0"/>
        <v>0.69032258064516128</v>
      </c>
      <c r="P8"/>
      <c r="Q8" s="653">
        <v>6</v>
      </c>
      <c r="R8" s="348">
        <v>58</v>
      </c>
      <c r="S8" t="s">
        <v>548</v>
      </c>
      <c r="T8" s="317" t="s">
        <v>507</v>
      </c>
      <c r="U8" s="159">
        <f>R8/L4</f>
        <v>0.21481481481481482</v>
      </c>
      <c r="V8" s="47">
        <f t="shared" si="1"/>
        <v>5.7368941641938676E-2</v>
      </c>
      <c r="W8"/>
      <c r="X8"/>
    </row>
    <row r="9" spans="1:24" ht="18.75" x14ac:dyDescent="0.3">
      <c r="A9" s="693" t="s">
        <v>1030</v>
      </c>
      <c r="B9" t="s">
        <v>1024</v>
      </c>
      <c r="C9" s="317" t="s">
        <v>67</v>
      </c>
      <c r="K9" s="665">
        <v>6</v>
      </c>
      <c r="L9" s="344">
        <v>214</v>
      </c>
      <c r="M9" t="s">
        <v>535</v>
      </c>
      <c r="N9" s="317" t="s">
        <v>507</v>
      </c>
      <c r="O9" s="400">
        <f t="shared" si="0"/>
        <v>0.69032258064516128</v>
      </c>
      <c r="Q9" s="653">
        <v>7</v>
      </c>
      <c r="R9" s="344">
        <v>53</v>
      </c>
      <c r="S9" t="s">
        <v>591</v>
      </c>
      <c r="T9" s="317" t="s">
        <v>65</v>
      </c>
      <c r="U9" s="159">
        <f>R9/L6</f>
        <v>0.23555555555555555</v>
      </c>
      <c r="V9" s="47">
        <f t="shared" si="1"/>
        <v>5.2423343224530169E-2</v>
      </c>
      <c r="W9" s="318"/>
    </row>
    <row r="10" spans="1:24" ht="18.75" x14ac:dyDescent="0.3">
      <c r="A10" s="601" t="s">
        <v>1031</v>
      </c>
      <c r="B10" t="s">
        <v>929</v>
      </c>
      <c r="C10" t="s">
        <v>1</v>
      </c>
      <c r="F10" s="318"/>
      <c r="G10" s="730" t="s">
        <v>518</v>
      </c>
      <c r="H10" s="730"/>
      <c r="J10" s="318"/>
      <c r="K10" s="665">
        <v>8</v>
      </c>
      <c r="L10" s="372">
        <v>208</v>
      </c>
      <c r="M10" t="s">
        <v>590</v>
      </c>
      <c r="N10" s="317" t="s">
        <v>66</v>
      </c>
      <c r="O10" s="400">
        <f t="shared" si="0"/>
        <v>0.67096774193548392</v>
      </c>
      <c r="P10" s="318"/>
      <c r="Q10" s="653">
        <v>8</v>
      </c>
      <c r="R10" s="390">
        <v>51</v>
      </c>
      <c r="S10" t="s">
        <v>551</v>
      </c>
      <c r="T10" s="317" t="s">
        <v>65</v>
      </c>
      <c r="U10" s="159">
        <f>R10/L11</f>
        <v>0.27419354838709675</v>
      </c>
      <c r="V10" s="47">
        <f t="shared" si="1"/>
        <v>5.0445103857566766E-2</v>
      </c>
      <c r="X10" s="318"/>
    </row>
    <row r="11" spans="1:24" x14ac:dyDescent="0.25">
      <c r="A11" s="412" t="s">
        <v>937</v>
      </c>
      <c r="B11" t="s">
        <v>534</v>
      </c>
      <c r="C11" t="s">
        <v>533</v>
      </c>
      <c r="F11">
        <v>1</v>
      </c>
      <c r="G11" s="476">
        <v>107</v>
      </c>
      <c r="H11" t="s">
        <v>929</v>
      </c>
      <c r="I11" t="s">
        <v>1</v>
      </c>
      <c r="K11" s="665">
        <v>9</v>
      </c>
      <c r="L11" s="344">
        <v>186</v>
      </c>
      <c r="M11" t="s">
        <v>551</v>
      </c>
      <c r="N11" s="317" t="s">
        <v>65</v>
      </c>
      <c r="O11" s="400">
        <f t="shared" si="0"/>
        <v>0.6</v>
      </c>
      <c r="Q11" s="653">
        <v>9</v>
      </c>
      <c r="R11" s="411">
        <v>50</v>
      </c>
      <c r="S11" t="s">
        <v>643</v>
      </c>
      <c r="T11" s="317" t="s">
        <v>215</v>
      </c>
      <c r="U11" s="159">
        <f>R11/L17</f>
        <v>0.47169811320754718</v>
      </c>
      <c r="V11" s="47">
        <f t="shared" si="1"/>
        <v>4.9455984174085067E-2</v>
      </c>
    </row>
    <row r="12" spans="1:24" s="318" customFormat="1" ht="18.75" x14ac:dyDescent="0.3">
      <c r="A12" s="412" t="s">
        <v>937</v>
      </c>
      <c r="B12" t="s">
        <v>591</v>
      </c>
      <c r="C12" s="317" t="s">
        <v>65</v>
      </c>
      <c r="F12">
        <v>2</v>
      </c>
      <c r="G12" s="698">
        <v>88</v>
      </c>
      <c r="H12" s="696" t="s">
        <v>207</v>
      </c>
      <c r="I12" s="697" t="s">
        <v>1</v>
      </c>
      <c r="J12"/>
      <c r="K12" s="665">
        <v>10</v>
      </c>
      <c r="L12" s="348">
        <v>184</v>
      </c>
      <c r="M12" t="s">
        <v>209</v>
      </c>
      <c r="N12" s="317" t="s">
        <v>1</v>
      </c>
      <c r="O12" s="400">
        <f t="shared" si="0"/>
        <v>0.59354838709677415</v>
      </c>
      <c r="P12"/>
      <c r="Q12" s="653">
        <v>10</v>
      </c>
      <c r="R12" s="348">
        <v>49</v>
      </c>
      <c r="S12" t="s">
        <v>535</v>
      </c>
      <c r="T12" s="317" t="s">
        <v>507</v>
      </c>
      <c r="U12" s="159">
        <f>R12/L9</f>
        <v>0.22897196261682243</v>
      </c>
      <c r="V12" s="47">
        <f t="shared" si="1"/>
        <v>4.8466864490603362E-2</v>
      </c>
      <c r="W12"/>
      <c r="X12"/>
    </row>
    <row r="13" spans="1:24" x14ac:dyDescent="0.25">
      <c r="A13" s="689" t="s">
        <v>937</v>
      </c>
      <c r="B13" t="s">
        <v>1021</v>
      </c>
      <c r="C13" t="s">
        <v>2</v>
      </c>
      <c r="F13">
        <v>3</v>
      </c>
      <c r="G13" s="344">
        <v>68</v>
      </c>
      <c r="H13" t="s">
        <v>548</v>
      </c>
      <c r="I13" s="317" t="s">
        <v>507</v>
      </c>
      <c r="K13" s="665">
        <v>11</v>
      </c>
      <c r="L13" s="476">
        <v>181</v>
      </c>
      <c r="M13" t="s">
        <v>640</v>
      </c>
      <c r="N13" t="s">
        <v>66</v>
      </c>
      <c r="O13" s="400">
        <f t="shared" si="0"/>
        <v>0.58387096774193548</v>
      </c>
      <c r="Q13" s="653">
        <v>10</v>
      </c>
      <c r="R13" s="344">
        <v>47</v>
      </c>
      <c r="S13" t="s">
        <v>521</v>
      </c>
      <c r="T13" t="s">
        <v>2</v>
      </c>
      <c r="U13" s="159">
        <f>R13/L14</f>
        <v>0.28834355828220859</v>
      </c>
      <c r="V13" s="47">
        <f t="shared" si="1"/>
        <v>4.6488625123639958E-2</v>
      </c>
    </row>
    <row r="14" spans="1:24" x14ac:dyDescent="0.25">
      <c r="A14" s="412" t="s">
        <v>937</v>
      </c>
      <c r="B14" t="s">
        <v>522</v>
      </c>
      <c r="C14" s="317" t="s">
        <v>65</v>
      </c>
      <c r="F14">
        <v>4</v>
      </c>
      <c r="G14" s="695">
        <v>21</v>
      </c>
      <c r="H14" s="696" t="s">
        <v>193</v>
      </c>
      <c r="I14" s="696" t="s">
        <v>66</v>
      </c>
      <c r="K14" s="665">
        <v>12</v>
      </c>
      <c r="L14" s="344">
        <v>163</v>
      </c>
      <c r="M14" t="s">
        <v>521</v>
      </c>
      <c r="N14" s="317" t="s">
        <v>507</v>
      </c>
      <c r="O14" s="400">
        <f t="shared" si="0"/>
        <v>0.52580645161290318</v>
      </c>
      <c r="Q14" s="653">
        <v>12</v>
      </c>
      <c r="R14" s="348">
        <v>36</v>
      </c>
      <c r="S14" t="s">
        <v>531</v>
      </c>
      <c r="T14" t="s">
        <v>65</v>
      </c>
      <c r="U14" s="159">
        <f>R14/L8</f>
        <v>0.16822429906542055</v>
      </c>
      <c r="V14" s="47">
        <f t="shared" si="1"/>
        <v>3.5608308605341248E-2</v>
      </c>
    </row>
    <row r="15" spans="1:24" x14ac:dyDescent="0.25">
      <c r="A15" s="412" t="s">
        <v>983</v>
      </c>
      <c r="B15" t="s">
        <v>590</v>
      </c>
      <c r="C15" s="317" t="s">
        <v>66</v>
      </c>
      <c r="F15">
        <v>5</v>
      </c>
      <c r="G15" s="476">
        <v>7</v>
      </c>
      <c r="H15" t="s">
        <v>522</v>
      </c>
      <c r="I15" s="317" t="s">
        <v>65</v>
      </c>
      <c r="K15" s="665">
        <v>13</v>
      </c>
      <c r="L15" s="695">
        <v>146</v>
      </c>
      <c r="M15" s="696" t="s">
        <v>207</v>
      </c>
      <c r="N15" s="697" t="s">
        <v>1</v>
      </c>
      <c r="O15" s="699">
        <f t="shared" si="0"/>
        <v>0.47096774193548385</v>
      </c>
      <c r="Q15" s="653">
        <v>13</v>
      </c>
      <c r="R15" s="476">
        <v>27</v>
      </c>
      <c r="S15" s="264" t="s">
        <v>1024</v>
      </c>
      <c r="T15" s="264" t="s">
        <v>67</v>
      </c>
      <c r="U15" s="159">
        <f>R15/L23</f>
        <v>0.65853658536585369</v>
      </c>
      <c r="V15" s="47">
        <f t="shared" si="1"/>
        <v>2.6706231454005934E-2</v>
      </c>
      <c r="W15">
        <v>103</v>
      </c>
    </row>
    <row r="16" spans="1:24" x14ac:dyDescent="0.25">
      <c r="A16" s="410" t="s">
        <v>983</v>
      </c>
      <c r="B16" t="s">
        <v>548</v>
      </c>
      <c r="C16" s="317" t="s">
        <v>507</v>
      </c>
      <c r="F16">
        <v>6</v>
      </c>
      <c r="G16" s="695">
        <v>6</v>
      </c>
      <c r="H16" s="696" t="s">
        <v>197</v>
      </c>
      <c r="I16" s="697" t="s">
        <v>65</v>
      </c>
      <c r="K16" s="665">
        <v>14</v>
      </c>
      <c r="L16" s="476">
        <v>119</v>
      </c>
      <c r="M16" t="s">
        <v>929</v>
      </c>
      <c r="N16" t="s">
        <v>1</v>
      </c>
      <c r="O16" s="400">
        <f t="shared" si="0"/>
        <v>0.38387096774193546</v>
      </c>
      <c r="Q16" s="653">
        <v>14</v>
      </c>
      <c r="R16" s="344">
        <v>20</v>
      </c>
      <c r="S16" t="s">
        <v>606</v>
      </c>
      <c r="T16" t="s">
        <v>65</v>
      </c>
      <c r="U16" s="159">
        <f>R16/L18</f>
        <v>0.20833333333333334</v>
      </c>
      <c r="V16" s="47">
        <f t="shared" si="1"/>
        <v>1.9782393669634024E-2</v>
      </c>
    </row>
    <row r="17" spans="1:23" x14ac:dyDescent="0.25">
      <c r="A17" s="412" t="s">
        <v>983</v>
      </c>
      <c r="B17" t="s">
        <v>551</v>
      </c>
      <c r="C17" s="317" t="s">
        <v>65</v>
      </c>
      <c r="F17">
        <v>7</v>
      </c>
      <c r="G17" s="698">
        <v>5</v>
      </c>
      <c r="H17" s="696" t="s">
        <v>196</v>
      </c>
      <c r="I17" s="697" t="s">
        <v>65</v>
      </c>
      <c r="K17" s="665">
        <v>15</v>
      </c>
      <c r="L17" s="476">
        <v>106</v>
      </c>
      <c r="M17" s="264" t="s">
        <v>766</v>
      </c>
      <c r="N17" s="486" t="s">
        <v>215</v>
      </c>
      <c r="O17" s="400">
        <f t="shared" si="0"/>
        <v>0.34193548387096773</v>
      </c>
      <c r="Q17" s="653">
        <v>14</v>
      </c>
      <c r="R17" s="695">
        <v>19</v>
      </c>
      <c r="S17" s="696" t="s">
        <v>208</v>
      </c>
      <c r="T17" s="697" t="s">
        <v>525</v>
      </c>
      <c r="U17" s="159"/>
      <c r="V17" s="47"/>
    </row>
    <row r="18" spans="1:23" x14ac:dyDescent="0.25">
      <c r="A18" s="410" t="s">
        <v>938</v>
      </c>
      <c r="B18" t="s">
        <v>640</v>
      </c>
      <c r="C18" s="317" t="s">
        <v>66</v>
      </c>
      <c r="F18">
        <v>8</v>
      </c>
      <c r="G18" s="695">
        <v>4</v>
      </c>
      <c r="H18" s="696" t="s">
        <v>427</v>
      </c>
      <c r="I18" s="697" t="s">
        <v>215</v>
      </c>
      <c r="K18" s="665">
        <v>16</v>
      </c>
      <c r="L18" s="476">
        <v>96</v>
      </c>
      <c r="M18" t="s">
        <v>606</v>
      </c>
      <c r="N18" t="s">
        <v>65</v>
      </c>
      <c r="O18" s="400">
        <f t="shared" si="0"/>
        <v>0.30967741935483872</v>
      </c>
      <c r="Q18" s="653">
        <v>16</v>
      </c>
      <c r="R18" s="695">
        <v>15</v>
      </c>
      <c r="S18" s="696" t="s">
        <v>196</v>
      </c>
      <c r="T18" s="697" t="s">
        <v>65</v>
      </c>
      <c r="U18" s="159"/>
      <c r="V18" s="47"/>
    </row>
    <row r="19" spans="1:23" x14ac:dyDescent="0.25">
      <c r="A19" s="410" t="s">
        <v>938</v>
      </c>
      <c r="B19" t="s">
        <v>589</v>
      </c>
      <c r="C19" s="317" t="s">
        <v>215</v>
      </c>
      <c r="F19">
        <v>9</v>
      </c>
      <c r="G19" s="638">
        <v>2</v>
      </c>
      <c r="H19" t="s">
        <v>209</v>
      </c>
      <c r="I19" s="317" t="s">
        <v>1</v>
      </c>
      <c r="K19" s="665">
        <v>17</v>
      </c>
      <c r="L19" s="695">
        <v>89</v>
      </c>
      <c r="M19" s="696" t="s">
        <v>536</v>
      </c>
      <c r="N19" s="697" t="s">
        <v>507</v>
      </c>
      <c r="O19" s="699">
        <f t="shared" si="0"/>
        <v>0.2870967741935484</v>
      </c>
      <c r="Q19" s="653">
        <v>17</v>
      </c>
      <c r="R19" s="344">
        <v>12</v>
      </c>
      <c r="S19" t="s">
        <v>626</v>
      </c>
      <c r="T19" t="s">
        <v>215</v>
      </c>
      <c r="U19" s="159">
        <f>R19/L25</f>
        <v>0.375</v>
      </c>
      <c r="V19" s="47">
        <f>R19/$R$32</f>
        <v>1.1869436201780416E-2</v>
      </c>
    </row>
    <row r="20" spans="1:23" x14ac:dyDescent="0.25">
      <c r="A20" s="412" t="s">
        <v>938</v>
      </c>
      <c r="B20" t="s">
        <v>531</v>
      </c>
      <c r="C20" s="317" t="s">
        <v>65</v>
      </c>
      <c r="F20">
        <v>10</v>
      </c>
      <c r="G20" s="698">
        <v>1</v>
      </c>
      <c r="H20" s="696" t="s">
        <v>208</v>
      </c>
      <c r="I20" s="697" t="s">
        <v>525</v>
      </c>
      <c r="K20" s="665">
        <v>18</v>
      </c>
      <c r="L20" s="476">
        <v>70</v>
      </c>
      <c r="M20" t="s">
        <v>1021</v>
      </c>
      <c r="N20" t="s">
        <v>2</v>
      </c>
      <c r="O20" s="400">
        <f t="shared" si="0"/>
        <v>0.22580645161290322</v>
      </c>
      <c r="Q20" s="653">
        <v>18</v>
      </c>
      <c r="R20" s="348">
        <v>11</v>
      </c>
      <c r="S20" t="s">
        <v>209</v>
      </c>
      <c r="T20" s="317" t="s">
        <v>1</v>
      </c>
      <c r="U20" s="159">
        <f>R20/L12</f>
        <v>5.9782608695652176E-2</v>
      </c>
      <c r="V20" s="47">
        <f>R20/$R$32</f>
        <v>1.0880316518298714E-2</v>
      </c>
    </row>
    <row r="21" spans="1:23" x14ac:dyDescent="0.25">
      <c r="A21" s="412" t="s">
        <v>853</v>
      </c>
      <c r="B21" t="s">
        <v>643</v>
      </c>
      <c r="C21" s="317" t="s">
        <v>215</v>
      </c>
      <c r="F21">
        <v>10</v>
      </c>
      <c r="G21" s="3">
        <v>1</v>
      </c>
      <c r="H21" t="s">
        <v>521</v>
      </c>
      <c r="I21" t="s">
        <v>2</v>
      </c>
      <c r="K21" s="665">
        <v>19</v>
      </c>
      <c r="L21" s="638">
        <v>63</v>
      </c>
      <c r="M21" t="s">
        <v>769</v>
      </c>
      <c r="N21" t="s">
        <v>507</v>
      </c>
      <c r="O21" s="400">
        <f t="shared" si="0"/>
        <v>0.20322580645161289</v>
      </c>
      <c r="Q21" s="653">
        <v>18</v>
      </c>
      <c r="R21" s="344">
        <v>11</v>
      </c>
      <c r="S21" t="s">
        <v>769</v>
      </c>
      <c r="T21" t="s">
        <v>2</v>
      </c>
      <c r="U21" s="159">
        <f>R21/L21</f>
        <v>0.17460317460317459</v>
      </c>
      <c r="V21" s="47">
        <f>R21/$R$32</f>
        <v>1.0880316518298714E-2</v>
      </c>
    </row>
    <row r="22" spans="1:23" x14ac:dyDescent="0.25">
      <c r="A22" s="353" t="s">
        <v>1032</v>
      </c>
      <c r="B22" t="s">
        <v>535</v>
      </c>
      <c r="C22" s="317" t="s">
        <v>507</v>
      </c>
      <c r="G22" s="700">
        <f>SUM(G11:G21)</f>
        <v>310</v>
      </c>
      <c r="K22" s="665">
        <v>20</v>
      </c>
      <c r="L22" s="695">
        <v>55</v>
      </c>
      <c r="M22" s="696" t="s">
        <v>208</v>
      </c>
      <c r="N22" s="697" t="s">
        <v>525</v>
      </c>
      <c r="O22" s="699">
        <f t="shared" si="0"/>
        <v>0.17741935483870969</v>
      </c>
      <c r="Q22" s="653">
        <v>20</v>
      </c>
      <c r="R22" s="695">
        <v>10</v>
      </c>
      <c r="S22" s="696" t="s">
        <v>536</v>
      </c>
      <c r="T22" s="697" t="s">
        <v>507</v>
      </c>
      <c r="U22" s="159"/>
      <c r="V22" s="47"/>
    </row>
    <row r="23" spans="1:23" x14ac:dyDescent="0.25">
      <c r="A23" s="412" t="s">
        <v>708</v>
      </c>
      <c r="B23" t="s">
        <v>209</v>
      </c>
      <c r="C23" s="317" t="s">
        <v>1</v>
      </c>
      <c r="K23" s="665">
        <v>21</v>
      </c>
      <c r="L23" s="476">
        <v>41</v>
      </c>
      <c r="M23" t="s">
        <v>1024</v>
      </c>
      <c r="N23" t="s">
        <v>67</v>
      </c>
      <c r="O23" s="400">
        <f t="shared" ref="O23" si="2">L23/$G$22</f>
        <v>0.13225806451612904</v>
      </c>
      <c r="Q23" s="653">
        <v>20</v>
      </c>
      <c r="R23" s="695">
        <v>10</v>
      </c>
      <c r="S23" s="696" t="s">
        <v>641</v>
      </c>
      <c r="T23" s="697" t="s">
        <v>215</v>
      </c>
      <c r="U23" s="536"/>
      <c r="V23" s="47"/>
    </row>
    <row r="24" spans="1:23" x14ac:dyDescent="0.25">
      <c r="A24" s="695" t="s">
        <v>708</v>
      </c>
      <c r="B24" s="696" t="s">
        <v>207</v>
      </c>
      <c r="C24" s="697" t="s">
        <v>1</v>
      </c>
      <c r="K24" s="665"/>
      <c r="L24" s="638" t="s">
        <v>957</v>
      </c>
      <c r="M24" t="s">
        <v>957</v>
      </c>
      <c r="N24" t="s">
        <v>957</v>
      </c>
      <c r="O24" s="662" t="s">
        <v>957</v>
      </c>
      <c r="Q24" s="653">
        <v>20</v>
      </c>
      <c r="R24" s="627">
        <v>10</v>
      </c>
      <c r="S24" t="s">
        <v>1021</v>
      </c>
      <c r="T24" t="s">
        <v>2</v>
      </c>
      <c r="U24" s="159">
        <f>R24/L23</f>
        <v>0.24390243902439024</v>
      </c>
      <c r="V24" s="47">
        <f>R24/$R$32</f>
        <v>9.8911968348170121E-3</v>
      </c>
      <c r="W24">
        <v>56</v>
      </c>
    </row>
    <row r="25" spans="1:23" x14ac:dyDescent="0.25">
      <c r="A25" s="410" t="s">
        <v>708</v>
      </c>
      <c r="B25" t="s">
        <v>606</v>
      </c>
      <c r="C25" t="s">
        <v>65</v>
      </c>
      <c r="K25" s="665"/>
      <c r="L25" s="638">
        <v>32</v>
      </c>
      <c r="M25" t="s">
        <v>626</v>
      </c>
      <c r="N25" t="s">
        <v>215</v>
      </c>
      <c r="O25" s="400">
        <f>L25/$G$22</f>
        <v>0.1032258064516129</v>
      </c>
      <c r="Q25" s="653">
        <v>23</v>
      </c>
      <c r="R25" s="695">
        <v>9</v>
      </c>
      <c r="S25" s="696" t="s">
        <v>538</v>
      </c>
      <c r="T25" s="696" t="s">
        <v>215</v>
      </c>
      <c r="U25" s="159"/>
      <c r="V25" s="47"/>
    </row>
    <row r="26" spans="1:23" x14ac:dyDescent="0.25">
      <c r="A26" s="695" t="s">
        <v>532</v>
      </c>
      <c r="B26" s="696" t="s">
        <v>427</v>
      </c>
      <c r="C26" s="697" t="s">
        <v>215</v>
      </c>
      <c r="L26" s="706">
        <v>0</v>
      </c>
      <c r="M26" s="264" t="s">
        <v>1042</v>
      </c>
      <c r="N26" s="264" t="s">
        <v>67</v>
      </c>
      <c r="O26" s="662">
        <f>L26/$G$22</f>
        <v>0</v>
      </c>
      <c r="Q26" s="653">
        <v>23</v>
      </c>
      <c r="R26" s="695">
        <v>9</v>
      </c>
      <c r="S26" s="696" t="s">
        <v>537</v>
      </c>
      <c r="T26" s="696" t="s">
        <v>215</v>
      </c>
      <c r="U26" s="159"/>
      <c r="V26" s="47"/>
    </row>
    <row r="27" spans="1:23" x14ac:dyDescent="0.25">
      <c r="A27" s="410" t="s">
        <v>532</v>
      </c>
      <c r="B27" t="s">
        <v>521</v>
      </c>
      <c r="C27" s="317" t="s">
        <v>2</v>
      </c>
      <c r="Q27" s="653">
        <v>25</v>
      </c>
      <c r="R27" s="695">
        <v>8</v>
      </c>
      <c r="S27" s="696" t="s">
        <v>202</v>
      </c>
      <c r="T27" s="696" t="s">
        <v>507</v>
      </c>
      <c r="U27" s="159"/>
      <c r="V27" s="47"/>
    </row>
    <row r="28" spans="1:23" x14ac:dyDescent="0.25">
      <c r="A28" s="488" t="s">
        <v>532</v>
      </c>
      <c r="B28" t="s">
        <v>769</v>
      </c>
      <c r="C28" t="s">
        <v>507</v>
      </c>
      <c r="Q28" s="653">
        <v>26</v>
      </c>
      <c r="R28" s="695">
        <v>6</v>
      </c>
      <c r="S28" s="696" t="s">
        <v>207</v>
      </c>
      <c r="T28" s="697" t="s">
        <v>1</v>
      </c>
      <c r="U28" s="159"/>
      <c r="V28" s="47"/>
    </row>
    <row r="29" spans="1:23" x14ac:dyDescent="0.25">
      <c r="A29" s="695" t="s">
        <v>1023</v>
      </c>
      <c r="B29" s="696" t="s">
        <v>958</v>
      </c>
      <c r="C29" s="696" t="s">
        <v>67</v>
      </c>
      <c r="Q29" s="667">
        <v>27</v>
      </c>
      <c r="R29" s="695">
        <v>3</v>
      </c>
      <c r="S29" s="696" t="s">
        <v>958</v>
      </c>
      <c r="T29" s="696" t="s">
        <v>67</v>
      </c>
      <c r="U29" s="159"/>
      <c r="V29" s="47"/>
    </row>
    <row r="30" spans="1:23" x14ac:dyDescent="0.25">
      <c r="A30" s="695" t="s">
        <v>605</v>
      </c>
      <c r="B30" s="696" t="s">
        <v>641</v>
      </c>
      <c r="C30" s="697" t="s">
        <v>215</v>
      </c>
      <c r="Q30" s="693">
        <v>27</v>
      </c>
      <c r="R30" s="695">
        <v>3</v>
      </c>
      <c r="S30" s="696" t="s">
        <v>777</v>
      </c>
      <c r="T30" s="696" t="s">
        <v>65</v>
      </c>
      <c r="U30" s="159"/>
      <c r="V30" s="47"/>
    </row>
    <row r="31" spans="1:23" x14ac:dyDescent="0.25">
      <c r="A31" s="425" t="s">
        <v>605</v>
      </c>
      <c r="B31" t="s">
        <v>626</v>
      </c>
      <c r="C31" t="s">
        <v>215</v>
      </c>
      <c r="Q31" s="706">
        <v>28</v>
      </c>
      <c r="R31" s="476">
        <v>0</v>
      </c>
      <c r="S31" s="264" t="s">
        <v>1042</v>
      </c>
      <c r="T31" s="264" t="s">
        <v>67</v>
      </c>
      <c r="U31" s="709"/>
      <c r="V31" s="710"/>
      <c r="W31" s="264"/>
    </row>
    <row r="32" spans="1:23" x14ac:dyDescent="0.25">
      <c r="A32" s="347"/>
      <c r="B32" s="345"/>
      <c r="C32" s="346"/>
      <c r="R32" s="701">
        <f>SUM(R3:R31)</f>
        <v>1011</v>
      </c>
    </row>
    <row r="33" spans="1:3" x14ac:dyDescent="0.25">
      <c r="A33" s="347"/>
      <c r="B33" s="345"/>
      <c r="C33" s="346"/>
    </row>
    <row r="34" spans="1:3" x14ac:dyDescent="0.25">
      <c r="A34" s="347"/>
      <c r="B34" s="345"/>
      <c r="C34" s="346"/>
    </row>
    <row r="35" spans="1:3" x14ac:dyDescent="0.25">
      <c r="A35" s="347"/>
      <c r="B35" s="345"/>
      <c r="C35" s="345"/>
    </row>
    <row r="36" spans="1:3" x14ac:dyDescent="0.25">
      <c r="A36" s="690"/>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15" t="s">
        <v>270</v>
      </c>
      <c r="C59" s="213" t="s">
        <v>179</v>
      </c>
      <c r="D59" s="716" t="s">
        <v>271</v>
      </c>
      <c r="E59" s="716" t="s">
        <v>271</v>
      </c>
      <c r="F59" s="214" t="s">
        <v>272</v>
      </c>
      <c r="H59" s="299" t="s">
        <v>273</v>
      </c>
    </row>
    <row r="60" spans="1:24" ht="23.25" x14ac:dyDescent="0.25">
      <c r="A60" s="215">
        <v>18</v>
      </c>
      <c r="B60" s="715"/>
      <c r="C60" s="213" t="s">
        <v>274</v>
      </c>
      <c r="D60" s="716"/>
      <c r="E60" s="716"/>
      <c r="F60" s="214" t="s">
        <v>275</v>
      </c>
      <c r="H60" s="298" t="s">
        <v>276</v>
      </c>
    </row>
    <row r="61" spans="1:24" x14ac:dyDescent="0.25">
      <c r="A61" s="212">
        <v>19</v>
      </c>
      <c r="B61" s="715"/>
      <c r="C61" s="216"/>
      <c r="D61" s="716"/>
      <c r="E61" s="716"/>
      <c r="F61" s="217"/>
      <c r="H61" s="298" t="s">
        <v>277</v>
      </c>
      <c r="I61" s="158"/>
    </row>
    <row r="62" spans="1:24" ht="23.25" x14ac:dyDescent="0.25">
      <c r="A62" s="215">
        <v>20</v>
      </c>
      <c r="B62" s="715"/>
      <c r="C62" s="214" t="s">
        <v>271</v>
      </c>
      <c r="D62" s="717" t="s">
        <v>272</v>
      </c>
      <c r="E62" s="214" t="s">
        <v>272</v>
      </c>
      <c r="F62" s="217"/>
      <c r="H62" s="298" t="s">
        <v>278</v>
      </c>
    </row>
    <row r="63" spans="1:24" ht="23.25" x14ac:dyDescent="0.25">
      <c r="A63" s="212">
        <v>21</v>
      </c>
      <c r="B63" s="718" t="s">
        <v>179</v>
      </c>
      <c r="C63" s="214" t="s">
        <v>279</v>
      </c>
      <c r="D63" s="717"/>
      <c r="E63" s="214" t="s">
        <v>275</v>
      </c>
      <c r="F63" s="217"/>
      <c r="H63" s="298" t="s">
        <v>280</v>
      </c>
    </row>
    <row r="64" spans="1:24" x14ac:dyDescent="0.25">
      <c r="A64" s="215">
        <v>22</v>
      </c>
      <c r="B64" s="718"/>
      <c r="C64" s="217"/>
      <c r="D64" s="717"/>
      <c r="E64" s="217"/>
      <c r="F64" s="217"/>
      <c r="H64" s="298" t="s">
        <v>281</v>
      </c>
    </row>
    <row r="65" spans="1:8" x14ac:dyDescent="0.25">
      <c r="A65" s="212">
        <v>23</v>
      </c>
      <c r="B65" s="718"/>
      <c r="C65" s="217"/>
      <c r="D65" s="717"/>
      <c r="E65" s="217"/>
      <c r="F65" s="217"/>
    </row>
    <row r="66" spans="1:8" x14ac:dyDescent="0.25">
      <c r="A66" s="215">
        <v>24</v>
      </c>
      <c r="B66" s="718"/>
      <c r="C66" s="217"/>
      <c r="D66" s="717"/>
      <c r="E66" s="217"/>
      <c r="F66" s="217"/>
      <c r="H66" s="298" t="s">
        <v>282</v>
      </c>
    </row>
    <row r="67" spans="1:8" x14ac:dyDescent="0.25">
      <c r="A67" s="212">
        <v>25</v>
      </c>
      <c r="B67" s="718"/>
      <c r="C67" s="217"/>
      <c r="D67" s="716" t="s">
        <v>271</v>
      </c>
      <c r="E67" s="217"/>
      <c r="F67" s="217"/>
      <c r="H67" s="298" t="s">
        <v>283</v>
      </c>
    </row>
    <row r="68" spans="1:8" x14ac:dyDescent="0.25">
      <c r="A68" s="215">
        <v>26</v>
      </c>
      <c r="B68" s="718"/>
      <c r="C68" s="716" t="s">
        <v>271</v>
      </c>
      <c r="D68" s="716"/>
      <c r="E68" s="217"/>
      <c r="F68" s="217"/>
    </row>
    <row r="69" spans="1:8" x14ac:dyDescent="0.25">
      <c r="A69" s="212">
        <v>27</v>
      </c>
      <c r="B69" s="715" t="s">
        <v>270</v>
      </c>
      <c r="C69" s="716"/>
      <c r="D69" s="716"/>
      <c r="E69" s="217"/>
      <c r="F69" s="217"/>
    </row>
    <row r="70" spans="1:8" x14ac:dyDescent="0.25">
      <c r="A70" s="215">
        <v>28</v>
      </c>
      <c r="B70" s="715"/>
      <c r="C70" s="718" t="s">
        <v>179</v>
      </c>
      <c r="D70" s="716"/>
      <c r="E70" s="217"/>
      <c r="F70" s="217"/>
      <c r="H70" s="298" t="s">
        <v>284</v>
      </c>
    </row>
    <row r="71" spans="1:8" x14ac:dyDescent="0.25">
      <c r="A71" s="212">
        <v>29</v>
      </c>
      <c r="B71" s="715"/>
      <c r="C71" s="718"/>
      <c r="D71" s="716"/>
      <c r="E71" s="217"/>
      <c r="F71" s="217"/>
    </row>
    <row r="72" spans="1:8" x14ac:dyDescent="0.25">
      <c r="A72" s="215">
        <v>30</v>
      </c>
      <c r="B72" s="715"/>
      <c r="C72" s="718"/>
      <c r="D72" s="718" t="s">
        <v>179</v>
      </c>
      <c r="E72" s="217"/>
      <c r="F72" s="217"/>
      <c r="H72" s="298" t="s">
        <v>285</v>
      </c>
    </row>
    <row r="73" spans="1:8" x14ac:dyDescent="0.25">
      <c r="A73" s="212">
        <v>31</v>
      </c>
      <c r="B73" s="715"/>
      <c r="C73" s="718"/>
      <c r="D73" s="718"/>
      <c r="E73" s="214" t="s">
        <v>271</v>
      </c>
      <c r="F73" s="217"/>
    </row>
    <row r="74" spans="1:8" ht="23.25" x14ac:dyDescent="0.25">
      <c r="A74" s="215">
        <v>32</v>
      </c>
      <c r="B74" s="715"/>
      <c r="C74" s="718"/>
      <c r="D74" s="718"/>
      <c r="E74" s="214" t="s">
        <v>279</v>
      </c>
      <c r="F74" s="217"/>
      <c r="H74" s="298" t="s">
        <v>286</v>
      </c>
    </row>
    <row r="75" spans="1:8" ht="23.25" x14ac:dyDescent="0.25">
      <c r="A75" s="212">
        <v>33</v>
      </c>
      <c r="B75" s="715"/>
      <c r="C75" s="715" t="s">
        <v>270</v>
      </c>
      <c r="D75" s="718"/>
      <c r="E75" s="213" t="s">
        <v>179</v>
      </c>
      <c r="F75" s="213" t="s">
        <v>179</v>
      </c>
    </row>
    <row r="76" spans="1:8" x14ac:dyDescent="0.25">
      <c r="A76" s="215">
        <v>34</v>
      </c>
      <c r="B76" s="719" t="s">
        <v>287</v>
      </c>
      <c r="C76" s="715"/>
      <c r="D76" s="718"/>
      <c r="E76" s="213" t="s">
        <v>274</v>
      </c>
      <c r="F76" s="213" t="s">
        <v>274</v>
      </c>
      <c r="H76" s="298" t="s">
        <v>288</v>
      </c>
    </row>
    <row r="77" spans="1:8" x14ac:dyDescent="0.25">
      <c r="A77" s="212">
        <v>35</v>
      </c>
      <c r="B77" s="719"/>
      <c r="C77" s="719" t="s">
        <v>287</v>
      </c>
      <c r="D77" s="715" t="s">
        <v>270</v>
      </c>
      <c r="E77" s="715" t="s">
        <v>270</v>
      </c>
      <c r="F77" s="216"/>
    </row>
    <row r="78" spans="1:8" ht="23.25" x14ac:dyDescent="0.25">
      <c r="A78" s="215">
        <v>36</v>
      </c>
      <c r="B78" s="719"/>
      <c r="C78" s="719"/>
      <c r="D78" s="715"/>
      <c r="E78" s="715"/>
      <c r="F78" s="218" t="s">
        <v>270</v>
      </c>
      <c r="H78" s="298" t="s">
        <v>289</v>
      </c>
    </row>
    <row r="79" spans="1:8" x14ac:dyDescent="0.25">
      <c r="A79" s="714" t="s">
        <v>290</v>
      </c>
      <c r="B79" s="714"/>
      <c r="C79" s="714"/>
      <c r="D79" s="714"/>
      <c r="E79" s="714"/>
      <c r="F79" s="714"/>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31" t="s">
        <v>11</v>
      </c>
      <c r="E2" s="731"/>
      <c r="F2" s="732" t="s">
        <v>12</v>
      </c>
      <c r="G2" s="732"/>
      <c r="H2" s="733" t="s">
        <v>13</v>
      </c>
      <c r="I2" s="733"/>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34" t="s">
        <v>461</v>
      </c>
      <c r="C1" s="734"/>
      <c r="D1" s="734"/>
      <c r="E1" s="734"/>
      <c r="F1" s="734"/>
      <c r="G1" s="734"/>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35"/>
      <c r="N27" s="723"/>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35"/>
      <c r="N29" s="723"/>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35"/>
      <c r="M27" s="723"/>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35"/>
      <c r="M29" s="723"/>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34" t="s">
        <v>461</v>
      </c>
      <c r="C1" s="734"/>
      <c r="D1" s="734"/>
      <c r="E1" s="734"/>
      <c r="F1" s="734"/>
      <c r="G1" s="734"/>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5" x14ac:dyDescent="0.25">
      <c r="A4" s="360" t="s">
        <v>688</v>
      </c>
      <c r="B4" s="275" t="s">
        <v>669</v>
      </c>
      <c r="C4" s="275" t="s">
        <v>654</v>
      </c>
      <c r="D4" s="275" t="s">
        <v>64</v>
      </c>
      <c r="E4" s="185" t="s">
        <v>658</v>
      </c>
      <c r="F4" s="277">
        <v>39905</v>
      </c>
      <c r="G4" s="186">
        <v>69069</v>
      </c>
      <c r="H4" s="186">
        <v>2557</v>
      </c>
      <c r="I4" s="187" t="s">
        <v>689</v>
      </c>
      <c r="J4" s="188">
        <v>164826341</v>
      </c>
      <c r="K4" s="188">
        <v>16513898</v>
      </c>
      <c r="L4" s="275">
        <v>225</v>
      </c>
      <c r="M4" s="280">
        <v>1399174</v>
      </c>
    </row>
    <row r="5" spans="1:15" x14ac:dyDescent="0.25">
      <c r="A5" s="360" t="s">
        <v>682</v>
      </c>
      <c r="B5" s="275" t="s">
        <v>685</v>
      </c>
      <c r="C5" s="275" t="s">
        <v>464</v>
      </c>
      <c r="D5" s="275" t="s">
        <v>687</v>
      </c>
      <c r="E5" s="185" t="s">
        <v>684</v>
      </c>
      <c r="F5" s="277">
        <v>38131</v>
      </c>
      <c r="G5" s="186">
        <v>65100</v>
      </c>
      <c r="H5" s="186">
        <v>2785</v>
      </c>
      <c r="I5" s="187" t="s">
        <v>683</v>
      </c>
      <c r="J5" s="188">
        <v>102523605</v>
      </c>
      <c r="K5" s="188">
        <v>3299515</v>
      </c>
      <c r="L5" s="275">
        <v>374</v>
      </c>
      <c r="M5" s="280">
        <v>813312</v>
      </c>
    </row>
    <row r="6" spans="1:15" x14ac:dyDescent="0.25">
      <c r="A6" s="360" t="s">
        <v>678</v>
      </c>
      <c r="B6" s="275" t="s">
        <v>673</v>
      </c>
      <c r="C6" s="275" t="s">
        <v>225</v>
      </c>
      <c r="D6" s="275" t="s">
        <v>64</v>
      </c>
      <c r="E6" s="185" t="s">
        <v>474</v>
      </c>
      <c r="F6" s="278">
        <v>41153</v>
      </c>
      <c r="G6" s="186">
        <v>41940</v>
      </c>
      <c r="H6" s="186">
        <v>2528</v>
      </c>
      <c r="I6" s="187" t="s">
        <v>679</v>
      </c>
      <c r="J6" s="188">
        <v>10691000</v>
      </c>
      <c r="K6" s="188">
        <v>-6306765</v>
      </c>
      <c r="L6" s="275">
        <v>51</v>
      </c>
      <c r="M6" s="280">
        <v>515084</v>
      </c>
    </row>
    <row r="7" spans="1:15" x14ac:dyDescent="0.25">
      <c r="A7" s="184" t="s">
        <v>671</v>
      </c>
      <c r="B7" s="275" t="s">
        <v>673</v>
      </c>
      <c r="C7" s="275" t="s">
        <v>654</v>
      </c>
      <c r="D7" s="275" t="s">
        <v>676</v>
      </c>
      <c r="E7" s="185" t="s">
        <v>674</v>
      </c>
      <c r="F7" s="277">
        <v>37346</v>
      </c>
      <c r="G7" s="186">
        <v>44300</v>
      </c>
      <c r="H7" s="186">
        <v>2414</v>
      </c>
      <c r="I7" s="187" t="s">
        <v>672</v>
      </c>
      <c r="J7" s="188">
        <v>80114648</v>
      </c>
      <c r="K7" s="188">
        <v>18307648</v>
      </c>
      <c r="L7" s="275">
        <v>243</v>
      </c>
      <c r="M7" s="280">
        <v>1144574</v>
      </c>
    </row>
    <row r="8" spans="1:15" x14ac:dyDescent="0.25">
      <c r="A8" s="184" t="s">
        <v>663</v>
      </c>
      <c r="B8" s="275" t="s">
        <v>667</v>
      </c>
      <c r="C8" s="275" t="s">
        <v>465</v>
      </c>
      <c r="D8" s="275" t="s">
        <v>547</v>
      </c>
      <c r="E8" s="185" t="s">
        <v>665</v>
      </c>
      <c r="F8" s="277">
        <v>40475</v>
      </c>
      <c r="G8" s="186">
        <v>41840</v>
      </c>
      <c r="H8" s="186">
        <v>2621</v>
      </c>
      <c r="I8" s="187" t="s">
        <v>664</v>
      </c>
      <c r="J8" s="188">
        <v>26320922</v>
      </c>
      <c r="K8" s="188">
        <v>-11164498</v>
      </c>
      <c r="L8" s="275">
        <v>96</v>
      </c>
      <c r="M8" s="280">
        <v>833009</v>
      </c>
    </row>
    <row r="9" spans="1:15" x14ac:dyDescent="0.25">
      <c r="A9" s="184" t="s">
        <v>657</v>
      </c>
      <c r="B9" s="275" t="s">
        <v>673</v>
      </c>
      <c r="C9" s="275" t="s">
        <v>573</v>
      </c>
      <c r="D9" s="275" t="s">
        <v>581</v>
      </c>
      <c r="E9" s="185" t="s">
        <v>658</v>
      </c>
      <c r="F9" s="277">
        <v>38168</v>
      </c>
      <c r="G9" s="186">
        <v>70000</v>
      </c>
      <c r="H9" s="186">
        <v>2465</v>
      </c>
      <c r="I9" s="187" t="s">
        <v>659</v>
      </c>
      <c r="J9" s="188">
        <v>51949337</v>
      </c>
      <c r="K9" s="188">
        <v>-10514595</v>
      </c>
      <c r="L9" s="275">
        <v>174</v>
      </c>
      <c r="M9" s="280">
        <v>1452650</v>
      </c>
    </row>
    <row r="10" spans="1:15" x14ac:dyDescent="0.25">
      <c r="A10" s="184" t="s">
        <v>650</v>
      </c>
      <c r="B10" s="275" t="s">
        <v>691</v>
      </c>
      <c r="C10" s="275" t="s">
        <v>179</v>
      </c>
      <c r="D10" s="275" t="s">
        <v>547</v>
      </c>
      <c r="E10" s="185" t="s">
        <v>655</v>
      </c>
      <c r="F10" s="277">
        <v>40858</v>
      </c>
      <c r="G10" s="186">
        <v>52500</v>
      </c>
      <c r="H10" s="186">
        <v>2565</v>
      </c>
      <c r="I10" s="187" t="s">
        <v>656</v>
      </c>
      <c r="J10" s="188">
        <v>24509198</v>
      </c>
      <c r="K10" s="188">
        <v>7144948</v>
      </c>
      <c r="L10" s="275">
        <v>126</v>
      </c>
      <c r="M10" s="280">
        <v>267142</v>
      </c>
    </row>
    <row r="11" spans="1:15" x14ac:dyDescent="0.25">
      <c r="A11" s="197" t="s">
        <v>243</v>
      </c>
      <c r="B11" s="275" t="s">
        <v>669</v>
      </c>
      <c r="C11" s="275" t="s">
        <v>225</v>
      </c>
      <c r="D11" s="275" t="s">
        <v>676</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690</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681</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677</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666</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662</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651</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670</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686</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680</v>
      </c>
      <c r="M27" s="735"/>
      <c r="N27" s="723"/>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675</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653</v>
      </c>
      <c r="J29" s="279">
        <v>4</v>
      </c>
      <c r="K29" s="279" t="s">
        <v>653</v>
      </c>
      <c r="L29" s="275" t="s">
        <v>668</v>
      </c>
      <c r="M29" s="735"/>
      <c r="N29" s="723"/>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661</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653</v>
      </c>
      <c r="J31" s="279">
        <v>6</v>
      </c>
      <c r="K31" s="279" t="s">
        <v>653</v>
      </c>
      <c r="L31" s="275" t="s">
        <v>652</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34" t="s">
        <v>461</v>
      </c>
      <c r="C1" s="734"/>
      <c r="D1" s="734"/>
      <c r="E1" s="734"/>
      <c r="F1" s="734"/>
      <c r="G1" s="734"/>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3" x14ac:dyDescent="0.25">
      <c r="A4" s="360" t="s">
        <v>940</v>
      </c>
      <c r="B4" s="275" t="s">
        <v>673</v>
      </c>
      <c r="C4" s="275" t="s">
        <v>654</v>
      </c>
      <c r="D4" s="275"/>
      <c r="E4" s="185" t="s">
        <v>941</v>
      </c>
      <c r="F4" s="277">
        <v>38857</v>
      </c>
      <c r="G4" s="186">
        <v>67641</v>
      </c>
      <c r="H4" s="186">
        <v>2838</v>
      </c>
      <c r="I4" s="187" t="s">
        <v>942</v>
      </c>
      <c r="J4" s="188">
        <v>138055793</v>
      </c>
      <c r="K4" s="188">
        <v>136696022</v>
      </c>
      <c r="L4" s="275">
        <v>370</v>
      </c>
      <c r="M4" s="280">
        <v>945588</v>
      </c>
    </row>
    <row r="5" spans="1:13" x14ac:dyDescent="0.25">
      <c r="A5" s="184" t="s">
        <v>460</v>
      </c>
      <c r="B5" s="275" t="s">
        <v>669</v>
      </c>
      <c r="C5" s="275" t="s">
        <v>179</v>
      </c>
      <c r="D5" s="275" t="s">
        <v>918</v>
      </c>
      <c r="E5" s="185" t="s">
        <v>466</v>
      </c>
      <c r="F5" s="277">
        <v>41400</v>
      </c>
      <c r="G5" s="186">
        <v>58157</v>
      </c>
      <c r="H5" s="186">
        <v>2845</v>
      </c>
      <c r="I5" s="187" t="s">
        <v>944</v>
      </c>
      <c r="J5" s="188">
        <v>1035350</v>
      </c>
      <c r="K5" s="188">
        <v>-12451970</v>
      </c>
      <c r="L5" s="275">
        <v>23</v>
      </c>
      <c r="M5" s="280">
        <v>4495773</v>
      </c>
    </row>
    <row r="6" spans="1:13" x14ac:dyDescent="0.25">
      <c r="A6" s="360" t="s">
        <v>914</v>
      </c>
      <c r="B6" s="275" t="s">
        <v>673</v>
      </c>
      <c r="C6" s="275" t="s">
        <v>470</v>
      </c>
      <c r="D6" s="275"/>
      <c r="E6" s="185" t="s">
        <v>559</v>
      </c>
      <c r="F6" s="277">
        <v>38075</v>
      </c>
      <c r="G6" s="186">
        <v>70525</v>
      </c>
      <c r="H6" s="186">
        <v>2758</v>
      </c>
      <c r="I6" s="187" t="s">
        <v>760</v>
      </c>
      <c r="J6" s="188">
        <v>143006593</v>
      </c>
      <c r="K6" s="188">
        <v>-7381552</v>
      </c>
      <c r="L6" s="275">
        <v>320</v>
      </c>
      <c r="M6" s="280">
        <v>1285369</v>
      </c>
    </row>
    <row r="7" spans="1:13" x14ac:dyDescent="0.25">
      <c r="A7" s="184" t="s">
        <v>919</v>
      </c>
      <c r="B7" s="275" t="s">
        <v>667</v>
      </c>
      <c r="C7" s="275" t="s">
        <v>465</v>
      </c>
      <c r="D7" s="275"/>
      <c r="E7" s="185" t="s">
        <v>559</v>
      </c>
      <c r="F7" s="277">
        <v>41067</v>
      </c>
      <c r="G7" s="186">
        <v>67347</v>
      </c>
      <c r="H7" s="186">
        <v>2969</v>
      </c>
      <c r="I7" s="187" t="s">
        <v>917</v>
      </c>
      <c r="J7" s="188">
        <v>30810000</v>
      </c>
      <c r="K7" s="188">
        <v>-808447</v>
      </c>
      <c r="L7" s="275">
        <v>101</v>
      </c>
      <c r="M7" s="280">
        <v>702632</v>
      </c>
    </row>
    <row r="8" spans="1:13" x14ac:dyDescent="0.25">
      <c r="A8" s="184" t="s">
        <v>946</v>
      </c>
      <c r="B8" s="275" t="s">
        <v>673</v>
      </c>
      <c r="C8" s="275" t="s">
        <v>947</v>
      </c>
      <c r="D8" s="275"/>
      <c r="E8" s="185" t="s">
        <v>915</v>
      </c>
      <c r="F8" s="277">
        <v>39793</v>
      </c>
      <c r="G8" s="186">
        <v>50000</v>
      </c>
      <c r="H8" s="186">
        <v>2891</v>
      </c>
      <c r="I8" s="187" t="s">
        <v>948</v>
      </c>
      <c r="J8" s="188">
        <v>43131941</v>
      </c>
      <c r="K8" s="188">
        <v>-19594079</v>
      </c>
      <c r="L8" s="275">
        <v>144</v>
      </c>
      <c r="M8" s="280">
        <v>1334596</v>
      </c>
    </row>
    <row r="9" spans="1:13" x14ac:dyDescent="0.25">
      <c r="A9" s="360" t="s">
        <v>793</v>
      </c>
      <c r="B9" s="275" t="s">
        <v>673</v>
      </c>
      <c r="C9" s="275" t="s">
        <v>464</v>
      </c>
      <c r="D9" s="275"/>
      <c r="E9" s="185" t="s">
        <v>950</v>
      </c>
      <c r="F9" s="278">
        <v>39361</v>
      </c>
      <c r="G9" s="186">
        <v>75255</v>
      </c>
      <c r="H9" s="186">
        <v>2959</v>
      </c>
      <c r="I9" s="187" t="s">
        <v>761</v>
      </c>
      <c r="J9" s="188">
        <v>155442840</v>
      </c>
      <c r="K9" s="188">
        <v>-11481107</v>
      </c>
      <c r="L9" s="275">
        <v>510</v>
      </c>
      <c r="M9" s="280">
        <v>596157</v>
      </c>
    </row>
    <row r="10" spans="1:13" x14ac:dyDescent="0.25">
      <c r="A10" s="184" t="s">
        <v>952</v>
      </c>
      <c r="B10" s="275" t="s">
        <v>673</v>
      </c>
      <c r="C10" s="275" t="s">
        <v>179</v>
      </c>
      <c r="D10" s="275"/>
      <c r="E10" s="185" t="s">
        <v>915</v>
      </c>
      <c r="F10" s="277">
        <v>41624</v>
      </c>
      <c r="G10" s="186">
        <v>48000</v>
      </c>
      <c r="H10" s="186">
        <v>2771</v>
      </c>
      <c r="I10" s="187" t="s">
        <v>953</v>
      </c>
      <c r="J10" s="188">
        <v>17487490</v>
      </c>
      <c r="K10" s="188">
        <v>-3320330</v>
      </c>
      <c r="L10" s="275">
        <v>94</v>
      </c>
      <c r="M10" s="280">
        <v>358756</v>
      </c>
    </row>
    <row r="11" spans="1:13" x14ac:dyDescent="0.25">
      <c r="A11" s="184" t="s">
        <v>954</v>
      </c>
      <c r="B11" s="275" t="s">
        <v>667</v>
      </c>
      <c r="C11" s="275" t="s">
        <v>179</v>
      </c>
      <c r="D11" s="275"/>
      <c r="E11" s="185" t="s">
        <v>658</v>
      </c>
      <c r="F11" s="277">
        <v>40117</v>
      </c>
      <c r="G11" s="186">
        <v>87000</v>
      </c>
      <c r="H11" s="186">
        <v>2987</v>
      </c>
      <c r="I11" s="187" t="s">
        <v>955</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757</v>
      </c>
      <c r="E24" s="183" t="s">
        <v>758</v>
      </c>
      <c r="F24" s="183" t="s">
        <v>759</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943</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939</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916</v>
      </c>
      <c r="G27" s="195">
        <f>B27/D17</f>
        <v>0.80040775008317822</v>
      </c>
      <c r="H27" s="195">
        <f>C27/E17</f>
        <v>0.61713780918727912</v>
      </c>
      <c r="I27" s="191">
        <f>B27/11</f>
        <v>102789.09090909091</v>
      </c>
      <c r="J27" s="191">
        <f>C27/11</f>
        <v>15877.272727272728</v>
      </c>
      <c r="K27" s="192">
        <f>B27/C27</f>
        <v>6.4739765244775267</v>
      </c>
      <c r="P27" s="735"/>
      <c r="Q27" s="723"/>
    </row>
    <row r="28" spans="1:17" x14ac:dyDescent="0.25">
      <c r="A28" s="360" t="str">
        <f>A18</f>
        <v>Quasar FC</v>
      </c>
      <c r="B28" s="275">
        <v>1028560</v>
      </c>
      <c r="C28" s="275">
        <v>228106</v>
      </c>
      <c r="D28" s="275">
        <v>7</v>
      </c>
      <c r="E28" s="192">
        <v>6.25</v>
      </c>
      <c r="F28" s="275" t="s">
        <v>945</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949</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35"/>
      <c r="Q29" s="723"/>
    </row>
    <row r="30" spans="1:17" x14ac:dyDescent="0.25">
      <c r="A30" s="360" t="str">
        <f>A20</f>
        <v>The Fighting Philosophers</v>
      </c>
      <c r="B30" s="275">
        <v>2072420</v>
      </c>
      <c r="C30" s="275">
        <v>282550</v>
      </c>
      <c r="D30" s="192">
        <v>7.75</v>
      </c>
      <c r="E30" s="192">
        <v>6.25</v>
      </c>
      <c r="F30" s="275" t="s">
        <v>951</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877</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956</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42"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43"/>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44">
        <f>C13</f>
        <v>1504841</v>
      </c>
      <c r="AA14" s="745"/>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46" t="s">
        <v>94</v>
      </c>
      <c r="B26" s="746"/>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37" t="s">
        <v>95</v>
      </c>
      <c r="B27" s="737"/>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38" t="s">
        <v>96</v>
      </c>
      <c r="B28" s="738"/>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46" t="s">
        <v>97</v>
      </c>
      <c r="B29" s="746"/>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37" t="s">
        <v>98</v>
      </c>
      <c r="B30" s="737"/>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38" t="s">
        <v>99</v>
      </c>
      <c r="B31" s="738"/>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7"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39">
        <f>C23</f>
        <v>1482625</v>
      </c>
      <c r="AA33" s="740"/>
    </row>
    <row r="34" spans="1:27" x14ac:dyDescent="0.25">
      <c r="A34" s="57"/>
      <c r="B34" s="747"/>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7"/>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7"/>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7"/>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7"/>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41"/>
      <c r="I40" s="741"/>
      <c r="J40" s="741"/>
      <c r="K40" s="741"/>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36"/>
      <c r="I49" s="736"/>
      <c r="J49" s="736"/>
      <c r="K49" s="736"/>
    </row>
    <row r="50" spans="8:11" x14ac:dyDescent="0.25">
      <c r="H50" s="103"/>
      <c r="I50" s="103"/>
      <c r="J50" s="103"/>
      <c r="K50" s="103"/>
    </row>
    <row r="51" spans="8:11" x14ac:dyDescent="0.25">
      <c r="H51" s="736"/>
      <c r="I51" s="736"/>
      <c r="J51" s="736"/>
      <c r="K51" s="736"/>
    </row>
    <row r="52" spans="8:11" ht="15" customHeight="1" x14ac:dyDescent="0.25">
      <c r="H52" s="736"/>
      <c r="I52" s="736"/>
      <c r="J52" s="736"/>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211</v>
      </c>
      <c r="C2" s="749"/>
      <c r="D2" s="749"/>
      <c r="E2" s="749"/>
      <c r="F2" s="749"/>
      <c r="G2" s="750"/>
      <c r="I2" s="751" t="s">
        <v>102</v>
      </c>
      <c r="J2" s="751"/>
      <c r="K2" s="751"/>
      <c r="L2" s="751"/>
      <c r="M2" s="751"/>
      <c r="N2" s="751"/>
      <c r="O2" s="751"/>
      <c r="P2" s="751"/>
      <c r="Q2" s="751"/>
      <c r="R2" s="751"/>
      <c r="S2" s="751"/>
      <c r="T2" s="751"/>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2"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43"/>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44">
        <f>C13</f>
        <v>2257672</v>
      </c>
      <c r="Z14" s="745"/>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46" t="s">
        <v>94</v>
      </c>
      <c r="B26" s="746"/>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37" t="s">
        <v>95</v>
      </c>
      <c r="B27" s="737"/>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38" t="s">
        <v>96</v>
      </c>
      <c r="B28" s="738"/>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46" t="s">
        <v>97</v>
      </c>
      <c r="B29" s="746"/>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37" t="s">
        <v>98</v>
      </c>
      <c r="B30" s="737"/>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38" t="s">
        <v>99</v>
      </c>
      <c r="B31" s="738"/>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v>49820</v>
      </c>
      <c r="Y33" s="739">
        <f>C23</f>
        <v>2470257</v>
      </c>
      <c r="Z33" s="740"/>
    </row>
    <row r="34" spans="1:26" x14ac:dyDescent="0.25">
      <c r="A34" s="57"/>
      <c r="B34" s="747"/>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7"/>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7"/>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7"/>
      <c r="C37" s="174" t="s">
        <v>214</v>
      </c>
      <c r="D37" s="177"/>
      <c r="E37" s="177"/>
      <c r="F37" s="177"/>
      <c r="G37" s="177"/>
      <c r="H37" s="177"/>
      <c r="I37" s="177"/>
      <c r="J37" s="177"/>
      <c r="K37" s="177"/>
      <c r="L37" s="177"/>
      <c r="M37" s="177"/>
      <c r="N37" s="177"/>
      <c r="O37" s="177"/>
      <c r="P37" s="177"/>
      <c r="Q37" s="177"/>
      <c r="R37" s="177"/>
      <c r="S37" s="177" t="s">
        <v>433</v>
      </c>
    </row>
    <row r="38" spans="1:26" x14ac:dyDescent="0.25">
      <c r="B38" s="747"/>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41"/>
      <c r="H40" s="741"/>
      <c r="I40" s="741"/>
      <c r="J40" s="741"/>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36"/>
      <c r="H49" s="736"/>
      <c r="I49" s="736"/>
      <c r="J49" s="736"/>
    </row>
    <row r="50" spans="7:10" x14ac:dyDescent="0.25">
      <c r="G50" s="234"/>
      <c r="H50" s="234"/>
      <c r="I50" s="234"/>
      <c r="J50" s="234"/>
    </row>
    <row r="51" spans="7:10" x14ac:dyDescent="0.25">
      <c r="G51" s="736"/>
      <c r="H51" s="736"/>
      <c r="I51" s="736"/>
      <c r="J51" s="736"/>
    </row>
    <row r="52" spans="7:10" ht="15" customHeight="1" x14ac:dyDescent="0.25">
      <c r="G52" s="736"/>
      <c r="H52" s="736"/>
      <c r="I52" s="73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329</v>
      </c>
      <c r="C2" s="749"/>
      <c r="D2" s="749"/>
      <c r="E2" s="749"/>
      <c r="F2" s="749"/>
      <c r="G2" s="750"/>
      <c r="I2" s="751" t="s">
        <v>102</v>
      </c>
      <c r="J2" s="751"/>
      <c r="K2" s="751"/>
      <c r="L2" s="751"/>
      <c r="M2" s="751"/>
      <c r="N2" s="751"/>
      <c r="O2" s="751"/>
      <c r="P2" s="751"/>
      <c r="Q2" s="751"/>
      <c r="R2" s="751"/>
      <c r="S2" s="751"/>
      <c r="T2" s="751"/>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2"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43"/>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44">
        <f>C13</f>
        <v>3165941</v>
      </c>
      <c r="Z14" s="745"/>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46" t="s">
        <v>94</v>
      </c>
      <c r="B26" s="746"/>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37" t="s">
        <v>95</v>
      </c>
      <c r="B27" s="737"/>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38" t="s">
        <v>96</v>
      </c>
      <c r="B28" s="738"/>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46" t="s">
        <v>97</v>
      </c>
      <c r="B29" s="746"/>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37" t="s">
        <v>98</v>
      </c>
      <c r="B30" s="737"/>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38" t="s">
        <v>99</v>
      </c>
      <c r="B31" s="738"/>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c r="Y33" s="739">
        <f>C23</f>
        <v>1505104</v>
      </c>
      <c r="Z33" s="740"/>
    </row>
    <row r="34" spans="1:26" x14ac:dyDescent="0.25">
      <c r="A34" s="57"/>
      <c r="B34" s="747"/>
      <c r="C34" s="174" t="s">
        <v>105</v>
      </c>
      <c r="D34" s="175"/>
      <c r="E34" s="175"/>
      <c r="F34" s="175"/>
      <c r="G34" s="175"/>
      <c r="H34" s="175"/>
      <c r="I34" s="175"/>
      <c r="J34" s="175"/>
      <c r="K34" s="175"/>
      <c r="L34" s="175"/>
      <c r="M34" s="175"/>
      <c r="N34" s="175"/>
      <c r="O34" s="175"/>
      <c r="P34" s="175"/>
      <c r="Q34" s="175"/>
      <c r="R34" s="175"/>
      <c r="S34" s="175"/>
    </row>
    <row r="35" spans="1:26" x14ac:dyDescent="0.25">
      <c r="A35" s="57"/>
      <c r="B35" s="747"/>
      <c r="C35" s="174" t="s">
        <v>62</v>
      </c>
      <c r="D35" s="176"/>
      <c r="E35" s="176"/>
      <c r="F35" s="176"/>
      <c r="G35" s="176"/>
      <c r="H35" s="176"/>
      <c r="I35" s="176"/>
      <c r="J35" s="176"/>
      <c r="K35" s="176"/>
      <c r="L35" s="176"/>
      <c r="M35" s="176"/>
      <c r="N35" s="176"/>
      <c r="O35" s="176"/>
      <c r="P35" s="176"/>
      <c r="Q35" s="176"/>
      <c r="R35" s="176"/>
      <c r="S35" s="176"/>
    </row>
    <row r="36" spans="1:26" x14ac:dyDescent="0.25">
      <c r="A36" s="57"/>
      <c r="B36" s="747"/>
      <c r="C36" s="174" t="s">
        <v>213</v>
      </c>
      <c r="D36" s="177"/>
      <c r="E36" s="177"/>
      <c r="F36" s="177"/>
      <c r="G36" s="177"/>
      <c r="H36" s="177"/>
      <c r="I36" s="177"/>
      <c r="J36" s="177"/>
      <c r="K36" s="177"/>
      <c r="L36" s="177"/>
      <c r="M36" s="177"/>
      <c r="N36" s="177"/>
      <c r="O36" s="177"/>
      <c r="P36" s="177"/>
      <c r="Q36" s="177"/>
      <c r="R36" s="177"/>
      <c r="S36" s="177"/>
    </row>
    <row r="37" spans="1:26" x14ac:dyDescent="0.25">
      <c r="B37" s="747"/>
      <c r="C37" s="174" t="s">
        <v>214</v>
      </c>
      <c r="D37" s="177"/>
      <c r="E37" s="177"/>
      <c r="F37" s="177"/>
      <c r="G37" s="177"/>
      <c r="H37" s="177"/>
      <c r="I37" s="177"/>
      <c r="J37" s="177"/>
      <c r="K37" s="177"/>
      <c r="L37" s="177"/>
      <c r="M37" s="177"/>
      <c r="N37" s="177"/>
      <c r="O37" s="177"/>
      <c r="P37" s="177"/>
      <c r="Q37" s="177"/>
      <c r="R37" s="177"/>
      <c r="S37" s="177"/>
    </row>
    <row r="38" spans="1:26" x14ac:dyDescent="0.25">
      <c r="B38" s="747"/>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41"/>
      <c r="H40" s="741"/>
      <c r="I40" s="741"/>
      <c r="J40" s="741"/>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36"/>
      <c r="H49" s="736"/>
      <c r="I49" s="736"/>
      <c r="J49" s="736"/>
    </row>
    <row r="50" spans="7:10" x14ac:dyDescent="0.25">
      <c r="G50" s="261"/>
      <c r="H50" s="261"/>
      <c r="I50" s="261"/>
      <c r="J50" s="261"/>
    </row>
    <row r="51" spans="7:10" x14ac:dyDescent="0.25">
      <c r="G51" s="736"/>
      <c r="H51" s="736"/>
      <c r="I51" s="736"/>
      <c r="J51" s="736"/>
    </row>
    <row r="52" spans="7:10" ht="15" customHeight="1" x14ac:dyDescent="0.25">
      <c r="G52" s="736"/>
      <c r="H52" s="736"/>
      <c r="I52" s="736"/>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K5" sqref="K5"/>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712</v>
      </c>
      <c r="D1" s="362" t="s">
        <v>713</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PLANTILLA!Y7+1.5+PLANTILLA!J7</f>
        <v>17.268121678740911</v>
      </c>
      <c r="C2" s="159">
        <f>PLANTILLA!AB7+1.5+PLANTILLA!J7</f>
        <v>12.488121678740907</v>
      </c>
      <c r="D2" s="387">
        <f t="shared" ref="D2:D20" si="0">(C2*2+B2)/8</f>
        <v>5.2805456295278406</v>
      </c>
      <c r="E2" s="159">
        <f>D2*PLANTILLA!R7</f>
        <v>5.2805456295278406</v>
      </c>
      <c r="F2" s="159">
        <f>E2*PLANTILLA!S7</f>
        <v>5.2805456295278406</v>
      </c>
      <c r="H2" t="str">
        <f>A2</f>
        <v>B. Pinczehelyi</v>
      </c>
      <c r="I2" s="159">
        <f>D2</f>
        <v>5.2805456295278406</v>
      </c>
      <c r="J2" s="159">
        <f t="shared" ref="J2:K2" si="1">E2</f>
        <v>5.2805456295278406</v>
      </c>
      <c r="K2" s="159">
        <f t="shared" si="1"/>
        <v>5.2805456295278406</v>
      </c>
      <c r="M2" t="str">
        <f>A2</f>
        <v>B. Pinczehelyi</v>
      </c>
      <c r="N2" s="159">
        <f>D2</f>
        <v>5.2805456295278406</v>
      </c>
      <c r="O2" s="159">
        <f t="shared" ref="O2:P2" si="2">E2</f>
        <v>5.2805456295278406</v>
      </c>
      <c r="P2" s="159">
        <f t="shared" si="2"/>
        <v>5.2805456295278406</v>
      </c>
    </row>
    <row r="3" spans="1:16" x14ac:dyDescent="0.25">
      <c r="A3" t="str">
        <f>PLANTILLA!D16</f>
        <v>C. Rojas</v>
      </c>
      <c r="B3" s="159">
        <f>PLANTILLA!Y16+1.5+PLANTILLA!J16</f>
        <v>11.546463883619058</v>
      </c>
      <c r="C3" s="159">
        <f>PLANTILLA!AB16+1.5+PLANTILLA!J16</f>
        <v>13.028908328063499</v>
      </c>
      <c r="D3" s="387">
        <f t="shared" si="0"/>
        <v>4.7005350674682571</v>
      </c>
      <c r="E3" s="159">
        <f>D3*PLANTILLA!R16</f>
        <v>4.3518498451478385</v>
      </c>
      <c r="F3" s="159">
        <f>E3*PLANTILLA!S16</f>
        <v>4.3487402700132716</v>
      </c>
      <c r="H3" s="159" t="str">
        <f>A7</f>
        <v>E. Toney</v>
      </c>
      <c r="I3" s="159">
        <f>D7</f>
        <v>5.0286356478278824</v>
      </c>
      <c r="J3" s="159">
        <f t="shared" ref="J3:K3" si="3">E7</f>
        <v>4.2499728132412251</v>
      </c>
      <c r="K3" s="159">
        <f t="shared" si="3"/>
        <v>3.9314299614154264</v>
      </c>
      <c r="M3" t="str">
        <f>A7</f>
        <v>E. Toney</v>
      </c>
      <c r="N3" s="159">
        <f>D7</f>
        <v>5.0286356478278824</v>
      </c>
      <c r="O3" s="159">
        <f t="shared" ref="O3:P3" si="4">E7</f>
        <v>4.2499728132412251</v>
      </c>
      <c r="P3" s="159">
        <f t="shared" si="4"/>
        <v>3.9314299614154264</v>
      </c>
    </row>
    <row r="4" spans="1:16" x14ac:dyDescent="0.25">
      <c r="A4" t="str">
        <f>PLANTILLA!D12</f>
        <v>E. Romweber</v>
      </c>
      <c r="B4" s="159">
        <f>PLANTILLA!Y12+1.5+PLANTILLA!J12</f>
        <v>14.944098574941133</v>
      </c>
      <c r="C4" s="159">
        <f>PLANTILLA!AB12+1.5+PLANTILLA!J12</f>
        <v>13.904098574941134</v>
      </c>
      <c r="D4" s="387">
        <f t="shared" si="0"/>
        <v>5.3440369656029247</v>
      </c>
      <c r="E4" s="159">
        <f>D4*PLANTILLA!R12</f>
        <v>4.0397122308918778</v>
      </c>
      <c r="F4" s="159">
        <f>E4*PLANTILLA!S12</f>
        <v>3.4107640910380645</v>
      </c>
      <c r="H4" t="str">
        <f t="shared" ref="H4:H6" si="5">A4</f>
        <v>E. Romweber</v>
      </c>
      <c r="I4" s="159">
        <f t="shared" ref="I4:I6" si="6">D4</f>
        <v>5.3440369656029247</v>
      </c>
      <c r="J4" s="159">
        <f t="shared" ref="J4" si="7">E4</f>
        <v>4.0397122308918778</v>
      </c>
      <c r="K4" s="159">
        <f t="shared" ref="K4" si="8">F4</f>
        <v>3.4107640910380645</v>
      </c>
      <c r="M4" t="str">
        <f t="shared" ref="M4" si="9">A4</f>
        <v>E. Romweber</v>
      </c>
      <c r="N4" s="159">
        <f t="shared" ref="N4" si="10">D4</f>
        <v>5.3440369656029247</v>
      </c>
      <c r="O4" s="159">
        <f t="shared" ref="O4" si="11">E4</f>
        <v>4.0397122308918778</v>
      </c>
      <c r="P4" s="159">
        <f t="shared" ref="P4" si="12">F4</f>
        <v>3.4107640910380645</v>
      </c>
    </row>
    <row r="5" spans="1:16" x14ac:dyDescent="0.25">
      <c r="A5" t="str">
        <f>PLANTILLA!D8</f>
        <v>D. Toh</v>
      </c>
      <c r="B5" s="159">
        <f>PLANTILLA!Y8+1.5+PLANTILLA!J8</f>
        <v>13.739225234285724</v>
      </c>
      <c r="C5" s="159">
        <f>PLANTILLA!AB8+1.5+PLANTILLA!J8</f>
        <v>10.462003012063503</v>
      </c>
      <c r="D5" s="387">
        <f t="shared" si="0"/>
        <v>4.3329039073015911</v>
      </c>
      <c r="E5" s="159">
        <f>D5*PLANTILLA!R8</f>
        <v>4.0114895277628371</v>
      </c>
      <c r="F5" s="159">
        <f>E5*PLANTILLA!S8</f>
        <v>4.0086231540293742</v>
      </c>
      <c r="H5" s="159" t="str">
        <f>A12</f>
        <v>B. Bartolache</v>
      </c>
      <c r="I5" s="159">
        <f>D12</f>
        <v>4.7780500858809578</v>
      </c>
      <c r="J5" s="159">
        <f t="shared" ref="J5:K5" si="13">E12</f>
        <v>4.4236148072285566</v>
      </c>
      <c r="K5" s="159">
        <f t="shared" si="13"/>
        <v>4.4204539530863123</v>
      </c>
      <c r="M5" s="159" t="str">
        <f>H5</f>
        <v>B. Bartolache</v>
      </c>
      <c r="N5" s="159">
        <f t="shared" ref="N5:P5" si="14">I5</f>
        <v>4.7780500858809578</v>
      </c>
      <c r="O5" s="159">
        <f t="shared" si="14"/>
        <v>4.4236148072285566</v>
      </c>
      <c r="P5" s="159">
        <f t="shared" si="14"/>
        <v>4.4204539530863123</v>
      </c>
    </row>
    <row r="6" spans="1:16" x14ac:dyDescent="0.25">
      <c r="A6" t="str">
        <f>PLANTILLA!D17</f>
        <v>E. Gross</v>
      </c>
      <c r="B6" s="159">
        <f>PLANTILLA!Y17+1.5+PLANTILLA!J17</f>
        <v>13.18333333333333</v>
      </c>
      <c r="C6" s="159">
        <f>PLANTILLA!AB17+1.5+PLANTILLA!J17</f>
        <v>12.073333333333334</v>
      </c>
      <c r="D6" s="387">
        <f t="shared" si="0"/>
        <v>4.6662499999999998</v>
      </c>
      <c r="E6" s="159">
        <f>D6*PLANTILLA!R17</f>
        <v>4.3201080405636683</v>
      </c>
      <c r="F6" s="159">
        <f>E6*PLANTILLA!S17</f>
        <v>4.31702114624985</v>
      </c>
      <c r="H6" t="str">
        <f t="shared" si="5"/>
        <v>E. Gross</v>
      </c>
      <c r="I6" s="159">
        <f t="shared" si="6"/>
        <v>4.6662499999999998</v>
      </c>
      <c r="J6" s="159">
        <f t="shared" ref="J6" si="15">E6</f>
        <v>4.3201080405636683</v>
      </c>
      <c r="K6" s="159">
        <f t="shared" ref="K6" si="16">F6</f>
        <v>4.31702114624985</v>
      </c>
      <c r="N6" s="438"/>
      <c r="O6" s="438"/>
      <c r="P6" s="438"/>
    </row>
    <row r="7" spans="1:16" x14ac:dyDescent="0.25">
      <c r="A7" t="str">
        <f>PLANTILLA!D9</f>
        <v>E. Toney</v>
      </c>
      <c r="B7" s="159">
        <f>PLANTILLA!Y9+1.5+PLANTILLA!J9</f>
        <v>15.049695060874356</v>
      </c>
      <c r="C7" s="159">
        <f>PLANTILLA!AB9+1.5+PLANTILLA!J9</f>
        <v>12.589695060874352</v>
      </c>
      <c r="D7" s="387">
        <f t="shared" si="0"/>
        <v>5.0286356478278824</v>
      </c>
      <c r="E7" s="159">
        <f>D7*PLANTILLA!R9</f>
        <v>4.2499728132412251</v>
      </c>
      <c r="F7" s="159">
        <f>E7*PLANTILLA!S9</f>
        <v>3.9314299614154264</v>
      </c>
      <c r="I7" s="455">
        <f>SUM(I2:I6)</f>
        <v>25.097518328839605</v>
      </c>
      <c r="J7" s="455">
        <f t="shared" ref="J7:K7" si="17">SUM(J2:J6)</f>
        <v>22.313953521453165</v>
      </c>
      <c r="K7" s="455">
        <f t="shared" si="17"/>
        <v>21.360214781317495</v>
      </c>
      <c r="L7" s="455"/>
      <c r="M7" s="455"/>
      <c r="N7" s="455">
        <f>SUM(N2:N6)</f>
        <v>20.431268328839607</v>
      </c>
      <c r="O7" s="455">
        <f t="shared" ref="O7:P7" si="18">SUM(O2:O6)</f>
        <v>17.993845480889497</v>
      </c>
      <c r="P7" s="455">
        <f t="shared" si="18"/>
        <v>17.043193635067645</v>
      </c>
    </row>
    <row r="8" spans="1:16" x14ac:dyDescent="0.25">
      <c r="A8" t="str">
        <f>PLANTILLA!D24</f>
        <v>P .Trivadi</v>
      </c>
      <c r="B8" s="159">
        <f>PLANTILLA!Y24+1.5+PLANTILLA!J24</f>
        <v>6.5657873992714419</v>
      </c>
      <c r="C8" s="159">
        <f>PLANTILLA!AB24+1.5+PLANTILLA!J24</f>
        <v>13.365787399271442</v>
      </c>
      <c r="D8" s="387">
        <f t="shared" si="0"/>
        <v>4.1621702747267904</v>
      </c>
      <c r="E8" s="159">
        <f>D8*PLANTILLA!R24</f>
        <v>2.7247800484615228</v>
      </c>
      <c r="F8" s="159">
        <f>E8*PLANTILLA!S24</f>
        <v>2.0571638238413508</v>
      </c>
    </row>
    <row r="9" spans="1:16" x14ac:dyDescent="0.25">
      <c r="A9" t="str">
        <f>PLANTILLA!D13</f>
        <v>K. Helms</v>
      </c>
      <c r="B9" s="159">
        <f>PLANTILLA!Y13+1.5+PLANTILLA!J13</f>
        <v>10.008957363560242</v>
      </c>
      <c r="C9" s="159">
        <f>PLANTILLA!AB13+1.5+PLANTILLA!J13</f>
        <v>13.25895736356024</v>
      </c>
      <c r="D9" s="387">
        <f t="shared" si="0"/>
        <v>4.5658590113350908</v>
      </c>
      <c r="E9" s="159">
        <f>D9*PLANTILLA!R13</f>
        <v>3.8588551699203903</v>
      </c>
      <c r="F9" s="159">
        <f>E9*PLANTILLA!S13</f>
        <v>3.5696272655019348</v>
      </c>
    </row>
    <row r="10" spans="1:16" x14ac:dyDescent="0.25">
      <c r="A10" t="str">
        <f>PLANTILLA!D22</f>
        <v>J. Limon</v>
      </c>
      <c r="B10" s="159">
        <f>PLANTILLA!Y22+1.5+PLANTILLA!J22</f>
        <v>9.7061426278300171</v>
      </c>
      <c r="C10" s="159">
        <f>PLANTILLA!AB22+1.5+PLANTILLA!J22</f>
        <v>12.578523580210968</v>
      </c>
      <c r="D10" s="387">
        <f t="shared" si="0"/>
        <v>4.3578987235314939</v>
      </c>
      <c r="E10" s="159">
        <f>D10*PLANTILLA!R22</f>
        <v>4.0346302310186024</v>
      </c>
      <c r="F10" s="159">
        <f>E10*PLANTILLA!S22</f>
        <v>4.0317473223039242</v>
      </c>
      <c r="H10" s="159"/>
    </row>
    <row r="11" spans="1:16" x14ac:dyDescent="0.25">
      <c r="A11" t="str">
        <f>PLANTILLA!D23</f>
        <v>L. Calosso</v>
      </c>
      <c r="B11" s="159">
        <f>PLANTILLA!Y23+1.5+PLANTILLA!J23</f>
        <v>4.8937639717155434</v>
      </c>
      <c r="C11" s="159">
        <f>PLANTILLA!AB23+1.5+PLANTILLA!J23</f>
        <v>17.913763971715543</v>
      </c>
      <c r="D11" s="387">
        <f t="shared" si="0"/>
        <v>5.0901614893933287</v>
      </c>
      <c r="E11" s="159">
        <f>D11*PLANTILLA!R23</f>
        <v>4.7125738179685301</v>
      </c>
      <c r="F11" s="159">
        <f>E11*PLANTILLA!S23</f>
        <v>4.7092064907661673</v>
      </c>
    </row>
    <row r="12" spans="1:16" x14ac:dyDescent="0.25">
      <c r="A12" t="str">
        <f>PLANTILLA!D10</f>
        <v>B. Bartolache</v>
      </c>
      <c r="B12" s="159">
        <f>PLANTILLA!Y10+1.5+PLANTILLA!J10</f>
        <v>14.494800229015887</v>
      </c>
      <c r="C12" s="159">
        <f>PLANTILLA!AB10+1.5+PLANTILLA!J10</f>
        <v>11.864800229015888</v>
      </c>
      <c r="D12" s="387">
        <f t="shared" si="0"/>
        <v>4.7780500858809578</v>
      </c>
      <c r="E12" s="159">
        <f>D12*PLANTILLA!R10</f>
        <v>4.4236148072285566</v>
      </c>
      <c r="F12" s="159">
        <f>E12*PLANTILLA!S10</f>
        <v>4.4204539530863123</v>
      </c>
    </row>
    <row r="13" spans="1:16" x14ac:dyDescent="0.25">
      <c r="A13" t="str">
        <f>PLANTILLA!D14</f>
        <v>S. Zobbe</v>
      </c>
      <c r="B13" s="159">
        <f>PLANTILLA!Y14+1.5+PLANTILLA!J14</f>
        <v>10.92969497738609</v>
      </c>
      <c r="C13" s="159">
        <f>PLANTILLA!AB14+1.5+PLANTILLA!J14</f>
        <v>13.049694977386091</v>
      </c>
      <c r="D13" s="387">
        <f t="shared" si="0"/>
        <v>4.6286356165197837</v>
      </c>
      <c r="E13" s="159">
        <f>D13*PLANTILLA!R14</f>
        <v>3.4989196430992791</v>
      </c>
      <c r="F13" s="159">
        <f>E13*PLANTILLA!S14</f>
        <v>2.9541682164513943</v>
      </c>
    </row>
    <row r="14" spans="1:16" x14ac:dyDescent="0.25">
      <c r="A14" t="str">
        <f>PLANTILLA!D15</f>
        <v>S. Buschelman</v>
      </c>
      <c r="B14" s="159">
        <f>PLANTILLA!Y15+1.5+PLANTILLA!J15</f>
        <v>12.102873135115296</v>
      </c>
      <c r="C14" s="159">
        <f>PLANTILLA!AB15+1.5+PLANTILLA!J15</f>
        <v>12.582539801781966</v>
      </c>
      <c r="D14" s="387">
        <f t="shared" si="0"/>
        <v>4.6584940923349034</v>
      </c>
      <c r="E14" s="159">
        <f>D14*PLANTILLA!R15</f>
        <v>4.312927465355342</v>
      </c>
      <c r="F14" s="159">
        <f>E14*PLANTILLA!S15</f>
        <v>4.3098457018569043</v>
      </c>
    </row>
    <row r="15" spans="1:16" x14ac:dyDescent="0.25">
      <c r="A15" t="str">
        <f>PLANTILLA!D6</f>
        <v>T. Hammond</v>
      </c>
      <c r="B15" s="159">
        <f>PLANTILLA!Y6+1.5+PLANTILLA!J6</f>
        <v>13.554310229533556</v>
      </c>
      <c r="C15" s="159">
        <f>PLANTILLA!AB6+1.5+PLANTILLA!J6</f>
        <v>9.3037546739780019</v>
      </c>
      <c r="D15" s="387">
        <f t="shared" si="0"/>
        <v>4.020227447186195</v>
      </c>
      <c r="E15" s="159">
        <f>D15*PLANTILLA!R6</f>
        <v>3.3977123319657752</v>
      </c>
      <c r="F15" s="159">
        <f>E15*PLANTILLA!S6</f>
        <v>3.1430478850460219</v>
      </c>
    </row>
    <row r="16" spans="1:16" x14ac:dyDescent="0.25">
      <c r="A16" t="str">
        <f>PLANTILLA!D11</f>
        <v>F. Lasprilla</v>
      </c>
      <c r="B16" s="159">
        <f>PLANTILLA!Y11+1.5+PLANTILLA!J11</f>
        <v>12.107469348856192</v>
      </c>
      <c r="C16" s="159">
        <f>PLANTILLA!AB11+1.5+PLANTILLA!J11</f>
        <v>11.391136015522857</v>
      </c>
      <c r="D16" s="387">
        <f t="shared" si="0"/>
        <v>4.3612176724877383</v>
      </c>
      <c r="E16" s="159">
        <f>D16*PLANTILLA!R11</f>
        <v>4.0377029806724121</v>
      </c>
      <c r="F16" s="159">
        <f>E16*PLANTILLA!S11</f>
        <v>4.0348178763521272</v>
      </c>
    </row>
    <row r="17" spans="1:6" x14ac:dyDescent="0.25">
      <c r="A17" t="str">
        <f>PLANTILLA!D18</f>
        <v>L. Bauman</v>
      </c>
      <c r="B17" s="159">
        <f>PLANTILLA!Y18+1.5+PLANTILLA!J18</f>
        <v>8.0534344570302121</v>
      </c>
      <c r="C17" s="159">
        <f>PLANTILLA!AB18+1.5+PLANTILLA!J18</f>
        <v>11.912323345919104</v>
      </c>
      <c r="D17" s="387">
        <f t="shared" si="0"/>
        <v>3.9847601436085522</v>
      </c>
      <c r="E17" s="159">
        <f>D17*PLANTILLA!R18</f>
        <v>3.9847601436085522</v>
      </c>
      <c r="F17" s="159">
        <f>E17*PLANTILLA!S18</f>
        <v>3.9847601436085522</v>
      </c>
    </row>
    <row r="18" spans="1:6" x14ac:dyDescent="0.25">
      <c r="A18" t="str">
        <f>PLANTILLA!D19</f>
        <v>W. Gelifini</v>
      </c>
      <c r="B18" s="159">
        <f>PLANTILLA!Y19+1.5+PLANTILLA!J19</f>
        <v>8.0635155613369101</v>
      </c>
      <c r="C18" s="159">
        <f>PLANTILLA!AB19+1.5+PLANTILLA!J19</f>
        <v>11.698626672448022</v>
      </c>
      <c r="D18" s="387">
        <f t="shared" si="0"/>
        <v>3.9325961132791192</v>
      </c>
      <c r="E18" s="159">
        <f>D18*PLANTILLA!R19</f>
        <v>3.6408765259612221</v>
      </c>
      <c r="F18" s="159">
        <f>E18*PLANTILLA!S19</f>
        <v>3.6382749704121995</v>
      </c>
    </row>
    <row r="19" spans="1:6" x14ac:dyDescent="0.25">
      <c r="A19" t="str">
        <f>PLANTILLA!D20</f>
        <v>M. Amico</v>
      </c>
      <c r="B19" s="159">
        <f>PLANTILLA!Y20+1.5+PLANTILLA!J20</f>
        <v>4.432674685540718</v>
      </c>
      <c r="C19" s="159">
        <f>PLANTILLA!AB20+1.5+PLANTILLA!J20</f>
        <v>9.2215635744296076</v>
      </c>
      <c r="D19" s="387">
        <f t="shared" si="0"/>
        <v>2.8594752292999916</v>
      </c>
      <c r="E19" s="159">
        <f>D19*PLANTILLA!R20</f>
        <v>2.4166976563336884</v>
      </c>
      <c r="F19" s="159">
        <f>E19*PLANTILLA!S20</f>
        <v>2.2355619650533116</v>
      </c>
    </row>
    <row r="20" spans="1:6" x14ac:dyDescent="0.25">
      <c r="A20" t="str">
        <f>PLANTILLA!D5</f>
        <v>D. Gehmacher</v>
      </c>
      <c r="B20" s="159">
        <f>PLANTILLA!Y5+1.5+PLANTILLA!J5</f>
        <v>15.037732073997715</v>
      </c>
      <c r="C20" s="159">
        <f>PLANTILLA!AB5+1.5+PLANTILLA!J5</f>
        <v>4.2450048012704382</v>
      </c>
      <c r="D20" s="387">
        <f t="shared" si="0"/>
        <v>2.9409677095673237</v>
      </c>
      <c r="E20" s="159">
        <f>D20*PLANTILLA!R5</f>
        <v>2.9409677095673237</v>
      </c>
      <c r="F20" s="159">
        <f>E20*PLANTILLA!S5</f>
        <v>2.9409677095673237</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429</v>
      </c>
      <c r="C2" s="749"/>
      <c r="D2" s="749"/>
      <c r="E2" s="749"/>
      <c r="F2" s="749"/>
      <c r="G2" s="750"/>
      <c r="I2" s="751" t="s">
        <v>430</v>
      </c>
      <c r="J2" s="751"/>
      <c r="K2" s="751"/>
      <c r="L2" s="751"/>
      <c r="M2" s="751"/>
      <c r="N2" s="751"/>
      <c r="O2" s="751"/>
      <c r="P2" s="751"/>
      <c r="Q2" s="751"/>
      <c r="R2" s="751"/>
      <c r="S2" s="751"/>
      <c r="T2" s="751"/>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42"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43"/>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44">
        <f>C13</f>
        <v>3470401</v>
      </c>
      <c r="Z14" s="745"/>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46" t="s">
        <v>94</v>
      </c>
      <c r="B26" s="746"/>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37" t="s">
        <v>95</v>
      </c>
      <c r="B27" s="737"/>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38" t="s">
        <v>96</v>
      </c>
      <c r="B28" s="738"/>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46" t="s">
        <v>97</v>
      </c>
      <c r="B29" s="746"/>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37" t="s">
        <v>98</v>
      </c>
      <c r="B30" s="737"/>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38" t="s">
        <v>99</v>
      </c>
      <c r="B31" s="738"/>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39">
        <f>C23</f>
        <v>4347517</v>
      </c>
      <c r="Z33" s="740"/>
    </row>
    <row r="34" spans="1:26" x14ac:dyDescent="0.25">
      <c r="A34" s="57"/>
      <c r="B34" s="747"/>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7"/>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7"/>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7"/>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7"/>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41"/>
      <c r="H40" s="741"/>
      <c r="I40" s="741"/>
      <c r="J40" s="741"/>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36"/>
      <c r="H49" s="736"/>
      <c r="I49" s="736"/>
      <c r="J49" s="736"/>
    </row>
    <row r="50" spans="7:10" x14ac:dyDescent="0.25">
      <c r="G50" s="283"/>
      <c r="H50" s="283"/>
      <c r="I50" s="283"/>
      <c r="J50" s="283"/>
    </row>
    <row r="51" spans="7:10" x14ac:dyDescent="0.25">
      <c r="G51" s="736"/>
      <c r="H51" s="736"/>
      <c r="I51" s="736"/>
      <c r="J51" s="736"/>
    </row>
    <row r="52" spans="7:10" ht="15" customHeight="1" x14ac:dyDescent="0.25">
      <c r="G52" s="736"/>
      <c r="H52" s="736"/>
      <c r="I52" s="73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490</v>
      </c>
      <c r="C2" s="749"/>
      <c r="D2" s="749"/>
      <c r="E2" s="749"/>
      <c r="F2" s="749"/>
      <c r="G2" s="750"/>
      <c r="I2" s="758" t="s">
        <v>491</v>
      </c>
      <c r="J2" s="758"/>
      <c r="K2" s="758"/>
      <c r="L2" s="758"/>
      <c r="M2" s="758"/>
      <c r="N2" s="758"/>
      <c r="O2" s="758"/>
      <c r="P2" s="758"/>
      <c r="Q2" s="758"/>
      <c r="R2" s="758"/>
      <c r="S2" s="758"/>
      <c r="T2" s="758"/>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42"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43"/>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44">
        <f>C13</f>
        <v>3901063</v>
      </c>
      <c r="Z14" s="745"/>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46" t="s">
        <v>94</v>
      </c>
      <c r="B26" s="746"/>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37" t="s">
        <v>95</v>
      </c>
      <c r="B27" s="737"/>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38" t="s">
        <v>96</v>
      </c>
      <c r="B28" s="738"/>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46" t="s">
        <v>97</v>
      </c>
      <c r="B29" s="746"/>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37" t="s">
        <v>98</v>
      </c>
      <c r="B30" s="737"/>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38" t="s">
        <v>99</v>
      </c>
      <c r="B31" s="738"/>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7"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39">
        <f>C23</f>
        <v>2535782</v>
      </c>
      <c r="Z34" s="740"/>
    </row>
    <row r="35" spans="1:26" x14ac:dyDescent="0.25">
      <c r="A35" s="57"/>
      <c r="B35" s="747"/>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7"/>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7"/>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7"/>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7"/>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41"/>
      <c r="H41" s="741"/>
      <c r="I41" s="741"/>
      <c r="J41" s="741"/>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36"/>
      <c r="H46" s="736"/>
      <c r="I46" s="736"/>
      <c r="J46" s="736"/>
    </row>
    <row r="47" spans="1:26" x14ac:dyDescent="0.25">
      <c r="G47" s="358"/>
      <c r="H47" s="358"/>
      <c r="I47" s="358"/>
      <c r="J47" s="358"/>
    </row>
    <row r="48" spans="1:26" x14ac:dyDescent="0.25">
      <c r="G48" s="736"/>
      <c r="H48" s="736"/>
      <c r="I48" s="736"/>
      <c r="J48" s="736"/>
    </row>
    <row r="49" spans="7:10" ht="15" customHeight="1" x14ac:dyDescent="0.25">
      <c r="G49" s="736"/>
      <c r="H49" s="736"/>
      <c r="I49" s="73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586</v>
      </c>
      <c r="C2" s="749"/>
      <c r="D2" s="749"/>
      <c r="E2" s="749"/>
      <c r="F2" s="749"/>
      <c r="G2" s="750"/>
      <c r="I2" s="758" t="s">
        <v>587</v>
      </c>
      <c r="J2" s="758"/>
      <c r="K2" s="758"/>
      <c r="L2" s="758"/>
      <c r="M2" s="758"/>
      <c r="N2" s="758"/>
      <c r="O2" s="758"/>
      <c r="P2" s="758"/>
      <c r="Q2" s="758"/>
      <c r="R2" s="758"/>
      <c r="S2" s="758"/>
      <c r="T2" s="758"/>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649</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42"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43"/>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44">
        <f>C13</f>
        <v>5218072</v>
      </c>
      <c r="Z14" s="745"/>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46" t="s">
        <v>94</v>
      </c>
      <c r="B26" s="746"/>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37" t="s">
        <v>95</v>
      </c>
      <c r="B27" s="737"/>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38" t="s">
        <v>96</v>
      </c>
      <c r="B28" s="738"/>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46" t="s">
        <v>97</v>
      </c>
      <c r="B29" s="746"/>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37" t="s">
        <v>98</v>
      </c>
      <c r="B30" s="737"/>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38" t="s">
        <v>99</v>
      </c>
      <c r="B31" s="738"/>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7"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39">
        <f>C23</f>
        <v>4415274</v>
      </c>
      <c r="Z34" s="740"/>
    </row>
    <row r="35" spans="1:26" x14ac:dyDescent="0.25">
      <c r="A35" s="57"/>
      <c r="B35" s="747"/>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7"/>
      <c r="C36" s="174" t="s">
        <v>62</v>
      </c>
      <c r="D36" s="176"/>
      <c r="E36" s="176" t="s">
        <v>592</v>
      </c>
      <c r="F36" s="176"/>
      <c r="G36" s="176"/>
      <c r="H36" s="176"/>
      <c r="I36" s="176"/>
      <c r="J36" s="176" t="s">
        <v>636</v>
      </c>
      <c r="K36" s="176" t="s">
        <v>639</v>
      </c>
      <c r="L36" s="176" t="s">
        <v>642</v>
      </c>
      <c r="M36" s="176" t="s">
        <v>636</v>
      </c>
      <c r="N36" s="176"/>
      <c r="O36" s="176"/>
      <c r="P36" s="176" t="s">
        <v>644</v>
      </c>
      <c r="Q36" s="176" t="s">
        <v>645</v>
      </c>
      <c r="R36" s="176" t="s">
        <v>646</v>
      </c>
      <c r="S36" s="176" t="s">
        <v>648</v>
      </c>
    </row>
    <row r="37" spans="1:26" x14ac:dyDescent="0.25">
      <c r="A37" s="57"/>
      <c r="B37" s="747"/>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7"/>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7"/>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41"/>
      <c r="H41" s="741"/>
      <c r="I41" s="741"/>
      <c r="J41" s="741"/>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row>
    <row r="47" spans="1:26" x14ac:dyDescent="0.25">
      <c r="G47" s="393"/>
      <c r="H47" s="393"/>
      <c r="I47" s="393"/>
      <c r="J47" s="393"/>
    </row>
    <row r="48" spans="1:26" x14ac:dyDescent="0.25">
      <c r="G48" s="736"/>
      <c r="H48" s="736"/>
      <c r="I48" s="736"/>
      <c r="J48" s="736"/>
      <c r="P48" s="413"/>
    </row>
    <row r="49" spans="7:10" ht="15" customHeight="1" x14ac:dyDescent="0.25">
      <c r="G49" s="736"/>
      <c r="H49" s="736"/>
      <c r="I49" s="73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693</v>
      </c>
      <c r="C2" s="749"/>
      <c r="D2" s="749"/>
      <c r="E2" s="749"/>
      <c r="F2" s="749"/>
      <c r="G2" s="750"/>
      <c r="I2" s="758" t="s">
        <v>587</v>
      </c>
      <c r="J2" s="758"/>
      <c r="K2" s="758"/>
      <c r="L2" s="758"/>
      <c r="M2" s="758"/>
      <c r="N2" s="758"/>
      <c r="O2" s="758"/>
      <c r="P2" s="758"/>
      <c r="Q2" s="758"/>
      <c r="R2" s="758"/>
      <c r="S2" s="758"/>
      <c r="T2" s="758"/>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647</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692</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42"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43"/>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44">
        <f>C13</f>
        <v>6564204.3711659508</v>
      </c>
      <c r="Z14" s="745"/>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46" t="s">
        <v>94</v>
      </c>
      <c r="B26" s="746"/>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37" t="s">
        <v>95</v>
      </c>
      <c r="B27" s="737"/>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38" t="s">
        <v>96</v>
      </c>
      <c r="B28" s="738"/>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46" t="s">
        <v>97</v>
      </c>
      <c r="B29" s="746"/>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37" t="s">
        <v>98</v>
      </c>
      <c r="B30" s="737"/>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38" t="s">
        <v>99</v>
      </c>
      <c r="B31" s="738"/>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7"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39">
        <f>C23</f>
        <v>4502296</v>
      </c>
      <c r="Z34" s="740"/>
    </row>
    <row r="35" spans="1:26" x14ac:dyDescent="0.25">
      <c r="A35" s="57"/>
      <c r="B35" s="747"/>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7"/>
      <c r="C36" s="174" t="s">
        <v>62</v>
      </c>
      <c r="D36" s="176" t="s">
        <v>696</v>
      </c>
      <c r="E36" s="176" t="s">
        <v>697</v>
      </c>
      <c r="F36" s="176" t="s">
        <v>698</v>
      </c>
      <c r="G36" s="176" t="s">
        <v>700</v>
      </c>
      <c r="H36" s="176" t="s">
        <v>704</v>
      </c>
      <c r="I36" s="176" t="s">
        <v>706</v>
      </c>
      <c r="J36" s="176" t="s">
        <v>707</v>
      </c>
      <c r="K36" s="176" t="s">
        <v>709</v>
      </c>
      <c r="L36" s="176" t="s">
        <v>711</v>
      </c>
      <c r="M36" s="176" t="s">
        <v>714</v>
      </c>
      <c r="N36" s="176" t="s">
        <v>715</v>
      </c>
      <c r="O36" s="176" t="s">
        <v>721</v>
      </c>
      <c r="P36" s="176" t="s">
        <v>725</v>
      </c>
      <c r="Q36" s="176" t="s">
        <v>714</v>
      </c>
      <c r="R36" s="176" t="s">
        <v>751</v>
      </c>
      <c r="S36" s="176" t="s">
        <v>698</v>
      </c>
    </row>
    <row r="37" spans="1:26" x14ac:dyDescent="0.25">
      <c r="A37" s="57"/>
      <c r="B37" s="747"/>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7"/>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7"/>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41"/>
      <c r="H41" s="741"/>
      <c r="I41" s="741"/>
      <c r="J41" s="741"/>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734</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row>
    <row r="47" spans="1:26" x14ac:dyDescent="0.25">
      <c r="G47" s="424"/>
      <c r="H47" s="424"/>
      <c r="I47" s="424"/>
      <c r="J47" s="424"/>
    </row>
    <row r="48" spans="1:26" x14ac:dyDescent="0.25">
      <c r="G48" s="736"/>
      <c r="H48" s="736"/>
      <c r="I48" s="736"/>
      <c r="J48" s="736"/>
      <c r="P48" s="413"/>
    </row>
    <row r="49" spans="7:10" ht="15" customHeight="1" x14ac:dyDescent="0.25">
      <c r="G49" s="736"/>
      <c r="H49" s="736"/>
      <c r="I49" s="736"/>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8" t="s">
        <v>695</v>
      </c>
      <c r="C2" s="749"/>
      <c r="D2" s="749"/>
      <c r="E2" s="749"/>
      <c r="F2" s="749"/>
      <c r="G2" s="750"/>
      <c r="I2" s="758" t="s">
        <v>587</v>
      </c>
      <c r="J2" s="758"/>
      <c r="K2" s="758"/>
      <c r="L2" s="758"/>
      <c r="M2" s="758"/>
      <c r="N2" s="758"/>
      <c r="O2" s="758"/>
      <c r="P2" s="758"/>
      <c r="Q2" s="758"/>
      <c r="R2" s="758"/>
      <c r="S2" s="758"/>
      <c r="T2" s="758"/>
    </row>
    <row r="3" spans="2:21"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55" t="s">
        <v>114</v>
      </c>
      <c r="C4" s="756"/>
      <c r="D4" s="109"/>
      <c r="E4" s="757" t="s">
        <v>115</v>
      </c>
      <c r="F4" s="756"/>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705</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750</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42"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43"/>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44">
        <f>C13</f>
        <v>6907309.643589247</v>
      </c>
      <c r="Z14" s="745"/>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46" t="s">
        <v>94</v>
      </c>
      <c r="B26" s="746"/>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37" t="s">
        <v>95</v>
      </c>
      <c r="B27" s="737"/>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38" t="s">
        <v>96</v>
      </c>
      <c r="B28" s="738"/>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46" t="s">
        <v>97</v>
      </c>
      <c r="B29" s="746"/>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37" t="s">
        <v>98</v>
      </c>
      <c r="B30" s="737"/>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38" t="s">
        <v>99</v>
      </c>
      <c r="B31" s="738"/>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7"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39">
        <f>C23</f>
        <v>4106107</v>
      </c>
      <c r="Z34" s="740"/>
    </row>
    <row r="35" spans="1:26" x14ac:dyDescent="0.25">
      <c r="A35" s="57"/>
      <c r="B35" s="747"/>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7"/>
      <c r="C36" s="174" t="s">
        <v>62</v>
      </c>
      <c r="D36" s="176" t="s">
        <v>756</v>
      </c>
      <c r="E36" s="176"/>
      <c r="F36" s="176" t="s">
        <v>714</v>
      </c>
      <c r="G36" s="176" t="s">
        <v>767</v>
      </c>
      <c r="H36" s="176" t="s">
        <v>773</v>
      </c>
      <c r="I36" s="176"/>
      <c r="J36" s="176"/>
      <c r="K36" s="176"/>
      <c r="L36" s="176"/>
      <c r="M36" s="176" t="s">
        <v>775</v>
      </c>
      <c r="N36" s="176" t="s">
        <v>778</v>
      </c>
      <c r="O36" s="176" t="s">
        <v>780</v>
      </c>
      <c r="P36" s="176" t="s">
        <v>784</v>
      </c>
      <c r="Q36" s="176"/>
      <c r="R36" s="176" t="s">
        <v>791</v>
      </c>
      <c r="S36" s="176" t="s">
        <v>792</v>
      </c>
    </row>
    <row r="37" spans="1:26" x14ac:dyDescent="0.25">
      <c r="A37" s="57"/>
      <c r="B37" s="747"/>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7"/>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7"/>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41"/>
      <c r="H41" s="741"/>
      <c r="I41" s="741"/>
      <c r="J41" s="741"/>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c r="M46" s="413"/>
    </row>
    <row r="47" spans="1:26" x14ac:dyDescent="0.25">
      <c r="E47" s="106"/>
      <c r="G47" s="484"/>
      <c r="H47" s="484"/>
      <c r="I47" s="484"/>
      <c r="J47" s="484"/>
    </row>
    <row r="48" spans="1:26" x14ac:dyDescent="0.25">
      <c r="G48" s="736"/>
      <c r="H48" s="736"/>
      <c r="I48" s="736"/>
      <c r="J48" s="736"/>
      <c r="P48" s="413"/>
    </row>
    <row r="49" spans="7:10" ht="15" customHeight="1" x14ac:dyDescent="0.25">
      <c r="G49" s="736"/>
      <c r="H49" s="736"/>
      <c r="I49" s="73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845</v>
      </c>
      <c r="C1" s="619" t="str">
        <f>PLANTILLA!AC4</f>
        <v>An</v>
      </c>
      <c r="D1" s="619" t="str">
        <f>PLANTILLA!AD4</f>
        <v>PA</v>
      </c>
      <c r="E1" s="619" t="str">
        <f>PLANTILLA!AI4</f>
        <v>TL</v>
      </c>
      <c r="F1" s="619" t="str">
        <f>PLANTILLA!AJ4</f>
        <v>PEN</v>
      </c>
      <c r="G1" s="619" t="str">
        <f>PLANTILLA!AK4</f>
        <v>BPiA</v>
      </c>
      <c r="H1" s="619" t="str">
        <f>PLANTILLA!AL4</f>
        <v>BPiD</v>
      </c>
    </row>
    <row r="2" spans="1:15" x14ac:dyDescent="0.25">
      <c r="A2" t="str">
        <f>PLANTILLA!D22</f>
        <v>J. Limon</v>
      </c>
      <c r="B2" s="159">
        <f>PLANTILLA!J22</f>
        <v>1.3885235802109668</v>
      </c>
      <c r="C2" s="290">
        <f>PLANTILLA!AC22</f>
        <v>8.5625000000000018</v>
      </c>
      <c r="D2" s="290">
        <f>PLANTILLA!AD22</f>
        <v>18.639999999999993</v>
      </c>
      <c r="E2" s="159">
        <f>PLANTILLA!AI22</f>
        <v>21.524749895928995</v>
      </c>
      <c r="F2" s="159">
        <f>PLANTILLA!AJ22</f>
        <v>17.132554232349271</v>
      </c>
      <c r="G2" s="159">
        <f>PLANTILLA!AK22</f>
        <v>1.2184068864168771</v>
      </c>
      <c r="H2" s="159">
        <f>PLANTILLA!AL22</f>
        <v>1.0341014125195296</v>
      </c>
      <c r="K2" t="str">
        <f>A4</f>
        <v>L. Calosso</v>
      </c>
      <c r="L2" s="438">
        <f>B2</f>
        <v>1.3885235802109668</v>
      </c>
      <c r="M2" s="438">
        <f t="shared" ref="M2:N2" si="0">C2</f>
        <v>8.5625000000000018</v>
      </c>
      <c r="N2" s="438">
        <f t="shared" si="0"/>
        <v>18.639999999999993</v>
      </c>
      <c r="O2" s="438"/>
    </row>
    <row r="3" spans="1:15" x14ac:dyDescent="0.25">
      <c r="A3" t="str">
        <f>PLANTILLA!D12</f>
        <v>E. Romweber</v>
      </c>
      <c r="B3" s="159">
        <f>PLANTILLA!J12</f>
        <v>1.4940985749411331</v>
      </c>
      <c r="C3" s="290">
        <f>PLANTILLA!AC12</f>
        <v>7.7700000000000005</v>
      </c>
      <c r="D3" s="290">
        <f>PLANTILLA!AD12</f>
        <v>17.13</v>
      </c>
      <c r="E3" s="159">
        <f>PLANTILLA!AI12</f>
        <v>16.128997280575486</v>
      </c>
      <c r="F3" s="159">
        <f>PLANTILLA!AJ12</f>
        <v>13.08974014490691</v>
      </c>
      <c r="G3" s="159">
        <f>PLANTILLA!AK12</f>
        <v>1.1419278859952908</v>
      </c>
      <c r="H3" s="159">
        <f>PLANTILLA!AL12</f>
        <v>1.2014869002458792</v>
      </c>
      <c r="K3" t="str">
        <f>A5</f>
        <v>L. Bauman</v>
      </c>
      <c r="L3" s="438">
        <f t="shared" ref="L3:L11" si="1">B3</f>
        <v>1.4940985749411331</v>
      </c>
      <c r="M3" s="438">
        <f t="shared" ref="M3:M11" si="2">C3</f>
        <v>7.7700000000000005</v>
      </c>
      <c r="N3" s="438">
        <f t="shared" ref="N3:N11" si="3">D3</f>
        <v>17.13</v>
      </c>
      <c r="O3" s="438"/>
    </row>
    <row r="4" spans="1:15" x14ac:dyDescent="0.25">
      <c r="A4" t="str">
        <f>PLANTILLA!D23</f>
        <v>L. Calosso</v>
      </c>
      <c r="B4" s="159">
        <f>PLANTILLA!J23</f>
        <v>1.3937639717155432</v>
      </c>
      <c r="C4" s="290">
        <f>PLANTILLA!AC23</f>
        <v>10</v>
      </c>
      <c r="D4" s="290">
        <f>PLANTILLA!AD23</f>
        <v>9.3000000000000007</v>
      </c>
      <c r="E4" s="159">
        <f ca="1">PLANTILLA!AI23</f>
        <v>17.387661497454339</v>
      </c>
      <c r="F4" s="159">
        <f ca="1">PLANTILLA!AJ23</f>
        <v>10.759169415427358</v>
      </c>
      <c r="G4" s="159">
        <f ca="1">PLANTILLA!AK23</f>
        <v>0.9478984948216691</v>
      </c>
      <c r="H4" s="159">
        <f ca="1">PLANTILLA!AL23</f>
        <v>0.50678618296896061</v>
      </c>
      <c r="K4" t="str">
        <f>A6</f>
        <v>P .Trivadi</v>
      </c>
      <c r="L4" s="438">
        <f t="shared" si="1"/>
        <v>1.3937639717155432</v>
      </c>
      <c r="M4" s="438">
        <f t="shared" si="2"/>
        <v>10</v>
      </c>
      <c r="N4" s="438">
        <f t="shared" si="3"/>
        <v>9.3000000000000007</v>
      </c>
      <c r="O4" s="438"/>
    </row>
    <row r="5" spans="1:15" x14ac:dyDescent="0.25">
      <c r="A5" t="str">
        <f>PLANTILLA!D18</f>
        <v>L. Bauman</v>
      </c>
      <c r="B5" s="159">
        <f>PLANTILLA!J18</f>
        <v>1.2723233459190999</v>
      </c>
      <c r="C5" s="290">
        <f>PLANTILLA!AC18</f>
        <v>7.4318888888888894</v>
      </c>
      <c r="D5" s="290">
        <f>PLANTILLA!AD18</f>
        <v>16.07</v>
      </c>
      <c r="E5" s="159">
        <f>PLANTILLA!AI18</f>
        <v>19.702270150036767</v>
      </c>
      <c r="F5" s="159">
        <f>PLANTILLA!AJ18</f>
        <v>16.250890012585767</v>
      </c>
      <c r="G5" s="159">
        <f>PLANTILLA!AK18</f>
        <v>1.0754803121179726</v>
      </c>
      <c r="H5" s="159">
        <f>PLANTILLA!AL18</f>
        <v>0.88740707865878155</v>
      </c>
      <c r="K5" t="str">
        <f>A14</f>
        <v>D. Toh</v>
      </c>
      <c r="L5" s="438">
        <f t="shared" si="1"/>
        <v>1.2723233459190999</v>
      </c>
      <c r="M5" s="438">
        <f t="shared" si="2"/>
        <v>7.4318888888888894</v>
      </c>
      <c r="N5" s="438">
        <f t="shared" si="3"/>
        <v>16.07</v>
      </c>
      <c r="O5" s="438"/>
    </row>
    <row r="6" spans="1:15" x14ac:dyDescent="0.25">
      <c r="A6" t="str">
        <f>PLANTILLA!D24</f>
        <v>P .Trivadi</v>
      </c>
      <c r="B6" s="159">
        <f>PLANTILLA!J24</f>
        <v>1.0657873992714422</v>
      </c>
      <c r="C6" s="290">
        <f>PLANTILLA!AC24</f>
        <v>8.384500000000001</v>
      </c>
      <c r="D6" s="290">
        <f>PLANTILLA!AD24</f>
        <v>13.566666666666668</v>
      </c>
      <c r="E6" s="159">
        <f>PLANTILLA!AI24</f>
        <v>12.733227848565186</v>
      </c>
      <c r="F6" s="159">
        <f>PLANTILLA!AJ24</f>
        <v>9.5434129426280592</v>
      </c>
      <c r="G6" s="159">
        <f>PLANTILLA!AK24</f>
        <v>1.0314879919417155</v>
      </c>
      <c r="H6" s="159">
        <f>PLANTILLA!AL24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PLANTILLA!AC14</f>
        <v>7.4766666666666666</v>
      </c>
      <c r="D7" s="290">
        <f>PLANTILLA!AD14</f>
        <v>15.270000000000001</v>
      </c>
      <c r="E7" s="159">
        <f>PLANTILLA!AI14</f>
        <v>14.679529769467322</v>
      </c>
      <c r="F7" s="159">
        <f>PLANTILLA!AJ14</f>
        <v>11.899602892799466</v>
      </c>
      <c r="G7" s="159">
        <f>PLANTILLA!AK14</f>
        <v>1.0567089315242206</v>
      </c>
      <c r="H7" s="159">
        <f>PLANTILLA!AL14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1.3989573635602419</v>
      </c>
      <c r="C8" s="290">
        <f>PLANTILLA!AC13</f>
        <v>5.4050000000000002</v>
      </c>
      <c r="D8" s="290">
        <f>PLANTILLA!AD13</f>
        <v>17.300000000000004</v>
      </c>
      <c r="E8" s="159">
        <f>PLANTILLA!AI13</f>
        <v>14.616094109203582</v>
      </c>
      <c r="F8" s="159">
        <f>PLANTILLA!AJ13</f>
        <v>14.055301798894128</v>
      </c>
      <c r="G8" s="159">
        <f>PLANTILLA!AK13</f>
        <v>1.0211665890848196</v>
      </c>
      <c r="H8" s="159">
        <f>PLANTILLA!AL13</f>
        <v>1.0063270154492172</v>
      </c>
      <c r="K8" t="str">
        <f>A14</f>
        <v>D. Toh</v>
      </c>
      <c r="L8" s="438">
        <f t="shared" si="1"/>
        <v>1.3989573635602419</v>
      </c>
      <c r="M8" s="438">
        <f t="shared" si="2"/>
        <v>5.4050000000000002</v>
      </c>
      <c r="N8" s="438">
        <f t="shared" si="3"/>
        <v>17.300000000000004</v>
      </c>
      <c r="O8" s="438"/>
    </row>
    <row r="9" spans="1:15" x14ac:dyDescent="0.25">
      <c r="A9" t="str">
        <f>PLANTILLA!D15</f>
        <v>S. Buschelman</v>
      </c>
      <c r="B9" s="159">
        <f>PLANTILLA!J15</f>
        <v>1.4092064684486303</v>
      </c>
      <c r="C9" s="290">
        <f>PLANTILLA!AC15</f>
        <v>5.0296666666666656</v>
      </c>
      <c r="D9" s="290">
        <f>PLANTILLA!AD15</f>
        <v>15.2</v>
      </c>
      <c r="E9" s="159">
        <f>PLANTILLA!AI15</f>
        <v>14.385941686346632</v>
      </c>
      <c r="F9" s="159">
        <f>PLANTILLA!AJ15</f>
        <v>13.94109763300481</v>
      </c>
      <c r="G9" s="159">
        <f>PLANTILLA!AK15</f>
        <v>0.94021985080922366</v>
      </c>
      <c r="H9" s="159">
        <f>PLANTILLA!AL15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1.4389083280634998</v>
      </c>
      <c r="C10" s="290">
        <f>PLANTILLA!AC16</f>
        <v>4.3999999999999995</v>
      </c>
      <c r="D10" s="290">
        <f>PLANTILLA!AD16</f>
        <v>16.544444444444441</v>
      </c>
      <c r="E10" s="159">
        <f>PLANTILLA!AI16</f>
        <v>14.16359570123506</v>
      </c>
      <c r="F10" s="159">
        <f>PLANTILLA!AJ16</f>
        <v>14.66500837757579</v>
      </c>
      <c r="G10" s="159">
        <f>PLANTILLA!AK16</f>
        <v>0.95144599957841314</v>
      </c>
      <c r="H10" s="159">
        <f>PLANTILLA!AL16</f>
        <v>1.0463591385200004</v>
      </c>
      <c r="K10" t="str">
        <f>A11</f>
        <v>B. Bartolache</v>
      </c>
      <c r="L10" s="438">
        <f t="shared" si="1"/>
        <v>1.4389083280634998</v>
      </c>
      <c r="M10" s="438">
        <f t="shared" si="2"/>
        <v>4.3999999999999995</v>
      </c>
      <c r="N10" s="438">
        <f t="shared" si="3"/>
        <v>16.544444444444441</v>
      </c>
      <c r="O10" s="438"/>
    </row>
    <row r="11" spans="1:15" x14ac:dyDescent="0.25">
      <c r="A11" t="str">
        <f>PLANTILLA!D10</f>
        <v>B. Bartolache</v>
      </c>
      <c r="B11" s="159">
        <f>PLANTILLA!J10</f>
        <v>1.34480022901589</v>
      </c>
      <c r="C11" s="290">
        <f>PLANTILLA!AC10</f>
        <v>4.6199999999999966</v>
      </c>
      <c r="D11" s="290">
        <f>PLANTILLA!AD10</f>
        <v>15.6</v>
      </c>
      <c r="E11" s="159">
        <f>PLANTILLA!AI10</f>
        <v>13.828242049364381</v>
      </c>
      <c r="F11" s="159">
        <f>PLANTILLA!AJ10</f>
        <v>14.026915379661485</v>
      </c>
      <c r="G11" s="159">
        <f>PLANTILLA!AK10</f>
        <v>0.92658401832127102</v>
      </c>
      <c r="H11" s="159">
        <f>PLANTILLA!AL10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PLANTILLA!AC6</f>
        <v>3.99</v>
      </c>
      <c r="D12" s="290">
        <f>PLANTILLA!AD6</f>
        <v>15.778888888888888</v>
      </c>
      <c r="E12" s="159">
        <f>PLANTILLA!AI6</f>
        <v>11.663014193604974</v>
      </c>
      <c r="F12" s="159">
        <f>PLANTILLA!AJ6</f>
        <v>12.678608979049312</v>
      </c>
      <c r="G12" s="159">
        <f>PLANTILLA!AK6</f>
        <v>0.89361148502935117</v>
      </c>
      <c r="H12" s="159">
        <f>PLANTILLA!AL6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1.4896950608743522</v>
      </c>
      <c r="C13" s="290">
        <f>PLANTILLA!AC9</f>
        <v>3.6816666666666658</v>
      </c>
      <c r="D13" s="290">
        <f>PLANTILLA!AD9</f>
        <v>16.627777777777773</v>
      </c>
      <c r="E13" s="159">
        <f>PLANTILLA!AI9</f>
        <v>12.055339897312352</v>
      </c>
      <c r="F13" s="159">
        <f>PLANTILLA!AJ9</f>
        <v>13.29735237028485</v>
      </c>
      <c r="G13" s="159">
        <f>PLANTILLA!AK9</f>
        <v>0.92209227153661466</v>
      </c>
      <c r="H13" s="159">
        <f>PLANTILLA!AL9</f>
        <v>1.190511987594538</v>
      </c>
    </row>
    <row r="14" spans="1:15" x14ac:dyDescent="0.25">
      <c r="A14" t="str">
        <f>PLANTILLA!D8</f>
        <v>D. Toh</v>
      </c>
      <c r="B14" s="159">
        <f>PLANTILLA!J8</f>
        <v>1.2392252342857237</v>
      </c>
      <c r="C14" s="290">
        <f>PLANTILLA!AC8</f>
        <v>4.383333333333332</v>
      </c>
      <c r="D14" s="290">
        <f>PLANTILLA!AD8</f>
        <v>15.349999999999998</v>
      </c>
      <c r="E14" s="159">
        <f>PLANTILLA!AI8</f>
        <v>13.121204899853417</v>
      </c>
      <c r="F14" s="159">
        <f>PLANTILLA!AJ8</f>
        <v>13.701420182962865</v>
      </c>
      <c r="G14" s="159">
        <f>PLANTILLA!AK8</f>
        <v>0.89880468540952452</v>
      </c>
      <c r="H14" s="159">
        <f>PLANTILLA!AL8</f>
        <v>1.0922457664000007</v>
      </c>
    </row>
    <row r="15" spans="1:15" x14ac:dyDescent="0.25">
      <c r="A15" t="str">
        <f>PLANTILLA!D17</f>
        <v>E. Gross</v>
      </c>
      <c r="B15" s="159">
        <f>PLANTILLA!J17</f>
        <v>1.3333333333333333</v>
      </c>
      <c r="C15" s="290">
        <f>PLANTILLA!AC17</f>
        <v>2.98</v>
      </c>
      <c r="D15" s="290">
        <f>PLANTILLA!AD17</f>
        <v>16.959999999999997</v>
      </c>
      <c r="E15" s="159">
        <f>PLANTILLA!AI17</f>
        <v>11.976840860037615</v>
      </c>
      <c r="F15" s="159">
        <f>PLANTILLA!AJ17</f>
        <v>14.442176343051951</v>
      </c>
      <c r="G15" s="159">
        <f>PLANTILLA!AK17</f>
        <v>0.88446666666666651</v>
      </c>
      <c r="H15" s="159">
        <f>PLANTILLA!AL17</f>
        <v>1.1211333333333333</v>
      </c>
    </row>
    <row r="16" spans="1:15" x14ac:dyDescent="0.25">
      <c r="A16" t="str">
        <f>PLANTILLA!D11</f>
        <v>F. Lasprilla</v>
      </c>
      <c r="B16" s="159">
        <f>PLANTILLA!J11</f>
        <v>1.0278026821895256</v>
      </c>
      <c r="C16" s="290">
        <f>PLANTILLA!AC11</f>
        <v>3.2566666666666673</v>
      </c>
      <c r="D16" s="290">
        <f>PLANTILLA!AD11</f>
        <v>13.238888888888889</v>
      </c>
      <c r="E16" s="159">
        <f>PLANTILLA!AI11</f>
        <v>9.8821106844932327</v>
      </c>
      <c r="F16" s="159">
        <f>PLANTILLA!AJ11</f>
        <v>11.824597371299996</v>
      </c>
      <c r="G16" s="159">
        <f>PLANTILLA!AK11</f>
        <v>0.7622242145751621</v>
      </c>
      <c r="H16" s="159">
        <f>PLANTILLA!AL11</f>
        <v>0.9572995210866001</v>
      </c>
    </row>
    <row r="17" spans="1:8" x14ac:dyDescent="0.25">
      <c r="A17" t="str">
        <f>PLANTILLA!D19</f>
        <v>W. Gelifini</v>
      </c>
      <c r="B17" s="159">
        <f>PLANTILLA!J19</f>
        <v>0.93196000578135851</v>
      </c>
      <c r="C17" s="290">
        <f>PLANTILLA!AC19</f>
        <v>3.5417777777777766</v>
      </c>
      <c r="D17" s="290">
        <f>PLANTILLA!AD19</f>
        <v>12.450000000000001</v>
      </c>
      <c r="E17" s="159">
        <f>PLANTILLA!AI19</f>
        <v>9.7224837831896327</v>
      </c>
      <c r="F17" s="159">
        <f>PLANTILLA!AJ19</f>
        <v>11.303794341391464</v>
      </c>
      <c r="G17" s="159">
        <f>PLANTILLA!AK19</f>
        <v>0.74514568935139747</v>
      </c>
      <c r="H17" s="159">
        <f>PLANTILLA!AL19</f>
        <v>0.76899942262691712</v>
      </c>
    </row>
    <row r="18" spans="1:8" x14ac:dyDescent="0.25">
      <c r="A18" t="str">
        <f>PLANTILLA!D5</f>
        <v>D. Gehmacher</v>
      </c>
      <c r="B18" s="159">
        <f>PLANTILLA!J5</f>
        <v>1.7050048012704384</v>
      </c>
      <c r="C18" s="290">
        <f>PLANTILLA!AC5</f>
        <v>0.14055555555555557</v>
      </c>
      <c r="D18" s="290">
        <f>PLANTILLA!AD5</f>
        <v>17.849999999999998</v>
      </c>
      <c r="E18" s="159">
        <f ca="1">PLANTILLA!AI5</f>
        <v>8.4288828330298902</v>
      </c>
      <c r="F18" s="159">
        <f ca="1">PLANTILLA!AJ5</f>
        <v>15.242171467937103</v>
      </c>
      <c r="G18" s="159">
        <f ca="1">PLANTILLA!AK5</f>
        <v>0.7589281618794127</v>
      </c>
      <c r="H18" s="159">
        <f ca="1">PLANTILLA!AL5</f>
        <v>1.1981594269980218</v>
      </c>
    </row>
    <row r="19" spans="1:8" x14ac:dyDescent="0.25">
      <c r="A19" t="str">
        <f>PLANTILLA!D20</f>
        <v>M. Amico</v>
      </c>
      <c r="B19" s="159">
        <f>PLANTILLA!J20</f>
        <v>0.45656357442960838</v>
      </c>
      <c r="C19" s="290">
        <f>PLANTILLA!AC20</f>
        <v>4.3299999999999983</v>
      </c>
      <c r="D19" s="290">
        <f>PLANTILLA!AD20</f>
        <v>9.5</v>
      </c>
      <c r="E19" s="159">
        <f>PLANTILLA!AI20</f>
        <v>7.7220100425204024</v>
      </c>
      <c r="F19" s="159">
        <f>PLANTILLA!AJ20</f>
        <v>8.3717292004129948</v>
      </c>
      <c r="G19" s="159">
        <f>PLANTILLA!AK20</f>
        <v>0.65802508595436859</v>
      </c>
      <c r="H19" s="159">
        <f>PLANTILLA!AL20</f>
        <v>0.52100389465451702</v>
      </c>
    </row>
    <row r="20" spans="1:8" x14ac:dyDescent="0.25">
      <c r="A20" t="str">
        <f>PLANTILLA!D7</f>
        <v>B. Pinczehelyi</v>
      </c>
      <c r="B20" s="159">
        <f>PLANTILLA!J7</f>
        <v>1.5681216787409085</v>
      </c>
      <c r="C20" s="290">
        <f>PLANTILLA!AC7</f>
        <v>1.1428571428571428</v>
      </c>
      <c r="D20" s="290">
        <f>PLANTILLA!AD7</f>
        <v>9.4</v>
      </c>
      <c r="E20" s="159">
        <f ca="1">PLANTILLA!AI7</f>
        <v>5.1426917671602652</v>
      </c>
      <c r="F20" s="159">
        <f ca="1">PLANTILLA!AJ7</f>
        <v>9.490978821598052</v>
      </c>
      <c r="G20" s="159">
        <f ca="1">PLANTILLA!AK7</f>
        <v>0.5445925914421299</v>
      </c>
      <c r="H20" s="159">
        <f ca="1">PLANTILLA!AL7</f>
        <v>1.0297685175118638</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754</v>
      </c>
      <c r="C2" s="749"/>
      <c r="D2" s="749"/>
      <c r="E2" s="749"/>
      <c r="F2" s="749"/>
      <c r="G2" s="750"/>
      <c r="I2" s="758" t="s">
        <v>755</v>
      </c>
      <c r="J2" s="758"/>
      <c r="K2" s="758"/>
      <c r="L2" s="758"/>
      <c r="M2" s="758"/>
      <c r="N2" s="758"/>
      <c r="O2" s="758"/>
      <c r="P2" s="758"/>
      <c r="Q2" s="758"/>
      <c r="R2" s="758"/>
      <c r="S2" s="758"/>
      <c r="T2" s="758"/>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765</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774</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776</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779</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42"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43"/>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44">
        <f>C13</f>
        <v>7216225</v>
      </c>
      <c r="Z14" s="745"/>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46" t="s">
        <v>94</v>
      </c>
      <c r="B26" s="746"/>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37" t="s">
        <v>95</v>
      </c>
      <c r="B27" s="737"/>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38" t="s">
        <v>96</v>
      </c>
      <c r="B28" s="738"/>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46" t="s">
        <v>97</v>
      </c>
      <c r="B29" s="746"/>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37" t="s">
        <v>98</v>
      </c>
      <c r="B30" s="737"/>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38" t="s">
        <v>99</v>
      </c>
      <c r="B31" s="738"/>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7"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39">
        <f>C23</f>
        <v>5755973</v>
      </c>
      <c r="Z34" s="740"/>
    </row>
    <row r="35" spans="1:26" x14ac:dyDescent="0.25">
      <c r="A35" s="57"/>
      <c r="B35" s="747"/>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7"/>
      <c r="C36" s="174" t="s">
        <v>803</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7"/>
      <c r="C37" s="174" t="s">
        <v>804</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7"/>
      <c r="C38" s="174" t="s">
        <v>805</v>
      </c>
      <c r="D38" s="176" t="s">
        <v>809</v>
      </c>
      <c r="E38" s="176" t="s">
        <v>818</v>
      </c>
      <c r="F38" s="176" t="s">
        <v>846</v>
      </c>
      <c r="G38" s="176" t="s">
        <v>847</v>
      </c>
      <c r="H38" s="176" t="s">
        <v>852</v>
      </c>
      <c r="I38" s="176" t="s">
        <v>854</v>
      </c>
      <c r="J38" s="176" t="s">
        <v>877</v>
      </c>
      <c r="K38" s="176" t="s">
        <v>878</v>
      </c>
      <c r="L38" s="176" t="s">
        <v>792</v>
      </c>
      <c r="M38" s="176"/>
      <c r="N38" s="176"/>
      <c r="O38" s="176" t="s">
        <v>907</v>
      </c>
      <c r="P38" s="176" t="s">
        <v>908</v>
      </c>
      <c r="Q38" s="176"/>
      <c r="R38" s="176"/>
      <c r="S38" s="176"/>
    </row>
    <row r="39" spans="1:26" x14ac:dyDescent="0.25">
      <c r="A39" s="57"/>
      <c r="B39" s="747"/>
      <c r="C39" s="174" t="s">
        <v>806</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7"/>
      <c r="C40" s="174" t="s">
        <v>807</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7"/>
      <c r="C41" s="174" t="s">
        <v>808</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41"/>
      <c r="H43" s="741"/>
      <c r="I43" s="741"/>
      <c r="J43" s="741"/>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36"/>
      <c r="H48" s="736"/>
      <c r="I48" s="736"/>
      <c r="J48" s="736"/>
      <c r="M48" s="413"/>
    </row>
    <row r="49" spans="5:16" x14ac:dyDescent="0.25">
      <c r="E49" s="106"/>
      <c r="G49" s="499"/>
      <c r="H49" s="499"/>
      <c r="I49" s="499"/>
      <c r="J49" s="499"/>
    </row>
    <row r="50" spans="5:16" x14ac:dyDescent="0.25">
      <c r="G50" s="736"/>
      <c r="H50" s="736"/>
      <c r="I50" s="736"/>
      <c r="J50" s="736"/>
      <c r="P50" s="413"/>
    </row>
    <row r="51" spans="5:16" ht="15" customHeight="1" x14ac:dyDescent="0.25">
      <c r="G51" s="736"/>
      <c r="H51" s="736"/>
      <c r="I51" s="736"/>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8" t="s">
        <v>794</v>
      </c>
      <c r="C2" s="749"/>
      <c r="D2" s="749"/>
      <c r="E2" s="749"/>
      <c r="F2" s="749"/>
      <c r="G2" s="750"/>
      <c r="I2" s="759" t="s">
        <v>795</v>
      </c>
      <c r="J2" s="760"/>
      <c r="K2" s="760"/>
      <c r="L2" s="760"/>
      <c r="M2" s="760"/>
      <c r="N2" s="760"/>
      <c r="O2" s="760"/>
      <c r="P2" s="760"/>
      <c r="Q2" s="760"/>
      <c r="R2" s="760"/>
      <c r="S2" s="761"/>
    </row>
    <row r="3" spans="2:19" x14ac:dyDescent="0.25">
      <c r="B3" s="752" t="s">
        <v>103</v>
      </c>
      <c r="C3" s="753"/>
      <c r="D3" s="753"/>
      <c r="E3" s="753"/>
      <c r="F3" s="753"/>
      <c r="G3" s="754"/>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2" t="s">
        <v>114</v>
      </c>
      <c r="C4" s="763"/>
      <c r="D4" s="109"/>
      <c r="E4" s="764" t="s">
        <v>115</v>
      </c>
      <c r="F4" s="765"/>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848</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909</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796</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797</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798</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799</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738</v>
      </c>
      <c r="F31" s="511">
        <f ca="1">F30-C30</f>
        <v>0</v>
      </c>
      <c r="G31" s="106"/>
    </row>
    <row r="32" spans="2:11" x14ac:dyDescent="0.25">
      <c r="C32" s="106"/>
      <c r="D32" s="106"/>
      <c r="F32" s="106"/>
      <c r="G32" s="106"/>
      <c r="H32" s="106"/>
    </row>
    <row r="33" spans="2:7" ht="15.75" x14ac:dyDescent="0.25">
      <c r="B33" s="512" t="s">
        <v>800</v>
      </c>
      <c r="C33" s="513">
        <f>EconomiaT48!C24</f>
        <v>9386456.0147551969</v>
      </c>
      <c r="D33" s="106"/>
      <c r="E33" s="4" t="s">
        <v>801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42"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43"/>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44">
        <f>C13</f>
        <v>9688435</v>
      </c>
      <c r="Z14" s="745"/>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46" t="s">
        <v>94</v>
      </c>
      <c r="B26" s="746"/>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37" t="s">
        <v>95</v>
      </c>
      <c r="B27" s="737"/>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38" t="s">
        <v>96</v>
      </c>
      <c r="B28" s="738"/>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46" t="s">
        <v>97</v>
      </c>
      <c r="B29" s="746"/>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37" t="s">
        <v>98</v>
      </c>
      <c r="B30" s="737"/>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38" t="s">
        <v>99</v>
      </c>
      <c r="B31" s="738"/>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7"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39">
        <f>C23</f>
        <v>16032490</v>
      </c>
      <c r="Z34" s="740"/>
    </row>
    <row r="35" spans="1:26" x14ac:dyDescent="0.25">
      <c r="A35" s="57"/>
      <c r="B35" s="747"/>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7"/>
      <c r="C36" s="174" t="s">
        <v>803</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7"/>
      <c r="C37" s="174" t="s">
        <v>804</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7"/>
      <c r="C38" s="174" t="s">
        <v>805</v>
      </c>
      <c r="D38" s="176" t="s">
        <v>913</v>
      </c>
      <c r="E38" s="176" t="s">
        <v>920</v>
      </c>
      <c r="F38" s="176" t="s">
        <v>921</v>
      </c>
      <c r="G38" s="176"/>
      <c r="H38" s="176" t="s">
        <v>922</v>
      </c>
      <c r="I38" s="176"/>
      <c r="J38" s="176" t="s">
        <v>925</v>
      </c>
      <c r="K38" s="176" t="s">
        <v>927</v>
      </c>
      <c r="L38" s="176" t="s">
        <v>930</v>
      </c>
      <c r="M38" s="176"/>
      <c r="N38" s="176"/>
      <c r="O38" s="176" t="s">
        <v>934</v>
      </c>
      <c r="P38" s="176" t="s">
        <v>935</v>
      </c>
      <c r="Q38" s="176"/>
      <c r="R38" s="176" t="s">
        <v>936</v>
      </c>
      <c r="S38" s="176" t="s">
        <v>939</v>
      </c>
    </row>
    <row r="39" spans="1:26" x14ac:dyDescent="0.25">
      <c r="A39" s="57"/>
      <c r="B39" s="747"/>
      <c r="C39" s="174" t="s">
        <v>806</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7"/>
      <c r="C40" s="174" t="s">
        <v>807</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7"/>
      <c r="C41" s="174" t="s">
        <v>808</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41"/>
      <c r="H43" s="741"/>
      <c r="I43" s="741"/>
      <c r="J43" s="741"/>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c r="M46" s="413"/>
    </row>
    <row r="47" spans="1:26" x14ac:dyDescent="0.25">
      <c r="E47" s="106"/>
      <c r="G47" s="594"/>
      <c r="H47" s="594"/>
      <c r="I47" s="594"/>
      <c r="J47" s="594"/>
    </row>
    <row r="48" spans="1:26" x14ac:dyDescent="0.25">
      <c r="G48" s="736"/>
      <c r="H48" s="736"/>
      <c r="I48" s="736"/>
      <c r="J48" s="736"/>
      <c r="P48" s="413"/>
    </row>
    <row r="49" spans="7:10" ht="15" customHeight="1" x14ac:dyDescent="0.25">
      <c r="G49" s="736"/>
      <c r="H49" s="736"/>
      <c r="I49" s="736"/>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8" t="s">
        <v>910</v>
      </c>
      <c r="C2" s="749"/>
      <c r="D2" s="749"/>
      <c r="E2" s="749"/>
      <c r="F2" s="749"/>
      <c r="G2" s="750"/>
      <c r="I2" s="759" t="s">
        <v>911</v>
      </c>
      <c r="J2" s="760"/>
      <c r="K2" s="760"/>
      <c r="L2" s="760"/>
      <c r="M2" s="760"/>
      <c r="N2" s="760"/>
      <c r="O2" s="760"/>
      <c r="P2" s="760"/>
      <c r="Q2" s="760"/>
      <c r="R2" s="760"/>
      <c r="S2" s="761"/>
    </row>
    <row r="3" spans="2:19" x14ac:dyDescent="0.25">
      <c r="B3" s="752" t="s">
        <v>103</v>
      </c>
      <c r="C3" s="753"/>
      <c r="D3" s="753"/>
      <c r="E3" s="753"/>
      <c r="F3" s="753"/>
      <c r="G3" s="754"/>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2" t="s">
        <v>114</v>
      </c>
      <c r="C4" s="763"/>
      <c r="D4" s="109"/>
      <c r="E4" s="764" t="s">
        <v>115</v>
      </c>
      <c r="F4" s="765"/>
      <c r="G4" s="109"/>
      <c r="I4" s="429" t="s">
        <v>584</v>
      </c>
      <c r="J4" s="430" t="s">
        <v>932</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933</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929</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912</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797</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798</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799</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738</v>
      </c>
      <c r="F35" s="511">
        <f ca="1">F34-C34</f>
        <v>0</v>
      </c>
      <c r="G35" s="106"/>
    </row>
    <row r="36" spans="2:10" x14ac:dyDescent="0.25">
      <c r="C36" s="106"/>
      <c r="D36" s="106"/>
      <c r="F36" s="106"/>
      <c r="G36" s="106"/>
      <c r="H36" s="106"/>
    </row>
    <row r="37" spans="2:10" ht="15.75" x14ac:dyDescent="0.25">
      <c r="B37" s="512" t="s">
        <v>800</v>
      </c>
      <c r="C37" s="513">
        <f>EconomiaT48!C24</f>
        <v>9386456.0147551969</v>
      </c>
      <c r="D37" s="106"/>
      <c r="E37" s="4" t="s">
        <v>801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42"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43"/>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44">
        <f>C13</f>
        <v>10943703</v>
      </c>
      <c r="Z14" s="745"/>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46" t="s">
        <v>94</v>
      </c>
      <c r="B26" s="746"/>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37" t="s">
        <v>95</v>
      </c>
      <c r="B27" s="737"/>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38" t="s">
        <v>96</v>
      </c>
      <c r="B28" s="738"/>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46" t="s">
        <v>97</v>
      </c>
      <c r="B29" s="746"/>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37" t="s">
        <v>98</v>
      </c>
      <c r="B30" s="737"/>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38" t="s">
        <v>99</v>
      </c>
      <c r="B31" s="738"/>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7"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39">
        <f>C23</f>
        <v>7143175</v>
      </c>
      <c r="Z34" s="740"/>
    </row>
    <row r="35" spans="1:26" x14ac:dyDescent="0.25">
      <c r="A35" s="57"/>
      <c r="B35" s="747"/>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7"/>
      <c r="C36" s="174" t="s">
        <v>803</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7"/>
      <c r="C37" s="174" t="s">
        <v>804</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7"/>
      <c r="C38" s="174" t="s">
        <v>805</v>
      </c>
      <c r="D38" s="176" t="s">
        <v>962</v>
      </c>
      <c r="E38" s="176" t="s">
        <v>966</v>
      </c>
      <c r="F38" s="176"/>
      <c r="G38" s="176" t="s">
        <v>984</v>
      </c>
      <c r="H38" s="176" t="s">
        <v>985</v>
      </c>
      <c r="I38" s="176" t="s">
        <v>986</v>
      </c>
      <c r="J38" s="176" t="s">
        <v>990</v>
      </c>
      <c r="K38" s="176" t="s">
        <v>996</v>
      </c>
      <c r="L38" s="176" t="s">
        <v>1006</v>
      </c>
      <c r="M38" s="176"/>
      <c r="N38" s="176"/>
      <c r="O38" s="176"/>
      <c r="P38" s="176"/>
      <c r="Q38" s="176"/>
      <c r="R38" s="176" t="s">
        <v>1012</v>
      </c>
      <c r="S38" s="176" t="s">
        <v>1015</v>
      </c>
    </row>
    <row r="39" spans="1:26" x14ac:dyDescent="0.25">
      <c r="A39" s="57"/>
      <c r="B39" s="747"/>
      <c r="C39" s="174" t="s">
        <v>806</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7"/>
      <c r="C40" s="174" t="s">
        <v>807</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7"/>
      <c r="C41" s="174" t="s">
        <v>808</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41"/>
      <c r="H43" s="741"/>
      <c r="I43" s="741"/>
      <c r="J43" s="741"/>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c r="M46" s="413"/>
    </row>
    <row r="47" spans="1:26" x14ac:dyDescent="0.25">
      <c r="E47" s="106"/>
      <c r="G47" s="623"/>
      <c r="H47" s="623"/>
      <c r="I47" s="623"/>
      <c r="J47" s="623"/>
    </row>
    <row r="48" spans="1:26" x14ac:dyDescent="0.25">
      <c r="G48" s="736"/>
      <c r="H48" s="736"/>
      <c r="I48" s="736"/>
      <c r="J48" s="736"/>
      <c r="P48" s="413"/>
    </row>
    <row r="49" spans="7:10" ht="15" customHeight="1" x14ac:dyDescent="0.25">
      <c r="G49" s="736"/>
      <c r="H49" s="736"/>
      <c r="I49" s="736"/>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8" t="s">
        <v>959</v>
      </c>
      <c r="C2" s="749"/>
      <c r="D2" s="749"/>
      <c r="E2" s="749"/>
      <c r="F2" s="749"/>
      <c r="G2" s="750"/>
      <c r="I2" s="759" t="s">
        <v>960</v>
      </c>
      <c r="J2" s="760"/>
      <c r="K2" s="760"/>
      <c r="L2" s="760"/>
      <c r="M2" s="760"/>
      <c r="N2" s="760"/>
      <c r="O2" s="760"/>
      <c r="P2" s="760"/>
      <c r="Q2" s="760"/>
      <c r="R2" s="760"/>
      <c r="S2" s="761"/>
    </row>
    <row r="3" spans="2:19" x14ac:dyDescent="0.25">
      <c r="B3" s="752" t="s">
        <v>103</v>
      </c>
      <c r="C3" s="753"/>
      <c r="D3" s="753"/>
      <c r="E3" s="753"/>
      <c r="F3" s="753"/>
      <c r="G3" s="754"/>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2" t="s">
        <v>114</v>
      </c>
      <c r="C4" s="763"/>
      <c r="D4" s="109"/>
      <c r="E4" s="764" t="s">
        <v>115</v>
      </c>
      <c r="F4" s="765"/>
      <c r="G4" s="109"/>
      <c r="I4" s="602" t="s">
        <v>116</v>
      </c>
      <c r="J4" s="110" t="s">
        <v>929</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987</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988</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993</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995</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961</v>
      </c>
      <c r="F9" s="222">
        <f>'A-P_T49'!F11+192375</f>
        <v>5746546</v>
      </c>
      <c r="G9" s="121">
        <f ca="1">F9/$F$34</f>
        <v>0.17223117405929145</v>
      </c>
      <c r="I9" s="429" t="s">
        <v>584</v>
      </c>
      <c r="J9" s="430" t="s">
        <v>1009</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1010</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797</v>
      </c>
      <c r="F11" s="117">
        <f>SUM(F12:F17)</f>
        <v>6162445</v>
      </c>
      <c r="G11" s="118">
        <f t="shared" ref="G11:G17" ca="1" si="12">F11/$F$34</f>
        <v>0.18469618748824254</v>
      </c>
      <c r="I11" s="429" t="s">
        <v>584</v>
      </c>
      <c r="J11" s="430" t="s">
        <v>1011</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1014</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798</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799</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738</v>
      </c>
      <c r="F35" s="511">
        <f ca="1">F34-C34</f>
        <v>0</v>
      </c>
      <c r="G35" s="106"/>
    </row>
    <row r="36" spans="2:8" x14ac:dyDescent="0.25">
      <c r="C36" s="106"/>
      <c r="D36" s="106"/>
      <c r="F36" s="106"/>
      <c r="G36" s="106"/>
      <c r="H36" s="106"/>
    </row>
    <row r="37" spans="2:8" ht="15.75" x14ac:dyDescent="0.25">
      <c r="B37" s="512" t="s">
        <v>800</v>
      </c>
      <c r="C37" s="513">
        <f>EconomiaT48!C24</f>
        <v>9386456.0147551969</v>
      </c>
      <c r="D37" s="106"/>
      <c r="E37" s="4" t="s">
        <v>801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719</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720</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768</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849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931</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989</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66" t="s">
        <v>148</v>
      </c>
      <c r="B6" s="150" t="s">
        <v>149</v>
      </c>
      <c r="C6" s="150" t="s">
        <v>150</v>
      </c>
      <c r="D6" s="2">
        <v>0</v>
      </c>
      <c r="E6" s="2">
        <v>22</v>
      </c>
      <c r="F6" s="2">
        <v>0</v>
      </c>
      <c r="G6" s="2">
        <v>0</v>
      </c>
      <c r="H6" s="155">
        <f>H4*2</f>
        <v>8.8000000000000007</v>
      </c>
      <c r="I6" s="2">
        <f t="shared" si="0"/>
        <v>35.200000000000003</v>
      </c>
    </row>
    <row r="7" spans="1:9" x14ac:dyDescent="0.25">
      <c r="A7" s="766"/>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20" t="s">
        <v>366</v>
      </c>
      <c r="B30" s="720"/>
      <c r="C30" s="720"/>
      <c r="D30" s="720"/>
      <c r="F30" s="258" t="s">
        <v>377</v>
      </c>
      <c r="G30" s="253"/>
      <c r="H30" s="246">
        <v>4210500</v>
      </c>
      <c r="I30" s="252"/>
      <c r="J30" s="106"/>
    </row>
    <row r="31" spans="1:14" x14ac:dyDescent="0.25">
      <c r="A31" s="721" t="s">
        <v>297</v>
      </c>
      <c r="B31" s="722" t="s">
        <v>367</v>
      </c>
      <c r="C31" s="722" t="s">
        <v>368</v>
      </c>
      <c r="D31" s="722" t="s">
        <v>369</v>
      </c>
      <c r="F31" s="259" t="s">
        <v>381</v>
      </c>
      <c r="G31" s="254"/>
      <c r="H31" s="246">
        <v>3750000</v>
      </c>
      <c r="I31" s="252"/>
      <c r="J31" s="106"/>
    </row>
    <row r="32" spans="1:14" x14ac:dyDescent="0.25">
      <c r="A32" s="721"/>
      <c r="B32" s="722"/>
      <c r="C32" s="722"/>
      <c r="D32" s="722"/>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v>
      </c>
      <c r="E3" s="384">
        <f>D3</f>
        <v>18</v>
      </c>
      <c r="F3" s="384">
        <f>E3+0.1</f>
        <v>18.100000000000001</v>
      </c>
      <c r="G3" s="384">
        <f>C3</f>
        <v>6</v>
      </c>
      <c r="H3" s="384">
        <f t="shared" ref="H3" si="0">G3+0.99</f>
        <v>6.99</v>
      </c>
      <c r="I3" s="388">
        <f t="shared" ref="I3:J3" si="1">G3*G3*E3</f>
        <v>648</v>
      </c>
      <c r="J3" s="388">
        <f t="shared" si="1"/>
        <v>884.36781000000008</v>
      </c>
      <c r="K3" s="385"/>
      <c r="N3" s="4" t="s">
        <v>612</v>
      </c>
      <c r="O3" t="str">
        <f>A3</f>
        <v>D. Gehmacher</v>
      </c>
      <c r="P3" s="386">
        <f>E3</f>
        <v>18</v>
      </c>
      <c r="Q3" s="386">
        <f t="shared" ref="Q3:S3" si="2">F3</f>
        <v>18.100000000000001</v>
      </c>
      <c r="R3" s="386">
        <f t="shared" si="2"/>
        <v>6</v>
      </c>
      <c r="S3" s="386">
        <f t="shared" si="2"/>
        <v>6.99</v>
      </c>
      <c r="U3" s="4" t="s">
        <v>612</v>
      </c>
      <c r="V3" s="180" t="str">
        <f>O3</f>
        <v>D. Gehmacher</v>
      </c>
      <c r="W3" s="386">
        <f>P3</f>
        <v>18</v>
      </c>
      <c r="X3" s="386">
        <f t="shared" ref="X3:Z3" si="3">Q3</f>
        <v>18.100000000000001</v>
      </c>
      <c r="Y3" s="386">
        <f t="shared" si="3"/>
        <v>6</v>
      </c>
      <c r="Z3" s="386">
        <f t="shared" si="3"/>
        <v>6.99</v>
      </c>
    </row>
    <row r="4" spans="1:26" x14ac:dyDescent="0.25">
      <c r="A4" s="389" t="str">
        <f>PLANTILLA!D6</f>
        <v>T. Hammond</v>
      </c>
      <c r="B4" s="165">
        <f>PLANTILLA!E6</f>
        <v>34</v>
      </c>
      <c r="C4" s="165">
        <f>PLANTILLA!H6</f>
        <v>3</v>
      </c>
      <c r="D4" s="391">
        <f>PLANTILLA!I6</f>
        <v>7.8</v>
      </c>
      <c r="E4" s="384">
        <f t="shared" ref="E4:E22" si="4">D4</f>
        <v>7.8</v>
      </c>
      <c r="F4" s="384">
        <f t="shared" ref="F4:F22" si="5">E4+0.1</f>
        <v>7.8999999999999995</v>
      </c>
      <c r="G4" s="384">
        <f t="shared" ref="G4:G22" si="6">C4</f>
        <v>3</v>
      </c>
      <c r="H4" s="384">
        <f t="shared" ref="H4:H22" si="7">G4+0.99</f>
        <v>3.99</v>
      </c>
      <c r="I4" s="388">
        <f t="shared" ref="I4:I22" si="8">G4*G4*E4</f>
        <v>70.2</v>
      </c>
      <c r="J4" s="388">
        <f t="shared" ref="J4:J22" si="9">H4*H4*F4</f>
        <v>125.76879000000001</v>
      </c>
      <c r="K4" s="385"/>
      <c r="O4" t="str">
        <f>A7</f>
        <v>E. Toney</v>
      </c>
      <c r="P4" s="386">
        <f>E7</f>
        <v>12.1</v>
      </c>
      <c r="Q4" s="386">
        <f t="shared" ref="Q4:S4" si="10">F7</f>
        <v>12.2</v>
      </c>
      <c r="R4" s="386">
        <f t="shared" si="10"/>
        <v>4</v>
      </c>
      <c r="S4" s="386">
        <f t="shared" si="10"/>
        <v>4.99</v>
      </c>
      <c r="V4" s="180" t="str">
        <f t="shared" ref="V4:V13" si="11">O4</f>
        <v>E. Toney</v>
      </c>
      <c r="W4" s="386">
        <f t="shared" ref="W4:W13" si="12">P4</f>
        <v>12.1</v>
      </c>
      <c r="X4" s="386">
        <f t="shared" ref="X4:X13" si="13">Q4</f>
        <v>12.2</v>
      </c>
      <c r="Y4" s="386">
        <f t="shared" ref="Y4:Y13" si="14">R4</f>
        <v>4</v>
      </c>
      <c r="Z4" s="386">
        <f t="shared" ref="Z4:Z13" si="15">S4</f>
        <v>4.99</v>
      </c>
    </row>
    <row r="5" spans="1:26" x14ac:dyDescent="0.25">
      <c r="A5" s="389" t="str">
        <f>PLANTILLA!D7</f>
        <v>B. Pinczehelyi</v>
      </c>
      <c r="B5" s="165">
        <f>PLANTILLA!E7</f>
        <v>30</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A15</f>
        <v>E. Gross</v>
      </c>
      <c r="P5" s="386">
        <f>E15</f>
        <v>9</v>
      </c>
      <c r="Q5" s="386">
        <f t="shared" ref="Q5:S5" si="16">F15</f>
        <v>9.1</v>
      </c>
      <c r="R5" s="386">
        <f t="shared" si="16"/>
        <v>3</v>
      </c>
      <c r="S5" s="386">
        <f t="shared" si="16"/>
        <v>3.99</v>
      </c>
      <c r="V5" s="180" t="str">
        <f t="shared" si="11"/>
        <v>E. Gross</v>
      </c>
      <c r="W5" s="386">
        <f t="shared" si="12"/>
        <v>9</v>
      </c>
      <c r="X5" s="386">
        <f t="shared" si="13"/>
        <v>9.1</v>
      </c>
      <c r="Y5" s="386">
        <f t="shared" si="14"/>
        <v>3</v>
      </c>
      <c r="Z5" s="386">
        <f t="shared" si="15"/>
        <v>3.99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A5</f>
        <v>B. Pinczehelyi</v>
      </c>
      <c r="P6" s="386">
        <f>E5</f>
        <v>14</v>
      </c>
      <c r="Q6" s="386">
        <f t="shared" ref="Q6:S6" si="17">F5</f>
        <v>14.1</v>
      </c>
      <c r="R6" s="386">
        <f t="shared" si="17"/>
        <v>2</v>
      </c>
      <c r="S6" s="386">
        <f t="shared" si="17"/>
        <v>2.99</v>
      </c>
      <c r="V6" s="180" t="str">
        <f t="shared" si="11"/>
        <v>B. Pinczehelyi</v>
      </c>
      <c r="W6" s="386">
        <f t="shared" si="12"/>
        <v>14</v>
      </c>
      <c r="X6" s="386">
        <f t="shared" si="13"/>
        <v>14.1</v>
      </c>
      <c r="Y6" s="386">
        <f t="shared" si="14"/>
        <v>2</v>
      </c>
      <c r="Z6" s="386">
        <f t="shared" si="15"/>
        <v>2.99</v>
      </c>
    </row>
    <row r="7" spans="1:26" x14ac:dyDescent="0.25">
      <c r="A7" s="389" t="str">
        <f>PLANTILLA!D9</f>
        <v>E. Toney</v>
      </c>
      <c r="B7" s="165">
        <f>PLANTILLA!E9</f>
        <v>31</v>
      </c>
      <c r="C7" s="165">
        <f>PLANTILLA!H9</f>
        <v>4</v>
      </c>
      <c r="D7" s="391">
        <f>PLANTILLA!I9</f>
        <v>12.1</v>
      </c>
      <c r="E7" s="384">
        <f t="shared" si="4"/>
        <v>12.1</v>
      </c>
      <c r="F7" s="384">
        <f t="shared" si="5"/>
        <v>12.2</v>
      </c>
      <c r="G7" s="384">
        <f t="shared" si="6"/>
        <v>4</v>
      </c>
      <c r="H7" s="384">
        <f t="shared" si="7"/>
        <v>4.99</v>
      </c>
      <c r="I7" s="388">
        <f t="shared" si="8"/>
        <v>193.6</v>
      </c>
      <c r="J7" s="388">
        <f t="shared" si="9"/>
        <v>303.78122000000002</v>
      </c>
      <c r="K7" s="385"/>
      <c r="O7" t="str">
        <f>A10</f>
        <v>E. Romweber</v>
      </c>
      <c r="P7" s="386">
        <f>E10</f>
        <v>12.2</v>
      </c>
      <c r="Q7" s="386">
        <f t="shared" ref="Q7:S7" si="18">F10</f>
        <v>12.299999999999999</v>
      </c>
      <c r="R7" s="386">
        <f t="shared" si="18"/>
        <v>0</v>
      </c>
      <c r="S7" s="386">
        <f t="shared" si="18"/>
        <v>0.99</v>
      </c>
      <c r="V7" s="180" t="str">
        <f t="shared" si="11"/>
        <v>E. Romweber</v>
      </c>
      <c r="W7" s="386">
        <f t="shared" si="12"/>
        <v>12.2</v>
      </c>
      <c r="X7" s="386">
        <f t="shared" si="13"/>
        <v>12.299999999999999</v>
      </c>
      <c r="Y7" s="386">
        <f t="shared" si="14"/>
        <v>0</v>
      </c>
      <c r="Z7" s="386">
        <f t="shared" si="15"/>
        <v>0.99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A13</f>
        <v>S. Buschelman</v>
      </c>
      <c r="P8" s="386">
        <f>E13</f>
        <v>10.4</v>
      </c>
      <c r="Q8" s="386">
        <f t="shared" ref="Q8:S8" si="19">F13</f>
        <v>10.5</v>
      </c>
      <c r="R8" s="386">
        <f t="shared" si="19"/>
        <v>3</v>
      </c>
      <c r="S8" s="386">
        <f t="shared" si="19"/>
        <v>3.99</v>
      </c>
      <c r="V8" s="180" t="str">
        <f t="shared" si="11"/>
        <v>S. Buschelman</v>
      </c>
      <c r="W8" s="386">
        <f t="shared" si="12"/>
        <v>10.4</v>
      </c>
      <c r="X8" s="386">
        <f t="shared" si="13"/>
        <v>10.5</v>
      </c>
      <c r="Y8" s="386">
        <f t="shared" si="14"/>
        <v>3</v>
      </c>
      <c r="Z8" s="386">
        <f t="shared" si="15"/>
        <v>3.99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A16</f>
        <v>L. Bauman</v>
      </c>
      <c r="P9" s="386">
        <f>E16</f>
        <v>8</v>
      </c>
      <c r="Q9" s="386">
        <f t="shared" ref="Q9:S9" si="20">F16</f>
        <v>8.1</v>
      </c>
      <c r="R9" s="386">
        <f t="shared" si="20"/>
        <v>0</v>
      </c>
      <c r="S9" s="386">
        <f t="shared" si="20"/>
        <v>0.99</v>
      </c>
      <c r="V9" s="180" t="str">
        <f t="shared" si="11"/>
        <v>L. Bauman</v>
      </c>
      <c r="W9" s="386">
        <f t="shared" si="12"/>
        <v>8</v>
      </c>
      <c r="X9" s="386">
        <f t="shared" si="13"/>
        <v>8.1</v>
      </c>
      <c r="Y9" s="386">
        <f t="shared" si="14"/>
        <v>0</v>
      </c>
      <c r="Z9" s="386">
        <f t="shared" si="15"/>
        <v>0.99</v>
      </c>
    </row>
    <row r="10" spans="1:26" x14ac:dyDescent="0.25">
      <c r="A10" s="389" t="str">
        <f>PLANTILLA!D12</f>
        <v>E. Romweber</v>
      </c>
      <c r="B10" s="165">
        <f>PLANTILLA!E12</f>
        <v>30</v>
      </c>
      <c r="C10" s="165">
        <f>PLANTILLA!H12</f>
        <v>0</v>
      </c>
      <c r="D10" s="391">
        <f>PLANTILLA!I12</f>
        <v>12.2</v>
      </c>
      <c r="E10" s="384">
        <f t="shared" si="4"/>
        <v>12.2</v>
      </c>
      <c r="F10" s="384">
        <f t="shared" si="5"/>
        <v>12.299999999999999</v>
      </c>
      <c r="G10" s="384">
        <f t="shared" si="6"/>
        <v>0</v>
      </c>
      <c r="H10" s="384">
        <f t="shared" si="7"/>
        <v>0.99</v>
      </c>
      <c r="I10" s="388">
        <f t="shared" si="8"/>
        <v>0</v>
      </c>
      <c r="J10" s="388">
        <f t="shared" si="9"/>
        <v>12.055229999999998</v>
      </c>
      <c r="K10" s="385"/>
      <c r="O10" t="str">
        <f>A14</f>
        <v>C. Rojas</v>
      </c>
      <c r="P10" s="386">
        <f>E14</f>
        <v>11</v>
      </c>
      <c r="Q10" s="386">
        <f t="shared" ref="Q10:S10" si="21">F14</f>
        <v>11.1</v>
      </c>
      <c r="R10" s="386">
        <f t="shared" si="21"/>
        <v>4</v>
      </c>
      <c r="S10" s="386">
        <f t="shared" si="21"/>
        <v>4.99</v>
      </c>
      <c r="V10" s="180" t="str">
        <f t="shared" si="11"/>
        <v>C. Rojas</v>
      </c>
      <c r="W10" s="386">
        <f t="shared" si="12"/>
        <v>11</v>
      </c>
      <c r="X10" s="386">
        <f t="shared" si="13"/>
        <v>11.1</v>
      </c>
      <c r="Y10" s="386">
        <f t="shared" si="14"/>
        <v>4</v>
      </c>
      <c r="Z10" s="386">
        <f t="shared" si="15"/>
        <v>4.99</v>
      </c>
    </row>
    <row r="11" spans="1:26" x14ac:dyDescent="0.25">
      <c r="A11" s="389" t="str">
        <f>PLANTILLA!D13</f>
        <v>K. Helms</v>
      </c>
      <c r="B11" s="165">
        <f>PLANTILLA!E13</f>
        <v>30</v>
      </c>
      <c r="C11" s="165">
        <f>PLANTILLA!H13</f>
        <v>2</v>
      </c>
      <c r="D11" s="391">
        <f>PLANTILLA!I13</f>
        <v>10.199999999999999</v>
      </c>
      <c r="E11" s="384">
        <f t="shared" si="4"/>
        <v>10.199999999999999</v>
      </c>
      <c r="F11" s="384">
        <f t="shared" si="5"/>
        <v>10.299999999999999</v>
      </c>
      <c r="G11" s="384">
        <f t="shared" si="6"/>
        <v>2</v>
      </c>
      <c r="H11" s="384">
        <f t="shared" si="7"/>
        <v>2.99</v>
      </c>
      <c r="I11" s="388">
        <f t="shared" si="8"/>
        <v>40.799999999999997</v>
      </c>
      <c r="J11" s="388">
        <f t="shared" si="9"/>
        <v>92.083030000000008</v>
      </c>
      <c r="K11" s="385"/>
      <c r="O11" t="str">
        <f>A11</f>
        <v>K. Helms</v>
      </c>
      <c r="P11" s="386">
        <f>E11</f>
        <v>10.199999999999999</v>
      </c>
      <c r="Q11" s="386">
        <f t="shared" ref="Q11:S11" si="22">F11</f>
        <v>10.299999999999999</v>
      </c>
      <c r="R11" s="386">
        <f t="shared" si="22"/>
        <v>2</v>
      </c>
      <c r="S11" s="386">
        <f t="shared" si="22"/>
        <v>2.99</v>
      </c>
      <c r="V11" s="180" t="str">
        <f t="shared" si="11"/>
        <v>K. Helms</v>
      </c>
      <c r="W11" s="386">
        <f t="shared" si="12"/>
        <v>10.199999999999999</v>
      </c>
      <c r="X11" s="386">
        <f t="shared" si="13"/>
        <v>10.299999999999999</v>
      </c>
      <c r="Y11" s="386">
        <f t="shared" si="14"/>
        <v>2</v>
      </c>
      <c r="Z11" s="386">
        <f t="shared" si="15"/>
        <v>2.99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L. Calosso</v>
      </c>
      <c r="P12" s="386">
        <f>E21</f>
        <v>10.1</v>
      </c>
      <c r="Q12" s="386">
        <f t="shared" ref="Q12:S12" si="23">F21</f>
        <v>10.199999999999999</v>
      </c>
      <c r="R12" s="386">
        <f t="shared" si="23"/>
        <v>3</v>
      </c>
      <c r="S12" s="386">
        <f t="shared" si="23"/>
        <v>3.99</v>
      </c>
      <c r="V12" s="180" t="str">
        <f t="shared" si="11"/>
        <v>L. Calosso</v>
      </c>
      <c r="W12" s="386">
        <f t="shared" si="12"/>
        <v>10.1</v>
      </c>
      <c r="X12" s="386">
        <f t="shared" si="13"/>
        <v>10.199999999999999</v>
      </c>
      <c r="Y12" s="386">
        <f t="shared" si="14"/>
        <v>3</v>
      </c>
      <c r="Z12" s="386">
        <f t="shared" si="15"/>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A20</f>
        <v>J. Limon</v>
      </c>
      <c r="P13" s="386">
        <f>E20</f>
        <v>10</v>
      </c>
      <c r="Q13" s="386">
        <f t="shared" ref="Q13:S13" si="24">F20</f>
        <v>10.1</v>
      </c>
      <c r="R13" s="386">
        <f t="shared" si="24"/>
        <v>3</v>
      </c>
      <c r="S13" s="386">
        <f t="shared" si="24"/>
        <v>3.99</v>
      </c>
      <c r="V13" s="180" t="str">
        <f t="shared" si="11"/>
        <v>J. Limon</v>
      </c>
      <c r="W13" s="386">
        <f t="shared" si="12"/>
        <v>10</v>
      </c>
      <c r="X13" s="386">
        <f t="shared" si="13"/>
        <v>10.1</v>
      </c>
      <c r="Y13" s="386">
        <f t="shared" si="14"/>
        <v>3</v>
      </c>
      <c r="Z13" s="386">
        <f t="shared" si="15"/>
        <v>3.99</v>
      </c>
    </row>
    <row r="14" spans="1:26" x14ac:dyDescent="0.25">
      <c r="A14" s="389" t="str">
        <f>PLANTILLA!D16</f>
        <v>C. Rojas</v>
      </c>
      <c r="B14" s="165">
        <f>PLANTILLA!E16</f>
        <v>31</v>
      </c>
      <c r="C14" s="165">
        <f>PLANTILLA!H16</f>
        <v>4</v>
      </c>
      <c r="D14" s="391">
        <f>PLANTILLA!I16</f>
        <v>11</v>
      </c>
      <c r="E14" s="384">
        <f t="shared" si="4"/>
        <v>11</v>
      </c>
      <c r="F14" s="384">
        <f t="shared" si="5"/>
        <v>11.1</v>
      </c>
      <c r="G14" s="384">
        <f t="shared" si="6"/>
        <v>4</v>
      </c>
      <c r="H14" s="384">
        <f t="shared" si="7"/>
        <v>4.99</v>
      </c>
      <c r="I14" s="388">
        <f t="shared" si="8"/>
        <v>176</v>
      </c>
      <c r="J14" s="388">
        <f t="shared" si="9"/>
        <v>276.39111000000003</v>
      </c>
      <c r="K14" s="385"/>
      <c r="P14" s="159">
        <f>SUM(P4:P13)/10</f>
        <v>10.7</v>
      </c>
      <c r="Q14" s="159">
        <f>SUM(Q4:Q13)/10</f>
        <v>10.799999999999999</v>
      </c>
      <c r="R14" s="159"/>
      <c r="S14" s="159"/>
      <c r="W14" s="159">
        <f>SUM(W4:W13)/10</f>
        <v>10.7</v>
      </c>
      <c r="X14" s="159">
        <f>SUM(X4:X13)/10</f>
        <v>10.799999999999999</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8</v>
      </c>
      <c r="E16" s="384">
        <f t="shared" si="4"/>
        <v>8</v>
      </c>
      <c r="F16" s="384">
        <f t="shared" si="5"/>
        <v>8.1</v>
      </c>
      <c r="G16" s="384">
        <f t="shared" si="6"/>
        <v>0</v>
      </c>
      <c r="H16" s="384">
        <f t="shared" si="7"/>
        <v>0.99</v>
      </c>
      <c r="I16" s="388">
        <f t="shared" si="8"/>
        <v>0</v>
      </c>
      <c r="J16" s="388">
        <f t="shared" si="9"/>
        <v>7.9388099999999993</v>
      </c>
      <c r="K16" s="385"/>
      <c r="L16" s="202" t="s">
        <v>613</v>
      </c>
      <c r="O16" t="s">
        <v>614</v>
      </c>
      <c r="P16" s="290">
        <f>SUM(P3:P13)</f>
        <v>125</v>
      </c>
      <c r="Q16" s="290">
        <f>SUM(Q3:Q13)</f>
        <v>126.09999999999998</v>
      </c>
      <c r="R16" s="290"/>
      <c r="V16" s="180" t="s">
        <v>614</v>
      </c>
      <c r="W16" s="290">
        <f>SUM(W3:W13)</f>
        <v>125</v>
      </c>
      <c r="X16" s="290">
        <f>SUM(X3:X13)</f>
        <v>126.09999999999998</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s="345" t="s">
        <v>1038</v>
      </c>
      <c r="P17" s="159">
        <f>P16/16.5</f>
        <v>7.5757575757575761</v>
      </c>
      <c r="Q17" s="159">
        <f>Q16/16.5</f>
        <v>7.6424242424242408</v>
      </c>
      <c r="R17" s="159"/>
      <c r="V17" s="180" t="s">
        <v>615</v>
      </c>
      <c r="W17" s="159">
        <f>W16/17</f>
        <v>7.3529411764705879</v>
      </c>
      <c r="X17" s="159">
        <f>X16/17</f>
        <v>7.4176470588235279</v>
      </c>
      <c r="Y17" s="159"/>
    </row>
    <row r="18" spans="1:25" x14ac:dyDescent="0.25">
      <c r="A18" s="389" t="str">
        <f>PLANTILLA!D20</f>
        <v>M. Amico</v>
      </c>
      <c r="B18" s="165">
        <f>PLANTILLA!E20</f>
        <v>28</v>
      </c>
      <c r="C18" s="165">
        <f>PLANTILLA!H20</f>
        <v>4</v>
      </c>
      <c r="D18" s="391">
        <f>PLANTILLA!I20</f>
        <v>1.2</v>
      </c>
      <c r="E18" s="384">
        <f t="shared" ref="E18" si="25">D18</f>
        <v>1.2</v>
      </c>
      <c r="F18" s="384">
        <f t="shared" ref="F18" si="26">E18+0.1</f>
        <v>1.3</v>
      </c>
      <c r="G18" s="384">
        <f t="shared" ref="G18" si="27">C18</f>
        <v>4</v>
      </c>
      <c r="H18" s="384">
        <f t="shared" ref="H18" si="28">G18+0.99</f>
        <v>4.99</v>
      </c>
      <c r="I18" s="388">
        <f t="shared" ref="I18" si="29">G18*G18*E18</f>
        <v>19.2</v>
      </c>
      <c r="J18" s="388">
        <f t="shared" ref="J18" si="30">H18*H18*F18</f>
        <v>32.370130000000003</v>
      </c>
      <c r="K18" s="385"/>
      <c r="L18" s="202" t="s">
        <v>616</v>
      </c>
      <c r="O18" s="264" t="s">
        <v>617</v>
      </c>
      <c r="P18" s="290">
        <f>R3^2</f>
        <v>36</v>
      </c>
      <c r="Q18" s="290">
        <f>S3^2</f>
        <v>48.860100000000003</v>
      </c>
      <c r="R18" s="290"/>
      <c r="V18" s="180" t="s">
        <v>617</v>
      </c>
      <c r="W18" s="290">
        <f>Y3^2</f>
        <v>36</v>
      </c>
      <c r="X18" s="290">
        <f>Z3^2</f>
        <v>48.860100000000003</v>
      </c>
      <c r="Y18" s="290"/>
    </row>
    <row r="19" spans="1:25" x14ac:dyDescent="0.25">
      <c r="A19" s="389" t="str">
        <f>PLANTILLA!D21</f>
        <v>G. Kerschl</v>
      </c>
      <c r="B19" s="165">
        <f>PLANTILLA!E21</f>
        <v>28</v>
      </c>
      <c r="C19" s="165">
        <f>PLANTILLA!H21</f>
        <v>1</v>
      </c>
      <c r="D19" s="391">
        <f>PLANTILLA!I21</f>
        <v>8.6</v>
      </c>
      <c r="E19" s="384">
        <f t="shared" ref="E19" si="31">D19</f>
        <v>8.6</v>
      </c>
      <c r="F19" s="384">
        <f t="shared" ref="F19" si="32">E19+0.1</f>
        <v>8.6999999999999993</v>
      </c>
      <c r="G19" s="384">
        <f t="shared" ref="G19" si="33">C19</f>
        <v>1</v>
      </c>
      <c r="H19" s="384">
        <f t="shared" ref="H19" si="34">G19+0.99</f>
        <v>1.99</v>
      </c>
      <c r="I19" s="388">
        <f t="shared" ref="I19" si="35">G19*G19*E19</f>
        <v>8.6</v>
      </c>
      <c r="J19" s="388">
        <f t="shared" ref="J19" si="36">H19*H19*F19</f>
        <v>34.452869999999997</v>
      </c>
      <c r="K19" s="385"/>
      <c r="L19" s="202" t="s">
        <v>618</v>
      </c>
      <c r="O19" s="264" t="s">
        <v>619</v>
      </c>
      <c r="P19" s="290">
        <f>P18*P3</f>
        <v>648</v>
      </c>
      <c r="Q19" s="290">
        <f>Q18*Q3</f>
        <v>884.36781000000008</v>
      </c>
      <c r="R19" s="290"/>
      <c r="V19" s="180" t="s">
        <v>619</v>
      </c>
      <c r="W19" s="290">
        <f>W18*W3</f>
        <v>648</v>
      </c>
      <c r="X19" s="290">
        <f>X18*X3</f>
        <v>884.36781000000008</v>
      </c>
      <c r="Y19" s="290"/>
    </row>
    <row r="20" spans="1:25" x14ac:dyDescent="0.25">
      <c r="A20" s="389" t="str">
        <f>PLANTILLA!D22</f>
        <v>J. Limon</v>
      </c>
      <c r="B20" s="165">
        <f>PLANTILLA!E22</f>
        <v>29</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s="345" t="s">
        <v>1039</v>
      </c>
      <c r="P20" s="159">
        <f>(P19^(2/3))/27</f>
        <v>2.7734450974025369</v>
      </c>
      <c r="Q20" s="159">
        <f>(Q19^(2/3))/27</f>
        <v>3.4123862768974713</v>
      </c>
      <c r="R20" s="159"/>
      <c r="V20" s="180" t="s">
        <v>621</v>
      </c>
      <c r="W20" s="159">
        <f>(W19^(2/3))/30</f>
        <v>2.496100587662283</v>
      </c>
      <c r="X20" s="159">
        <f>(X19^(2/3))/30</f>
        <v>3.0711476492077243</v>
      </c>
      <c r="Y20" s="159"/>
    </row>
    <row r="21" spans="1:25" x14ac:dyDescent="0.25">
      <c r="A21" s="389" t="str">
        <f>PLANTILLA!D23</f>
        <v>L. Calosso</v>
      </c>
      <c r="B21" s="165">
        <f>PLANTILLA!E23</f>
        <v>30</v>
      </c>
      <c r="C21" s="165">
        <f>PLANTILLA!H23</f>
        <v>3</v>
      </c>
      <c r="D21" s="391">
        <f>PLANTILLA!I23</f>
        <v>10.1</v>
      </c>
      <c r="E21" s="384">
        <f t="shared" si="4"/>
        <v>10.1</v>
      </c>
      <c r="F21" s="384">
        <f t="shared" si="5"/>
        <v>10.199999999999999</v>
      </c>
      <c r="G21" s="384">
        <f t="shared" si="6"/>
        <v>3</v>
      </c>
      <c r="H21" s="384">
        <f t="shared" si="7"/>
        <v>3.99</v>
      </c>
      <c r="I21" s="388">
        <f t="shared" si="8"/>
        <v>90.899999999999991</v>
      </c>
      <c r="J21" s="388">
        <f t="shared" si="9"/>
        <v>162.38502</v>
      </c>
      <c r="K21" s="385"/>
      <c r="L21" s="202" t="s">
        <v>622</v>
      </c>
      <c r="O21" s="180" t="s">
        <v>623</v>
      </c>
      <c r="P21" s="705">
        <f>P17+P20</f>
        <v>10.349202673160113</v>
      </c>
      <c r="Q21" s="705">
        <f>Q17+Q20</f>
        <v>11.054810519321713</v>
      </c>
      <c r="V21" s="180" t="s">
        <v>623</v>
      </c>
      <c r="W21" s="705">
        <f>W17+W20</f>
        <v>9.8490417641328705</v>
      </c>
      <c r="X21" s="705">
        <f>X17+X20</f>
        <v>10.488794708031252</v>
      </c>
    </row>
    <row r="22" spans="1:25" x14ac:dyDescent="0.25">
      <c r="A22" s="389" t="str">
        <f>PLANTILLA!D24</f>
        <v>P .Trivadi</v>
      </c>
      <c r="B22" s="165">
        <f>PLANTILLA!E24</f>
        <v>26</v>
      </c>
      <c r="C22" s="165">
        <f>PLANTILLA!H24</f>
        <v>5</v>
      </c>
      <c r="D22" s="391">
        <f>PLANTILLA!I24</f>
        <v>5.3</v>
      </c>
      <c r="E22" s="384">
        <f t="shared" si="4"/>
        <v>5.3</v>
      </c>
      <c r="F22" s="384">
        <f t="shared" si="5"/>
        <v>5.3999999999999995</v>
      </c>
      <c r="G22" s="384">
        <f t="shared" si="6"/>
        <v>5</v>
      </c>
      <c r="H22" s="384">
        <f t="shared" si="7"/>
        <v>5.99</v>
      </c>
      <c r="I22" s="388">
        <f t="shared" si="8"/>
        <v>132.5</v>
      </c>
      <c r="J22" s="388">
        <f t="shared" si="9"/>
        <v>193.75254000000001</v>
      </c>
      <c r="K22" s="385"/>
      <c r="L22" t="s">
        <v>624</v>
      </c>
    </row>
    <row r="23" spans="1:25" x14ac:dyDescent="0.25">
      <c r="A23" s="389"/>
      <c r="B23" s="165"/>
      <c r="C23" s="165"/>
      <c r="D23" s="391"/>
      <c r="E23" s="384"/>
      <c r="F23" s="384"/>
      <c r="G23" s="384"/>
      <c r="H23" s="384"/>
      <c r="I23" s="388"/>
      <c r="J23" s="388"/>
      <c r="K23" s="385"/>
      <c r="O23" s="317">
        <v>42576</v>
      </c>
      <c r="P23">
        <v>6.76</v>
      </c>
      <c r="Q23">
        <v>6.99</v>
      </c>
      <c r="R23" t="s">
        <v>994</v>
      </c>
      <c r="W23" s="159"/>
    </row>
    <row r="24" spans="1:25" x14ac:dyDescent="0.25">
      <c r="A24" s="389"/>
      <c r="B24" s="165"/>
      <c r="C24" s="165"/>
      <c r="D24" s="391"/>
      <c r="E24" s="384"/>
      <c r="F24" s="384"/>
      <c r="G24" s="384"/>
      <c r="H24" s="384"/>
      <c r="I24" s="388"/>
      <c r="J24" s="388"/>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row r="28" spans="1:25" x14ac:dyDescent="0.25">
      <c r="A28" s="389"/>
      <c r="B28" s="165"/>
      <c r="C28" s="165"/>
      <c r="D28" s="39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810</v>
      </c>
      <c r="D1" s="4" t="s">
        <v>442</v>
      </c>
      <c r="E1" s="4" t="s">
        <v>814</v>
      </c>
      <c r="F1" s="4" t="s">
        <v>815</v>
      </c>
      <c r="G1" s="4" t="s">
        <v>816</v>
      </c>
      <c r="H1" s="4" t="s">
        <v>17</v>
      </c>
      <c r="I1" s="4" t="s">
        <v>817</v>
      </c>
      <c r="K1" s="4" t="s">
        <v>442</v>
      </c>
      <c r="L1" s="4" t="s">
        <v>814</v>
      </c>
      <c r="M1" s="4" t="s">
        <v>815</v>
      </c>
      <c r="N1" s="4" t="s">
        <v>816</v>
      </c>
      <c r="O1" s="4" t="s">
        <v>17</v>
      </c>
      <c r="P1" s="4" t="s">
        <v>817</v>
      </c>
    </row>
    <row r="2" spans="1:16" x14ac:dyDescent="0.25">
      <c r="A2">
        <v>3.5</v>
      </c>
      <c r="B2" t="s">
        <v>811</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813</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812</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728</v>
      </c>
      <c r="N1" s="451" t="s">
        <v>729</v>
      </c>
      <c r="O1" s="451" t="s">
        <v>802</v>
      </c>
      <c r="P1" s="451" t="s">
        <v>726</v>
      </c>
      <c r="Q1" s="451" t="s">
        <v>732</v>
      </c>
      <c r="R1" s="451" t="s">
        <v>733</v>
      </c>
      <c r="S1" s="451" t="s">
        <v>727</v>
      </c>
      <c r="T1" s="451" t="s">
        <v>630</v>
      </c>
      <c r="U1" s="451" t="s">
        <v>730</v>
      </c>
      <c r="V1" s="451" t="s">
        <v>731</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57342.857142857145</v>
      </c>
      <c r="S2" s="246">
        <v>2068800</v>
      </c>
      <c r="T2" s="246">
        <f ca="1">S2+Q2+P2+R2</f>
        <v>2904785.7142857146</v>
      </c>
      <c r="U2" s="251">
        <f ca="1">T2/((O2-N2)/112)</f>
        <v>566787.45644599304</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728</v>
      </c>
      <c r="N3" s="451" t="s">
        <v>729</v>
      </c>
      <c r="O3" s="451" t="s">
        <v>802</v>
      </c>
      <c r="P3" s="451" t="s">
        <v>726</v>
      </c>
      <c r="Q3" s="451" t="s">
        <v>732</v>
      </c>
      <c r="R3" s="451" t="s">
        <v>733</v>
      </c>
      <c r="S3" s="451" t="s">
        <v>727</v>
      </c>
      <c r="T3" s="451" t="s">
        <v>630</v>
      </c>
      <c r="U3" s="451" t="s">
        <v>730</v>
      </c>
      <c r="V3" s="451" t="s">
        <v>731</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32742.857142857141</v>
      </c>
      <c r="S4" s="246">
        <v>2059800</v>
      </c>
      <c r="T4" s="246">
        <f>S4+Q4+P4</f>
        <v>3126540</v>
      </c>
      <c r="U4" s="251">
        <f>T4/((O4-N4)/112)</f>
        <v>580717.21393034828</v>
      </c>
      <c r="V4" s="163">
        <f ca="1">(A7-N4)/112</f>
        <v>6.8214285714285712</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43069</v>
      </c>
    </row>
    <row r="8" spans="1:22" x14ac:dyDescent="0.25">
      <c r="A8" s="178">
        <v>41757</v>
      </c>
    </row>
    <row r="9" spans="1:22" x14ac:dyDescent="0.25">
      <c r="A9" s="180">
        <f ca="1">A7-A8</f>
        <v>1312</v>
      </c>
    </row>
    <row r="10" spans="1:22" x14ac:dyDescent="0.25">
      <c r="A10" s="449">
        <f ca="1">A9/112</f>
        <v>11.714285714285714</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728</v>
      </c>
      <c r="N12" s="451" t="s">
        <v>729</v>
      </c>
      <c r="O12" s="451" t="s">
        <v>802</v>
      </c>
      <c r="P12" s="451" t="s">
        <v>726</v>
      </c>
      <c r="Q12" s="451" t="s">
        <v>732</v>
      </c>
      <c r="R12" s="451" t="s">
        <v>733</v>
      </c>
      <c r="S12" s="451" t="s">
        <v>727</v>
      </c>
      <c r="T12" s="451" t="s">
        <v>630</v>
      </c>
      <c r="U12" s="451" t="s">
        <v>730</v>
      </c>
      <c r="V12" s="451" t="s">
        <v>731</v>
      </c>
    </row>
    <row r="13" spans="1:22" x14ac:dyDescent="0.25">
      <c r="D13" s="321" t="s">
        <v>1008</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43069</v>
      </c>
      <c r="P13" s="656">
        <v>1800000</v>
      </c>
      <c r="Q13" s="246">
        <v>372</v>
      </c>
      <c r="R13" s="246">
        <f t="shared" ref="R13" ca="1" si="4">((TODAY()-N13)/7)*L13</f>
        <v>19872</v>
      </c>
      <c r="S13" s="656">
        <v>2553000</v>
      </c>
      <c r="T13" s="246">
        <f t="shared" ref="T13" si="5">S13+Q13+P13</f>
        <v>4353372</v>
      </c>
      <c r="U13" s="251">
        <f t="shared" ref="U13" ca="1" si="6">T13/((O13-N13)/112)</f>
        <v>3028432.6956521738</v>
      </c>
      <c r="V13" s="163">
        <v>7</v>
      </c>
    </row>
    <row r="17" spans="1:22" ht="18" x14ac:dyDescent="0.25">
      <c r="A17" s="641">
        <v>42908</v>
      </c>
      <c r="B17" s="317"/>
      <c r="C17">
        <v>112</v>
      </c>
      <c r="D17">
        <v>0</v>
      </c>
    </row>
    <row r="18" spans="1:22" x14ac:dyDescent="0.25">
      <c r="A18" s="317">
        <f ca="1">TODAY()</f>
        <v>43069</v>
      </c>
      <c r="B18" s="317"/>
      <c r="C18">
        <v>400</v>
      </c>
      <c r="D18">
        <v>1</v>
      </c>
    </row>
    <row r="19" spans="1:22" x14ac:dyDescent="0.25">
      <c r="A19">
        <f ca="1">A18-A17</f>
        <v>161</v>
      </c>
      <c r="C19">
        <f>C18-C17</f>
        <v>288</v>
      </c>
      <c r="D19" s="642">
        <f ca="1">(A19-C17)/C19</f>
        <v>0.1701388888888889</v>
      </c>
    </row>
    <row r="20" spans="1:22" x14ac:dyDescent="0.25">
      <c r="D20" t="s">
        <v>1029</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728</v>
      </c>
      <c r="N24" s="451" t="s">
        <v>729</v>
      </c>
      <c r="O24" s="451" t="s">
        <v>802</v>
      </c>
      <c r="P24" s="451" t="s">
        <v>726</v>
      </c>
      <c r="Q24" s="451" t="s">
        <v>732</v>
      </c>
      <c r="R24" s="451" t="s">
        <v>733</v>
      </c>
      <c r="S24" s="451" t="s">
        <v>727</v>
      </c>
      <c r="T24" s="451" t="s">
        <v>630</v>
      </c>
      <c r="U24" s="451" t="s">
        <v>730</v>
      </c>
      <c r="V24" s="451" t="s">
        <v>731</v>
      </c>
    </row>
    <row r="28" spans="1:22" ht="19.5" x14ac:dyDescent="0.25">
      <c r="A28" s="720" t="s">
        <v>366</v>
      </c>
      <c r="B28" s="720"/>
      <c r="C28" s="720"/>
      <c r="D28" s="720"/>
    </row>
    <row r="29" spans="1:22" x14ac:dyDescent="0.25">
      <c r="A29" s="721" t="s">
        <v>297</v>
      </c>
      <c r="B29" s="722" t="s">
        <v>367</v>
      </c>
      <c r="C29" s="722" t="s">
        <v>368</v>
      </c>
      <c r="D29" s="722" t="s">
        <v>369</v>
      </c>
    </row>
    <row r="30" spans="1:22" x14ac:dyDescent="0.25">
      <c r="A30" s="721"/>
      <c r="B30" s="722"/>
      <c r="C30" s="722"/>
      <c r="D30" s="722"/>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7" workbookViewId="0">
      <selection activeCell="Q36" sqref="Q3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900</v>
      </c>
      <c r="B1" s="4" t="s">
        <v>897</v>
      </c>
      <c r="C1" s="4" t="s">
        <v>898</v>
      </c>
      <c r="D1" s="4" t="s">
        <v>876</v>
      </c>
      <c r="E1" s="4" t="s">
        <v>899</v>
      </c>
      <c r="G1" s="4" t="s">
        <v>879</v>
      </c>
      <c r="H1" s="4" t="s">
        <v>897</v>
      </c>
      <c r="I1" s="4" t="s">
        <v>898</v>
      </c>
      <c r="J1" s="4" t="s">
        <v>876</v>
      </c>
      <c r="K1" s="4" t="s">
        <v>899</v>
      </c>
      <c r="M1" s="4" t="s">
        <v>581</v>
      </c>
      <c r="N1" s="4" t="s">
        <v>897</v>
      </c>
      <c r="O1" s="4" t="s">
        <v>898</v>
      </c>
      <c r="P1" s="4" t="s">
        <v>876</v>
      </c>
      <c r="Q1" s="4" t="s">
        <v>899</v>
      </c>
      <c r="S1" s="4" t="s">
        <v>64</v>
      </c>
      <c r="T1" s="4" t="s">
        <v>897</v>
      </c>
      <c r="U1" s="4" t="s">
        <v>898</v>
      </c>
      <c r="V1" s="4" t="s">
        <v>876</v>
      </c>
      <c r="W1" s="4" t="s">
        <v>899</v>
      </c>
    </row>
    <row r="2" spans="1:23" x14ac:dyDescent="0.25">
      <c r="A2" t="s">
        <v>880</v>
      </c>
      <c r="B2">
        <v>2</v>
      </c>
      <c r="C2">
        <v>3</v>
      </c>
      <c r="D2">
        <v>1.5</v>
      </c>
      <c r="E2">
        <f>D2</f>
        <v>1.5</v>
      </c>
      <c r="G2" t="s">
        <v>880</v>
      </c>
      <c r="H2">
        <v>2</v>
      </c>
      <c r="I2">
        <v>3</v>
      </c>
      <c r="J2">
        <v>3</v>
      </c>
      <c r="K2">
        <f>J2</f>
        <v>3</v>
      </c>
      <c r="M2" t="s">
        <v>880</v>
      </c>
      <c r="N2">
        <v>2</v>
      </c>
      <c r="O2">
        <v>3</v>
      </c>
      <c r="P2">
        <v>3</v>
      </c>
      <c r="Q2">
        <f>P2</f>
        <v>3</v>
      </c>
      <c r="S2" t="s">
        <v>880</v>
      </c>
      <c r="T2">
        <v>2</v>
      </c>
      <c r="U2">
        <v>3</v>
      </c>
      <c r="V2">
        <v>1.5</v>
      </c>
      <c r="W2">
        <f>V2</f>
        <v>1.5</v>
      </c>
    </row>
    <row r="3" spans="1:23" x14ac:dyDescent="0.25">
      <c r="A3" t="s">
        <v>881</v>
      </c>
      <c r="B3">
        <v>3</v>
      </c>
      <c r="C3">
        <v>4</v>
      </c>
      <c r="D3">
        <v>2</v>
      </c>
      <c r="E3">
        <f>E2+D3</f>
        <v>3.5</v>
      </c>
      <c r="G3" t="s">
        <v>881</v>
      </c>
      <c r="H3">
        <v>3</v>
      </c>
      <c r="I3">
        <v>4</v>
      </c>
      <c r="J3">
        <v>3</v>
      </c>
      <c r="K3">
        <f>K2+J3</f>
        <v>6</v>
      </c>
      <c r="M3" t="s">
        <v>881</v>
      </c>
      <c r="N3">
        <v>3</v>
      </c>
      <c r="O3">
        <v>4</v>
      </c>
      <c r="P3">
        <v>3</v>
      </c>
      <c r="Q3">
        <f>Q2+P3</f>
        <v>6</v>
      </c>
      <c r="S3" t="s">
        <v>881</v>
      </c>
      <c r="T3">
        <v>3</v>
      </c>
      <c r="U3">
        <v>4</v>
      </c>
      <c r="V3">
        <v>2</v>
      </c>
      <c r="W3">
        <f>W2+V3</f>
        <v>3.5</v>
      </c>
    </row>
    <row r="4" spans="1:23" x14ac:dyDescent="0.25">
      <c r="A4" t="s">
        <v>882</v>
      </c>
      <c r="B4">
        <v>4</v>
      </c>
      <c r="C4">
        <v>5</v>
      </c>
      <c r="D4">
        <v>2</v>
      </c>
      <c r="E4">
        <f t="shared" ref="E4:E17" si="0">E3+D4</f>
        <v>5.5</v>
      </c>
      <c r="G4" t="s">
        <v>882</v>
      </c>
      <c r="H4">
        <v>4</v>
      </c>
      <c r="I4">
        <v>5</v>
      </c>
      <c r="J4">
        <v>4</v>
      </c>
      <c r="K4">
        <f t="shared" ref="K4:K17" si="1">K3+J4</f>
        <v>10</v>
      </c>
      <c r="M4" t="s">
        <v>882</v>
      </c>
      <c r="N4">
        <v>4</v>
      </c>
      <c r="O4">
        <v>5</v>
      </c>
      <c r="P4">
        <v>3</v>
      </c>
      <c r="Q4">
        <f t="shared" ref="Q4:Q17" si="2">Q3+P4</f>
        <v>9</v>
      </c>
      <c r="S4" t="s">
        <v>882</v>
      </c>
      <c r="T4">
        <v>4</v>
      </c>
      <c r="U4">
        <v>5</v>
      </c>
      <c r="V4">
        <v>2</v>
      </c>
      <c r="W4">
        <f t="shared" ref="W4:W17" si="3">W3+V4</f>
        <v>5.5</v>
      </c>
    </row>
    <row r="5" spans="1:23" x14ac:dyDescent="0.25">
      <c r="A5" t="s">
        <v>883</v>
      </c>
      <c r="B5">
        <v>5</v>
      </c>
      <c r="C5">
        <v>6</v>
      </c>
      <c r="D5">
        <v>2</v>
      </c>
      <c r="E5">
        <f t="shared" si="0"/>
        <v>7.5</v>
      </c>
      <c r="G5" t="s">
        <v>883</v>
      </c>
      <c r="H5">
        <v>5</v>
      </c>
      <c r="I5">
        <v>6</v>
      </c>
      <c r="J5">
        <v>4</v>
      </c>
      <c r="K5">
        <f t="shared" si="1"/>
        <v>14</v>
      </c>
      <c r="M5" t="s">
        <v>883</v>
      </c>
      <c r="N5">
        <v>5</v>
      </c>
      <c r="O5">
        <v>6</v>
      </c>
      <c r="P5">
        <v>3</v>
      </c>
      <c r="Q5">
        <f t="shared" si="2"/>
        <v>12</v>
      </c>
      <c r="S5" t="s">
        <v>883</v>
      </c>
      <c r="T5">
        <v>5</v>
      </c>
      <c r="U5">
        <v>6</v>
      </c>
      <c r="V5">
        <v>3</v>
      </c>
      <c r="W5">
        <f t="shared" si="3"/>
        <v>8.5</v>
      </c>
    </row>
    <row r="6" spans="1:23" x14ac:dyDescent="0.25">
      <c r="A6" t="s">
        <v>884</v>
      </c>
      <c r="B6">
        <v>6</v>
      </c>
      <c r="C6">
        <v>7</v>
      </c>
      <c r="D6">
        <v>3</v>
      </c>
      <c r="E6">
        <f t="shared" si="0"/>
        <v>10.5</v>
      </c>
      <c r="G6" t="s">
        <v>884</v>
      </c>
      <c r="H6">
        <v>6</v>
      </c>
      <c r="I6">
        <v>7</v>
      </c>
      <c r="J6">
        <v>4</v>
      </c>
      <c r="K6">
        <f t="shared" si="1"/>
        <v>18</v>
      </c>
      <c r="M6" t="s">
        <v>884</v>
      </c>
      <c r="N6">
        <v>6</v>
      </c>
      <c r="O6">
        <v>7</v>
      </c>
      <c r="P6">
        <v>4</v>
      </c>
      <c r="Q6">
        <f t="shared" si="2"/>
        <v>16</v>
      </c>
      <c r="S6" t="s">
        <v>884</v>
      </c>
      <c r="T6">
        <v>6</v>
      </c>
      <c r="U6">
        <v>7</v>
      </c>
      <c r="V6">
        <v>2</v>
      </c>
      <c r="W6">
        <f t="shared" si="3"/>
        <v>10.5</v>
      </c>
    </row>
    <row r="7" spans="1:23" x14ac:dyDescent="0.25">
      <c r="A7" t="s">
        <v>885</v>
      </c>
      <c r="B7">
        <v>7</v>
      </c>
      <c r="C7">
        <v>8</v>
      </c>
      <c r="D7">
        <v>3</v>
      </c>
      <c r="E7">
        <f t="shared" si="0"/>
        <v>13.5</v>
      </c>
      <c r="G7" t="s">
        <v>885</v>
      </c>
      <c r="H7">
        <v>7</v>
      </c>
      <c r="I7">
        <v>8</v>
      </c>
      <c r="J7">
        <v>6</v>
      </c>
      <c r="K7">
        <f t="shared" si="1"/>
        <v>24</v>
      </c>
      <c r="M7" t="s">
        <v>885</v>
      </c>
      <c r="N7">
        <v>7</v>
      </c>
      <c r="O7">
        <v>8</v>
      </c>
      <c r="P7">
        <v>5</v>
      </c>
      <c r="Q7">
        <f t="shared" si="2"/>
        <v>21</v>
      </c>
      <c r="S7" t="s">
        <v>885</v>
      </c>
      <c r="T7">
        <v>7</v>
      </c>
      <c r="U7">
        <v>8</v>
      </c>
      <c r="V7">
        <v>4</v>
      </c>
      <c r="W7">
        <f t="shared" si="3"/>
        <v>14.5</v>
      </c>
    </row>
    <row r="8" spans="1:23" x14ac:dyDescent="0.25">
      <c r="A8" t="s">
        <v>886</v>
      </c>
      <c r="B8">
        <v>8</v>
      </c>
      <c r="C8">
        <v>9</v>
      </c>
      <c r="D8">
        <v>3</v>
      </c>
      <c r="E8">
        <f t="shared" si="0"/>
        <v>16.5</v>
      </c>
      <c r="G8" t="s">
        <v>886</v>
      </c>
      <c r="H8">
        <v>8</v>
      </c>
      <c r="I8">
        <v>9</v>
      </c>
      <c r="J8">
        <v>6</v>
      </c>
      <c r="K8">
        <f t="shared" si="1"/>
        <v>30</v>
      </c>
      <c r="M8" t="s">
        <v>886</v>
      </c>
      <c r="N8">
        <v>8</v>
      </c>
      <c r="O8">
        <v>9</v>
      </c>
      <c r="P8">
        <v>5</v>
      </c>
      <c r="Q8">
        <f t="shared" si="2"/>
        <v>26</v>
      </c>
      <c r="S8" t="s">
        <v>886</v>
      </c>
      <c r="T8">
        <v>8</v>
      </c>
      <c r="U8">
        <v>9</v>
      </c>
      <c r="V8">
        <v>3</v>
      </c>
      <c r="W8">
        <f t="shared" si="3"/>
        <v>17.5</v>
      </c>
    </row>
    <row r="9" spans="1:23" x14ac:dyDescent="0.25">
      <c r="A9" t="s">
        <v>887</v>
      </c>
      <c r="B9">
        <v>9</v>
      </c>
      <c r="C9">
        <v>10</v>
      </c>
      <c r="D9">
        <v>4</v>
      </c>
      <c r="E9">
        <f t="shared" si="0"/>
        <v>20.5</v>
      </c>
      <c r="G9" t="s">
        <v>887</v>
      </c>
      <c r="H9">
        <v>9</v>
      </c>
      <c r="I9">
        <v>10</v>
      </c>
      <c r="J9">
        <v>7</v>
      </c>
      <c r="K9">
        <f t="shared" si="1"/>
        <v>37</v>
      </c>
      <c r="M9" t="s">
        <v>887</v>
      </c>
      <c r="N9">
        <v>9</v>
      </c>
      <c r="O9">
        <v>10</v>
      </c>
      <c r="P9">
        <v>7</v>
      </c>
      <c r="Q9">
        <f t="shared" si="2"/>
        <v>33</v>
      </c>
      <c r="S9" t="s">
        <v>887</v>
      </c>
      <c r="T9">
        <v>9</v>
      </c>
      <c r="U9">
        <v>10</v>
      </c>
      <c r="V9">
        <v>5</v>
      </c>
      <c r="W9">
        <f t="shared" si="3"/>
        <v>22.5</v>
      </c>
    </row>
    <row r="10" spans="1:23" x14ac:dyDescent="0.25">
      <c r="A10" t="s">
        <v>888</v>
      </c>
      <c r="B10">
        <v>10</v>
      </c>
      <c r="C10">
        <v>11</v>
      </c>
      <c r="D10">
        <v>5</v>
      </c>
      <c r="E10">
        <f t="shared" si="0"/>
        <v>25.5</v>
      </c>
      <c r="G10" t="s">
        <v>888</v>
      </c>
      <c r="H10">
        <v>10</v>
      </c>
      <c r="I10">
        <v>11</v>
      </c>
      <c r="J10">
        <v>9</v>
      </c>
      <c r="K10">
        <f t="shared" si="1"/>
        <v>46</v>
      </c>
      <c r="M10" t="s">
        <v>888</v>
      </c>
      <c r="N10">
        <v>10</v>
      </c>
      <c r="O10">
        <v>11</v>
      </c>
      <c r="P10">
        <v>7</v>
      </c>
      <c r="Q10">
        <f t="shared" si="2"/>
        <v>40</v>
      </c>
      <c r="S10" t="s">
        <v>888</v>
      </c>
      <c r="T10">
        <v>10</v>
      </c>
      <c r="U10">
        <v>11</v>
      </c>
      <c r="V10">
        <v>5</v>
      </c>
      <c r="W10">
        <f t="shared" si="3"/>
        <v>27.5</v>
      </c>
    </row>
    <row r="11" spans="1:23" x14ac:dyDescent="0.25">
      <c r="A11" t="s">
        <v>889</v>
      </c>
      <c r="B11">
        <v>11</v>
      </c>
      <c r="C11">
        <v>12</v>
      </c>
      <c r="D11">
        <v>5</v>
      </c>
      <c r="E11">
        <f t="shared" si="0"/>
        <v>30.5</v>
      </c>
      <c r="G11" t="s">
        <v>889</v>
      </c>
      <c r="H11">
        <v>11</v>
      </c>
      <c r="I11">
        <v>12</v>
      </c>
      <c r="J11">
        <v>10</v>
      </c>
      <c r="K11">
        <f t="shared" si="1"/>
        <v>56</v>
      </c>
      <c r="M11" t="s">
        <v>889</v>
      </c>
      <c r="N11">
        <v>11</v>
      </c>
      <c r="O11">
        <v>12</v>
      </c>
      <c r="P11">
        <v>8</v>
      </c>
      <c r="Q11">
        <f t="shared" si="2"/>
        <v>48</v>
      </c>
      <c r="S11" t="s">
        <v>889</v>
      </c>
      <c r="T11">
        <v>11</v>
      </c>
      <c r="U11">
        <v>12</v>
      </c>
      <c r="V11">
        <v>5</v>
      </c>
      <c r="W11">
        <f t="shared" si="3"/>
        <v>32.5</v>
      </c>
    </row>
    <row r="12" spans="1:23" x14ac:dyDescent="0.25">
      <c r="A12" t="s">
        <v>890</v>
      </c>
      <c r="B12">
        <v>12</v>
      </c>
      <c r="C12">
        <v>13</v>
      </c>
      <c r="D12">
        <v>6</v>
      </c>
      <c r="E12">
        <f t="shared" si="0"/>
        <v>36.5</v>
      </c>
      <c r="G12" t="s">
        <v>890</v>
      </c>
      <c r="H12">
        <v>12</v>
      </c>
      <c r="I12">
        <v>13</v>
      </c>
      <c r="J12">
        <v>11</v>
      </c>
      <c r="K12">
        <f t="shared" si="1"/>
        <v>67</v>
      </c>
      <c r="M12" t="s">
        <v>890</v>
      </c>
      <c r="N12">
        <v>12</v>
      </c>
      <c r="O12">
        <v>13</v>
      </c>
      <c r="P12">
        <v>10</v>
      </c>
      <c r="Q12">
        <f t="shared" si="2"/>
        <v>58</v>
      </c>
      <c r="S12" t="s">
        <v>890</v>
      </c>
      <c r="T12">
        <v>12</v>
      </c>
      <c r="U12">
        <v>13</v>
      </c>
      <c r="V12">
        <v>7</v>
      </c>
      <c r="W12">
        <f t="shared" si="3"/>
        <v>39.5</v>
      </c>
    </row>
    <row r="13" spans="1:23" x14ac:dyDescent="0.25">
      <c r="A13" t="s">
        <v>891</v>
      </c>
      <c r="B13">
        <v>13</v>
      </c>
      <c r="C13">
        <v>14</v>
      </c>
      <c r="D13">
        <v>7</v>
      </c>
      <c r="E13">
        <f t="shared" si="0"/>
        <v>43.5</v>
      </c>
      <c r="G13" t="s">
        <v>891</v>
      </c>
      <c r="H13">
        <v>13</v>
      </c>
      <c r="I13">
        <v>14</v>
      </c>
      <c r="J13">
        <v>12</v>
      </c>
      <c r="K13">
        <f t="shared" si="1"/>
        <v>79</v>
      </c>
      <c r="M13" t="s">
        <v>891</v>
      </c>
      <c r="N13">
        <v>13</v>
      </c>
      <c r="O13">
        <v>14</v>
      </c>
      <c r="P13">
        <v>10</v>
      </c>
      <c r="Q13">
        <f t="shared" si="2"/>
        <v>68</v>
      </c>
      <c r="S13" t="s">
        <v>891</v>
      </c>
      <c r="T13">
        <v>13</v>
      </c>
      <c r="U13">
        <v>14</v>
      </c>
      <c r="V13">
        <v>7</v>
      </c>
      <c r="W13">
        <f t="shared" si="3"/>
        <v>46.5</v>
      </c>
    </row>
    <row r="14" spans="1:23" x14ac:dyDescent="0.25">
      <c r="A14" t="s">
        <v>892</v>
      </c>
      <c r="B14">
        <v>14</v>
      </c>
      <c r="C14">
        <v>15</v>
      </c>
      <c r="D14">
        <v>8</v>
      </c>
      <c r="E14">
        <f t="shared" si="0"/>
        <v>51.5</v>
      </c>
      <c r="G14" t="s">
        <v>892</v>
      </c>
      <c r="H14">
        <v>14</v>
      </c>
      <c r="I14">
        <v>15</v>
      </c>
      <c r="J14">
        <v>16</v>
      </c>
      <c r="K14">
        <f t="shared" si="1"/>
        <v>95</v>
      </c>
      <c r="M14" t="s">
        <v>892</v>
      </c>
      <c r="N14">
        <v>14</v>
      </c>
      <c r="O14">
        <v>15</v>
      </c>
      <c r="P14">
        <v>13</v>
      </c>
      <c r="Q14">
        <f t="shared" si="2"/>
        <v>81</v>
      </c>
      <c r="S14" t="s">
        <v>892</v>
      </c>
      <c r="T14">
        <v>14</v>
      </c>
      <c r="U14">
        <v>15</v>
      </c>
      <c r="V14">
        <v>9</v>
      </c>
      <c r="W14">
        <f t="shared" si="3"/>
        <v>55.5</v>
      </c>
    </row>
    <row r="15" spans="1:23" x14ac:dyDescent="0.25">
      <c r="A15" t="s">
        <v>893</v>
      </c>
      <c r="B15">
        <v>15</v>
      </c>
      <c r="C15">
        <v>16</v>
      </c>
      <c r="D15">
        <v>10</v>
      </c>
      <c r="E15">
        <f t="shared" si="0"/>
        <v>61.5</v>
      </c>
      <c r="G15" t="s">
        <v>893</v>
      </c>
      <c r="H15">
        <v>15</v>
      </c>
      <c r="I15">
        <v>16</v>
      </c>
      <c r="J15">
        <v>18</v>
      </c>
      <c r="K15">
        <f t="shared" si="1"/>
        <v>113</v>
      </c>
      <c r="M15" t="s">
        <v>893</v>
      </c>
      <c r="N15">
        <v>15</v>
      </c>
      <c r="O15">
        <v>16</v>
      </c>
      <c r="P15">
        <v>15</v>
      </c>
      <c r="Q15">
        <f t="shared" si="2"/>
        <v>96</v>
      </c>
      <c r="S15" t="s">
        <v>893</v>
      </c>
      <c r="T15">
        <v>15</v>
      </c>
      <c r="U15">
        <v>16</v>
      </c>
      <c r="V15">
        <v>10</v>
      </c>
      <c r="W15">
        <f t="shared" si="3"/>
        <v>65.5</v>
      </c>
    </row>
    <row r="16" spans="1:23" x14ac:dyDescent="0.25">
      <c r="A16" t="s">
        <v>894</v>
      </c>
      <c r="B16">
        <v>16</v>
      </c>
      <c r="C16">
        <v>17</v>
      </c>
      <c r="D16">
        <v>11</v>
      </c>
      <c r="E16">
        <f t="shared" si="0"/>
        <v>72.5</v>
      </c>
      <c r="G16" t="s">
        <v>894</v>
      </c>
      <c r="H16">
        <v>16</v>
      </c>
      <c r="I16">
        <v>17</v>
      </c>
      <c r="J16">
        <v>23</v>
      </c>
      <c r="K16">
        <f t="shared" si="1"/>
        <v>136</v>
      </c>
      <c r="M16" t="s">
        <v>894</v>
      </c>
      <c r="N16">
        <v>16</v>
      </c>
      <c r="O16">
        <v>17</v>
      </c>
      <c r="P16">
        <v>19</v>
      </c>
      <c r="Q16">
        <f t="shared" si="2"/>
        <v>115</v>
      </c>
      <c r="S16" t="s">
        <v>894</v>
      </c>
      <c r="T16">
        <v>16</v>
      </c>
      <c r="U16">
        <v>17</v>
      </c>
      <c r="V16">
        <v>12</v>
      </c>
      <c r="W16">
        <f t="shared" si="3"/>
        <v>77.5</v>
      </c>
    </row>
    <row r="17" spans="1:23" x14ac:dyDescent="0.25">
      <c r="A17" t="s">
        <v>895</v>
      </c>
      <c r="B17">
        <v>17</v>
      </c>
      <c r="C17">
        <v>18</v>
      </c>
      <c r="D17">
        <v>14</v>
      </c>
      <c r="E17">
        <f t="shared" si="0"/>
        <v>86.5</v>
      </c>
      <c r="G17" t="s">
        <v>895</v>
      </c>
      <c r="H17">
        <v>17</v>
      </c>
      <c r="I17">
        <v>18</v>
      </c>
      <c r="J17">
        <v>36</v>
      </c>
      <c r="K17">
        <f t="shared" si="1"/>
        <v>172</v>
      </c>
      <c r="M17" t="s">
        <v>895</v>
      </c>
      <c r="N17">
        <v>17</v>
      </c>
      <c r="O17">
        <v>18</v>
      </c>
      <c r="P17">
        <v>26</v>
      </c>
      <c r="Q17">
        <f t="shared" si="2"/>
        <v>141</v>
      </c>
      <c r="S17" t="s">
        <v>895</v>
      </c>
      <c r="T17">
        <v>17</v>
      </c>
      <c r="U17">
        <v>18</v>
      </c>
      <c r="V17">
        <v>15</v>
      </c>
      <c r="W17">
        <f t="shared" si="3"/>
        <v>92.5</v>
      </c>
    </row>
    <row r="18" spans="1:23" x14ac:dyDescent="0.25">
      <c r="A18" t="s">
        <v>896</v>
      </c>
      <c r="B18">
        <v>18</v>
      </c>
      <c r="C18">
        <v>19</v>
      </c>
      <c r="D18">
        <v>19</v>
      </c>
      <c r="G18" t="s">
        <v>896</v>
      </c>
      <c r="H18">
        <v>18</v>
      </c>
      <c r="I18">
        <v>19</v>
      </c>
      <c r="M18" t="s">
        <v>896</v>
      </c>
      <c r="N18">
        <v>18</v>
      </c>
      <c r="O18">
        <v>19</v>
      </c>
      <c r="P18">
        <v>58</v>
      </c>
      <c r="S18" t="s">
        <v>896</v>
      </c>
      <c r="T18">
        <v>18</v>
      </c>
      <c r="U18">
        <v>19</v>
      </c>
      <c r="V18">
        <v>21</v>
      </c>
    </row>
    <row r="21" spans="1:23" x14ac:dyDescent="0.25">
      <c r="A21" s="4" t="s">
        <v>901</v>
      </c>
      <c r="B21" s="4" t="s">
        <v>897</v>
      </c>
      <c r="C21" s="4" t="s">
        <v>898</v>
      </c>
      <c r="D21" s="4" t="s">
        <v>876</v>
      </c>
      <c r="E21" s="4" t="s">
        <v>899</v>
      </c>
      <c r="G21" s="4" t="s">
        <v>902</v>
      </c>
      <c r="H21" s="4" t="s">
        <v>897</v>
      </c>
      <c r="I21" s="4" t="s">
        <v>898</v>
      </c>
      <c r="J21" s="4" t="s">
        <v>876</v>
      </c>
      <c r="K21" s="4" t="s">
        <v>899</v>
      </c>
      <c r="M21" s="4" t="s">
        <v>0</v>
      </c>
      <c r="N21" s="4" t="s">
        <v>897</v>
      </c>
      <c r="O21" s="4" t="s">
        <v>898</v>
      </c>
      <c r="P21" s="4" t="s">
        <v>876</v>
      </c>
      <c r="Q21" s="4" t="s">
        <v>899</v>
      </c>
      <c r="S21" s="4" t="s">
        <v>62</v>
      </c>
      <c r="T21">
        <v>19</v>
      </c>
    </row>
    <row r="22" spans="1:23" x14ac:dyDescent="0.25">
      <c r="A22" t="s">
        <v>880</v>
      </c>
      <c r="B22">
        <v>2</v>
      </c>
      <c r="C22">
        <v>3</v>
      </c>
      <c r="D22">
        <v>2</v>
      </c>
      <c r="E22">
        <f>D22</f>
        <v>2</v>
      </c>
      <c r="G22" t="s">
        <v>880</v>
      </c>
      <c r="H22">
        <v>2</v>
      </c>
      <c r="I22">
        <v>3</v>
      </c>
      <c r="J22">
        <v>2</v>
      </c>
      <c r="K22">
        <f>J22</f>
        <v>2</v>
      </c>
      <c r="M22" t="s">
        <v>880</v>
      </c>
      <c r="N22">
        <v>2</v>
      </c>
      <c r="O22">
        <v>3</v>
      </c>
      <c r="P22">
        <v>1</v>
      </c>
      <c r="Q22">
        <f>P22</f>
        <v>1</v>
      </c>
      <c r="S22" t="s">
        <v>903</v>
      </c>
      <c r="T22" s="591">
        <v>0.15</v>
      </c>
    </row>
    <row r="23" spans="1:23" x14ac:dyDescent="0.25">
      <c r="A23" t="s">
        <v>881</v>
      </c>
      <c r="B23">
        <v>3</v>
      </c>
      <c r="C23">
        <v>4</v>
      </c>
      <c r="D23">
        <v>2</v>
      </c>
      <c r="E23">
        <f>E22+D23</f>
        <v>4</v>
      </c>
      <c r="G23" t="s">
        <v>881</v>
      </c>
      <c r="H23">
        <v>3</v>
      </c>
      <c r="I23">
        <v>4</v>
      </c>
      <c r="J23">
        <v>3</v>
      </c>
      <c r="K23">
        <f>K22+J23</f>
        <v>5</v>
      </c>
      <c r="M23" t="s">
        <v>881</v>
      </c>
      <c r="N23">
        <v>3</v>
      </c>
      <c r="O23">
        <v>4</v>
      </c>
      <c r="P23">
        <v>1</v>
      </c>
      <c r="Q23">
        <f>Q22+P23</f>
        <v>2</v>
      </c>
      <c r="S23" t="s">
        <v>904</v>
      </c>
      <c r="T23" t="s">
        <v>906</v>
      </c>
    </row>
    <row r="24" spans="1:23" x14ac:dyDescent="0.25">
      <c r="A24" t="s">
        <v>882</v>
      </c>
      <c r="B24">
        <v>4</v>
      </c>
      <c r="C24">
        <v>5</v>
      </c>
      <c r="D24">
        <v>3</v>
      </c>
      <c r="E24">
        <f t="shared" ref="E24:E37" si="4">E23+D24</f>
        <v>7</v>
      </c>
      <c r="G24" t="s">
        <v>882</v>
      </c>
      <c r="H24">
        <v>4</v>
      </c>
      <c r="I24">
        <v>5</v>
      </c>
      <c r="J24">
        <v>3</v>
      </c>
      <c r="K24">
        <f t="shared" ref="K24:K37" si="5">K23+J24</f>
        <v>8</v>
      </c>
      <c r="M24" t="s">
        <v>882</v>
      </c>
      <c r="N24">
        <v>4</v>
      </c>
      <c r="O24">
        <v>5</v>
      </c>
      <c r="P24">
        <v>1</v>
      </c>
      <c r="Q24">
        <f t="shared" ref="Q24:Q37" si="6">Q23+P24</f>
        <v>3</v>
      </c>
      <c r="S24" t="s">
        <v>905</v>
      </c>
      <c r="T24" s="591">
        <v>1</v>
      </c>
    </row>
    <row r="25" spans="1:23" x14ac:dyDescent="0.25">
      <c r="A25" t="s">
        <v>883</v>
      </c>
      <c r="B25">
        <v>5</v>
      </c>
      <c r="C25">
        <v>6</v>
      </c>
      <c r="D25">
        <v>3</v>
      </c>
      <c r="E25">
        <f t="shared" si="4"/>
        <v>10</v>
      </c>
      <c r="G25" t="s">
        <v>883</v>
      </c>
      <c r="H25">
        <v>5</v>
      </c>
      <c r="I25">
        <v>6</v>
      </c>
      <c r="J25">
        <v>4</v>
      </c>
      <c r="K25">
        <f t="shared" si="5"/>
        <v>12</v>
      </c>
      <c r="M25" t="s">
        <v>883</v>
      </c>
      <c r="N25">
        <v>5</v>
      </c>
      <c r="O25">
        <v>6</v>
      </c>
      <c r="P25">
        <v>1</v>
      </c>
      <c r="Q25">
        <f t="shared" si="6"/>
        <v>4</v>
      </c>
    </row>
    <row r="26" spans="1:23" x14ac:dyDescent="0.25">
      <c r="A26" t="s">
        <v>884</v>
      </c>
      <c r="B26">
        <v>6</v>
      </c>
      <c r="C26">
        <v>7</v>
      </c>
      <c r="D26">
        <v>4</v>
      </c>
      <c r="E26">
        <f t="shared" si="4"/>
        <v>14</v>
      </c>
      <c r="G26" t="s">
        <v>884</v>
      </c>
      <c r="H26">
        <v>6</v>
      </c>
      <c r="I26">
        <v>7</v>
      </c>
      <c r="J26">
        <v>4</v>
      </c>
      <c r="K26">
        <f t="shared" si="5"/>
        <v>16</v>
      </c>
      <c r="M26" t="s">
        <v>884</v>
      </c>
      <c r="N26">
        <v>6</v>
      </c>
      <c r="O26">
        <v>7</v>
      </c>
      <c r="P26">
        <v>1</v>
      </c>
      <c r="Q26">
        <f t="shared" si="6"/>
        <v>5</v>
      </c>
    </row>
    <row r="27" spans="1:23" x14ac:dyDescent="0.25">
      <c r="A27" t="s">
        <v>885</v>
      </c>
      <c r="B27">
        <v>7</v>
      </c>
      <c r="C27">
        <v>8</v>
      </c>
      <c r="D27">
        <v>4</v>
      </c>
      <c r="E27">
        <f t="shared" si="4"/>
        <v>18</v>
      </c>
      <c r="G27" t="s">
        <v>885</v>
      </c>
      <c r="H27">
        <v>7</v>
      </c>
      <c r="I27">
        <v>8</v>
      </c>
      <c r="J27">
        <v>5</v>
      </c>
      <c r="K27">
        <f t="shared" si="5"/>
        <v>21</v>
      </c>
      <c r="M27" t="s">
        <v>885</v>
      </c>
      <c r="N27">
        <v>7</v>
      </c>
      <c r="O27">
        <v>8</v>
      </c>
      <c r="P27">
        <v>1</v>
      </c>
      <c r="Q27">
        <f t="shared" si="6"/>
        <v>6</v>
      </c>
    </row>
    <row r="28" spans="1:23" x14ac:dyDescent="0.25">
      <c r="A28" t="s">
        <v>886</v>
      </c>
      <c r="B28">
        <v>8</v>
      </c>
      <c r="C28">
        <v>9</v>
      </c>
      <c r="D28">
        <v>5</v>
      </c>
      <c r="E28">
        <f t="shared" si="4"/>
        <v>23</v>
      </c>
      <c r="G28" t="s">
        <v>886</v>
      </c>
      <c r="H28">
        <v>8</v>
      </c>
      <c r="I28">
        <v>9</v>
      </c>
      <c r="J28">
        <v>6</v>
      </c>
      <c r="K28">
        <f t="shared" si="5"/>
        <v>27</v>
      </c>
      <c r="M28" t="s">
        <v>886</v>
      </c>
      <c r="N28">
        <v>8</v>
      </c>
      <c r="O28">
        <v>9</v>
      </c>
      <c r="P28">
        <v>1</v>
      </c>
      <c r="Q28">
        <f t="shared" si="6"/>
        <v>7</v>
      </c>
    </row>
    <row r="29" spans="1:23" x14ac:dyDescent="0.25">
      <c r="A29" t="s">
        <v>887</v>
      </c>
      <c r="B29">
        <v>9</v>
      </c>
      <c r="C29">
        <v>10</v>
      </c>
      <c r="D29">
        <v>6</v>
      </c>
      <c r="E29">
        <f t="shared" si="4"/>
        <v>29</v>
      </c>
      <c r="G29" t="s">
        <v>887</v>
      </c>
      <c r="H29">
        <v>9</v>
      </c>
      <c r="I29">
        <v>10</v>
      </c>
      <c r="J29">
        <v>6</v>
      </c>
      <c r="K29">
        <f t="shared" si="5"/>
        <v>33</v>
      </c>
      <c r="M29" t="s">
        <v>887</v>
      </c>
      <c r="N29">
        <v>9</v>
      </c>
      <c r="O29">
        <v>10</v>
      </c>
      <c r="P29">
        <v>1</v>
      </c>
      <c r="Q29">
        <f t="shared" si="6"/>
        <v>8</v>
      </c>
    </row>
    <row r="30" spans="1:23" x14ac:dyDescent="0.25">
      <c r="A30" t="s">
        <v>888</v>
      </c>
      <c r="B30">
        <v>10</v>
      </c>
      <c r="C30">
        <v>11</v>
      </c>
      <c r="D30">
        <v>7</v>
      </c>
      <c r="E30">
        <f t="shared" si="4"/>
        <v>36</v>
      </c>
      <c r="G30" t="s">
        <v>888</v>
      </c>
      <c r="H30">
        <v>10</v>
      </c>
      <c r="I30">
        <v>11</v>
      </c>
      <c r="J30">
        <v>7</v>
      </c>
      <c r="K30">
        <f t="shared" si="5"/>
        <v>40</v>
      </c>
      <c r="M30" t="s">
        <v>888</v>
      </c>
      <c r="N30">
        <v>10</v>
      </c>
      <c r="O30">
        <v>11</v>
      </c>
      <c r="P30">
        <v>2</v>
      </c>
      <c r="Q30">
        <f t="shared" si="6"/>
        <v>10</v>
      </c>
    </row>
    <row r="31" spans="1:23" x14ac:dyDescent="0.25">
      <c r="A31" t="s">
        <v>889</v>
      </c>
      <c r="B31">
        <v>11</v>
      </c>
      <c r="C31">
        <v>12</v>
      </c>
      <c r="D31">
        <v>7</v>
      </c>
      <c r="E31">
        <f t="shared" si="4"/>
        <v>43</v>
      </c>
      <c r="G31" t="s">
        <v>889</v>
      </c>
      <c r="H31">
        <v>11</v>
      </c>
      <c r="I31">
        <v>12</v>
      </c>
      <c r="J31">
        <v>9</v>
      </c>
      <c r="K31">
        <f t="shared" si="5"/>
        <v>49</v>
      </c>
      <c r="M31" t="s">
        <v>889</v>
      </c>
      <c r="N31">
        <v>11</v>
      </c>
      <c r="O31">
        <v>12</v>
      </c>
      <c r="P31">
        <v>2</v>
      </c>
      <c r="Q31">
        <f t="shared" si="6"/>
        <v>12</v>
      </c>
    </row>
    <row r="32" spans="1:23" x14ac:dyDescent="0.25">
      <c r="A32" t="s">
        <v>890</v>
      </c>
      <c r="B32">
        <v>12</v>
      </c>
      <c r="C32">
        <v>13</v>
      </c>
      <c r="D32">
        <v>9</v>
      </c>
      <c r="E32">
        <f t="shared" si="4"/>
        <v>52</v>
      </c>
      <c r="G32" t="s">
        <v>890</v>
      </c>
      <c r="H32">
        <v>12</v>
      </c>
      <c r="I32">
        <v>13</v>
      </c>
      <c r="J32">
        <v>10</v>
      </c>
      <c r="K32">
        <f t="shared" si="5"/>
        <v>59</v>
      </c>
      <c r="M32" t="s">
        <v>890</v>
      </c>
      <c r="N32">
        <v>12</v>
      </c>
      <c r="O32">
        <v>13</v>
      </c>
      <c r="P32">
        <v>2</v>
      </c>
      <c r="Q32">
        <f t="shared" si="6"/>
        <v>14</v>
      </c>
    </row>
    <row r="33" spans="1:17" x14ac:dyDescent="0.25">
      <c r="A33" t="s">
        <v>891</v>
      </c>
      <c r="B33">
        <v>13</v>
      </c>
      <c r="C33">
        <v>14</v>
      </c>
      <c r="D33">
        <v>10</v>
      </c>
      <c r="E33">
        <f t="shared" si="4"/>
        <v>62</v>
      </c>
      <c r="G33" t="s">
        <v>891</v>
      </c>
      <c r="H33">
        <v>13</v>
      </c>
      <c r="I33">
        <v>14</v>
      </c>
      <c r="J33">
        <v>11</v>
      </c>
      <c r="K33">
        <f t="shared" si="5"/>
        <v>70</v>
      </c>
      <c r="M33" t="s">
        <v>891</v>
      </c>
      <c r="N33">
        <v>13</v>
      </c>
      <c r="O33">
        <v>14</v>
      </c>
      <c r="P33">
        <v>2</v>
      </c>
      <c r="Q33">
        <f t="shared" si="6"/>
        <v>16</v>
      </c>
    </row>
    <row r="34" spans="1:17" x14ac:dyDescent="0.25">
      <c r="A34" t="s">
        <v>892</v>
      </c>
      <c r="B34">
        <v>14</v>
      </c>
      <c r="C34">
        <v>15</v>
      </c>
      <c r="D34">
        <v>12</v>
      </c>
      <c r="E34">
        <f t="shared" si="4"/>
        <v>74</v>
      </c>
      <c r="G34" t="s">
        <v>892</v>
      </c>
      <c r="H34">
        <v>14</v>
      </c>
      <c r="I34">
        <v>15</v>
      </c>
      <c r="J34">
        <v>13</v>
      </c>
      <c r="K34">
        <f t="shared" si="5"/>
        <v>83</v>
      </c>
      <c r="M34" t="s">
        <v>892</v>
      </c>
      <c r="N34">
        <v>14</v>
      </c>
      <c r="O34">
        <v>15</v>
      </c>
      <c r="P34">
        <v>2</v>
      </c>
      <c r="Q34">
        <f t="shared" si="6"/>
        <v>18</v>
      </c>
    </row>
    <row r="35" spans="1:17" x14ac:dyDescent="0.25">
      <c r="A35" t="s">
        <v>893</v>
      </c>
      <c r="B35">
        <v>15</v>
      </c>
      <c r="C35">
        <v>16</v>
      </c>
      <c r="D35">
        <v>14</v>
      </c>
      <c r="E35">
        <f t="shared" si="4"/>
        <v>88</v>
      </c>
      <c r="G35" t="s">
        <v>893</v>
      </c>
      <c r="H35">
        <v>15</v>
      </c>
      <c r="I35">
        <v>16</v>
      </c>
      <c r="J35">
        <v>16</v>
      </c>
      <c r="K35">
        <f t="shared" si="5"/>
        <v>99</v>
      </c>
      <c r="M35" t="s">
        <v>893</v>
      </c>
      <c r="N35">
        <v>15</v>
      </c>
      <c r="O35">
        <v>16</v>
      </c>
      <c r="P35">
        <v>3</v>
      </c>
      <c r="Q35">
        <f t="shared" si="6"/>
        <v>21</v>
      </c>
    </row>
    <row r="36" spans="1:17" x14ac:dyDescent="0.25">
      <c r="A36" t="s">
        <v>894</v>
      </c>
      <c r="B36">
        <v>16</v>
      </c>
      <c r="C36">
        <v>17</v>
      </c>
      <c r="D36">
        <v>17</v>
      </c>
      <c r="E36">
        <f t="shared" si="4"/>
        <v>105</v>
      </c>
      <c r="G36" t="s">
        <v>894</v>
      </c>
      <c r="H36">
        <v>16</v>
      </c>
      <c r="I36">
        <v>17</v>
      </c>
      <c r="J36">
        <v>20</v>
      </c>
      <c r="K36">
        <f t="shared" si="5"/>
        <v>119</v>
      </c>
      <c r="M36" t="s">
        <v>894</v>
      </c>
      <c r="N36">
        <v>16</v>
      </c>
      <c r="O36">
        <v>17</v>
      </c>
      <c r="P36">
        <v>4</v>
      </c>
      <c r="Q36">
        <f t="shared" si="6"/>
        <v>25</v>
      </c>
    </row>
    <row r="37" spans="1:17" x14ac:dyDescent="0.25">
      <c r="A37" t="s">
        <v>895</v>
      </c>
      <c r="B37">
        <v>17</v>
      </c>
      <c r="C37">
        <v>18</v>
      </c>
      <c r="D37">
        <v>23</v>
      </c>
      <c r="E37">
        <f t="shared" si="4"/>
        <v>128</v>
      </c>
      <c r="G37" t="s">
        <v>895</v>
      </c>
      <c r="H37">
        <v>17</v>
      </c>
      <c r="I37">
        <v>18</v>
      </c>
      <c r="J37">
        <v>29</v>
      </c>
      <c r="K37">
        <f t="shared" si="5"/>
        <v>148</v>
      </c>
      <c r="M37" t="s">
        <v>895</v>
      </c>
      <c r="N37">
        <v>17</v>
      </c>
      <c r="O37">
        <v>18</v>
      </c>
      <c r="P37">
        <v>4</v>
      </c>
      <c r="Q37">
        <f t="shared" si="6"/>
        <v>29</v>
      </c>
    </row>
    <row r="38" spans="1:17" x14ac:dyDescent="0.25">
      <c r="A38" t="s">
        <v>896</v>
      </c>
      <c r="B38">
        <v>18</v>
      </c>
      <c r="C38">
        <v>19</v>
      </c>
      <c r="D38">
        <v>41</v>
      </c>
      <c r="G38" t="s">
        <v>896</v>
      </c>
      <c r="H38">
        <v>18</v>
      </c>
      <c r="I38">
        <v>19</v>
      </c>
      <c r="M38" t="s">
        <v>896</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tabSelected="1" zoomScaleNormal="100" workbookViewId="0">
      <pane xSplit="30" ySplit="4" topLeftCell="AE5" activePane="bottomRight" state="frozen"/>
      <selection pane="topRight" activeCell="T1" sqref="T1"/>
      <selection pane="bottomLeft" activeCell="A4" sqref="A4"/>
      <selection pane="bottomRight" activeCell="V7" sqref="V7"/>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10.42578125" style="707" bestFit="1" customWidth="1"/>
    <col min="16" max="16" width="4.5703125" style="707" bestFit="1" customWidth="1"/>
    <col min="17" max="17" width="4.140625" style="448" bestFit="1" customWidth="1"/>
    <col min="18" max="19" width="5.7109375" style="521" bestFit="1" customWidth="1"/>
    <col min="20" max="20" width="12" bestFit="1" customWidth="1"/>
    <col min="21" max="21" width="9.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67" customFormat="1" x14ac:dyDescent="0.25">
      <c r="C1" s="664">
        <f ca="1">AVERAGE(C5,C8,C9,C10,C11,C12,C13,C14,C15,C16,C17,C18,C19,C22,C24)</f>
        <v>4.2732142857142863</v>
      </c>
      <c r="D1" s="375">
        <f ca="1">TODAY()</f>
        <v>43069</v>
      </c>
      <c r="E1" s="713">
        <v>41471</v>
      </c>
      <c r="F1" s="713"/>
      <c r="G1" s="713"/>
      <c r="H1" s="269"/>
      <c r="I1" s="269"/>
      <c r="J1" s="269"/>
      <c r="K1" s="270"/>
      <c r="L1" s="269"/>
      <c r="M1" s="270"/>
      <c r="N1" s="270"/>
      <c r="O1" s="270"/>
      <c r="P1" s="270"/>
      <c r="Q1" s="664">
        <f>AVERAGE(Q5,Q8,Q9,Q10,Q11,Q12,Q13,Q14,Q15,Q16,Q17,Q18,Q19,Q22,Q24)</f>
        <v>5.5333333333333332</v>
      </c>
      <c r="R1" s="270"/>
      <c r="S1" s="270"/>
      <c r="T1" s="269"/>
      <c r="U1" s="269"/>
      <c r="V1" s="269"/>
      <c r="W1" s="269"/>
      <c r="X1" s="337"/>
      <c r="Y1" s="269"/>
      <c r="Z1" s="269"/>
      <c r="AA1" s="269"/>
      <c r="AB1" s="269"/>
      <c r="AC1" s="269"/>
      <c r="AD1" s="269"/>
      <c r="AE1" s="337"/>
      <c r="AH1" s="337"/>
      <c r="AI1" s="337"/>
      <c r="AJ1" s="269"/>
      <c r="AK1" s="337"/>
      <c r="AL1" s="337"/>
      <c r="AM1" s="337"/>
      <c r="AN1" s="337"/>
      <c r="AO1" s="269"/>
      <c r="AP1" s="269"/>
      <c r="AQ1" s="269"/>
    </row>
    <row r="2" spans="1:46" s="3" customFormat="1" x14ac:dyDescent="0.25">
      <c r="A2" s="3">
        <v>16</v>
      </c>
      <c r="B2" s="310"/>
      <c r="C2" s="311"/>
      <c r="D2" s="341"/>
      <c r="E2" s="324"/>
      <c r="F2" s="324"/>
      <c r="I2" s="377">
        <f>AVERAGE(I5:I24)</f>
        <v>9.1050000000000004</v>
      </c>
      <c r="J2" s="324"/>
      <c r="K2" s="324"/>
      <c r="M2" s="377">
        <f>AVERAGE(M5:M24)</f>
        <v>7.2100000000000009</v>
      </c>
      <c r="N2" s="324"/>
      <c r="O2" s="324"/>
      <c r="P2" s="324"/>
      <c r="Q2" s="377">
        <f>AVERAGE(Q5:Q24)</f>
        <v>5.6</v>
      </c>
      <c r="R2" s="535">
        <f>AVERAGE(R5:R24)</f>
        <v>0.89026647896922317</v>
      </c>
      <c r="S2" s="535">
        <f>AVERAGE(S5:S24)</f>
        <v>0.95683242168220883</v>
      </c>
      <c r="T2" s="378">
        <f>AVERAGE(T5:T24)</f>
        <v>112590.5</v>
      </c>
      <c r="U2" s="378"/>
      <c r="V2" s="378">
        <f>AVERAGE(V5:V24)</f>
        <v>14888.9</v>
      </c>
      <c r="W2" s="320"/>
      <c r="X2" s="376">
        <f>(X5+X6)/2</f>
        <v>13.483333333333334</v>
      </c>
      <c r="Y2" s="376">
        <f>AVERAGE(Y5:Y11)</f>
        <v>11.588199134199133</v>
      </c>
      <c r="Z2" s="376">
        <f>AVERAGE(Z12:Z20)</f>
        <v>11.864843415637859</v>
      </c>
      <c r="AA2" s="376">
        <f>AVERAGE(AA12:AA14)</f>
        <v>12.828333333333333</v>
      </c>
      <c r="AB2" s="376">
        <f>AVERAGE(AB6:AB24)</f>
        <v>9.729766081871345</v>
      </c>
      <c r="AC2" s="376">
        <f>AVERAGE(AC22:AC24)</f>
        <v>8.9823333333333348</v>
      </c>
      <c r="AD2" s="376">
        <f>AVERAGE(AD5:AD24)</f>
        <v>14.188833333333331</v>
      </c>
      <c r="AE2" s="320"/>
      <c r="AH2" s="320"/>
      <c r="AI2" s="320"/>
      <c r="AJ2" s="320"/>
      <c r="AK2" s="320"/>
      <c r="AL2" s="320"/>
      <c r="AM2" s="320"/>
      <c r="AN2" s="320"/>
    </row>
    <row r="3" spans="1:46" s="271" customFormat="1" x14ac:dyDescent="0.25">
      <c r="A3" s="325"/>
      <c r="B3" s="325" t="s">
        <v>1013</v>
      </c>
      <c r="C3" s="325"/>
      <c r="D3" s="321" t="s">
        <v>1008</v>
      </c>
      <c r="E3" s="228">
        <v>41</v>
      </c>
      <c r="F3" s="229">
        <v>101</v>
      </c>
      <c r="G3" s="287"/>
      <c r="H3" s="401">
        <v>6</v>
      </c>
      <c r="I3" s="232">
        <v>13.2</v>
      </c>
      <c r="J3" s="232"/>
      <c r="K3" s="330">
        <f>(H3)*(H3)*(I3)</f>
        <v>475.2</v>
      </c>
      <c r="L3" s="330">
        <f>(H3+1)*(H3+1)*I3</f>
        <v>646.79999999999995</v>
      </c>
      <c r="M3" s="287">
        <v>2</v>
      </c>
      <c r="N3" s="287"/>
      <c r="O3" s="287"/>
      <c r="P3" s="287"/>
      <c r="Q3" s="287"/>
      <c r="R3" s="657"/>
      <c r="S3" s="657"/>
      <c r="T3" s="322">
        <v>110</v>
      </c>
      <c r="U3" s="287"/>
      <c r="V3" s="322">
        <v>324</v>
      </c>
      <c r="W3" s="343"/>
      <c r="X3" s="334">
        <v>0</v>
      </c>
      <c r="Y3" s="232">
        <v>7</v>
      </c>
      <c r="Z3" s="231">
        <v>0</v>
      </c>
      <c r="AA3" s="232">
        <v>0</v>
      </c>
      <c r="AB3" s="231">
        <v>2</v>
      </c>
      <c r="AC3" s="232">
        <v>0</v>
      </c>
      <c r="AD3" s="231">
        <v>6</v>
      </c>
      <c r="AE3" s="351"/>
      <c r="AH3" s="351"/>
      <c r="AI3" s="351"/>
      <c r="AJ3" s="351"/>
      <c r="AK3" s="351"/>
      <c r="AL3" s="351"/>
      <c r="AM3" s="351"/>
      <c r="AN3" s="351"/>
      <c r="AO3" s="287"/>
      <c r="AP3" s="287"/>
      <c r="AQ3" s="287"/>
    </row>
    <row r="4" spans="1:46" x14ac:dyDescent="0.25">
      <c r="A4" s="326" t="s">
        <v>453</v>
      </c>
      <c r="B4" s="326" t="s">
        <v>316</v>
      </c>
      <c r="C4" s="327" t="s">
        <v>781</v>
      </c>
      <c r="D4" s="328" t="s">
        <v>182</v>
      </c>
      <c r="E4" s="326" t="s">
        <v>183</v>
      </c>
      <c r="F4" s="326" t="s">
        <v>63</v>
      </c>
      <c r="G4" s="326" t="s">
        <v>185</v>
      </c>
      <c r="H4" s="326" t="s">
        <v>186</v>
      </c>
      <c r="I4" s="326" t="s">
        <v>176</v>
      </c>
      <c r="J4" s="326" t="s">
        <v>845</v>
      </c>
      <c r="K4" s="329" t="s">
        <v>782</v>
      </c>
      <c r="L4" s="329" t="s">
        <v>783</v>
      </c>
      <c r="M4" s="326" t="s">
        <v>187</v>
      </c>
      <c r="N4" s="326" t="s">
        <v>749</v>
      </c>
      <c r="O4" s="326" t="s">
        <v>1043</v>
      </c>
      <c r="P4" s="326" t="s">
        <v>835</v>
      </c>
      <c r="Q4" s="326" t="s">
        <v>724</v>
      </c>
      <c r="R4" s="524" t="s">
        <v>833</v>
      </c>
      <c r="S4" s="524" t="s">
        <v>834</v>
      </c>
      <c r="T4" s="326" t="s">
        <v>184</v>
      </c>
      <c r="U4" s="326" t="s">
        <v>738</v>
      </c>
      <c r="V4" s="326" t="s">
        <v>212</v>
      </c>
      <c r="W4" s="326" t="s">
        <v>527</v>
      </c>
      <c r="X4" s="326" t="s">
        <v>337</v>
      </c>
      <c r="Y4" s="326" t="s">
        <v>188</v>
      </c>
      <c r="Z4" s="326" t="s">
        <v>189</v>
      </c>
      <c r="AA4" s="326" t="s">
        <v>190</v>
      </c>
      <c r="AB4" s="326" t="s">
        <v>191</v>
      </c>
      <c r="AC4" s="326" t="s">
        <v>192</v>
      </c>
      <c r="AD4" s="326" t="s">
        <v>185</v>
      </c>
      <c r="AE4" s="326" t="s">
        <v>554</v>
      </c>
      <c r="AF4" s="374" t="s">
        <v>981</v>
      </c>
      <c r="AG4" s="374" t="s">
        <v>982</v>
      </c>
      <c r="AH4" s="374" t="s">
        <v>991</v>
      </c>
      <c r="AI4" s="374" t="s">
        <v>992</v>
      </c>
      <c r="AJ4" s="374" t="s">
        <v>602</v>
      </c>
      <c r="AK4" s="374" t="s">
        <v>603</v>
      </c>
      <c r="AL4" s="374" t="s">
        <v>604</v>
      </c>
      <c r="AM4" s="374" t="s">
        <v>722</v>
      </c>
      <c r="AN4" s="374" t="s">
        <v>723</v>
      </c>
      <c r="AO4" s="326" t="s">
        <v>963</v>
      </c>
      <c r="AP4" s="326" t="s">
        <v>964</v>
      </c>
      <c r="AQ4" s="326" t="s">
        <v>965</v>
      </c>
      <c r="AR4" s="451" t="s">
        <v>1016</v>
      </c>
    </row>
    <row r="5" spans="1:46" x14ac:dyDescent="0.25">
      <c r="A5" s="416" t="s">
        <v>443</v>
      </c>
      <c r="B5" s="416" t="s">
        <v>1</v>
      </c>
      <c r="C5" s="417">
        <f ca="1">((34*112)-(E5*112)-(F5))/112</f>
        <v>4.0803571428571432</v>
      </c>
      <c r="D5" s="691" t="s">
        <v>928</v>
      </c>
      <c r="E5" s="419">
        <v>29</v>
      </c>
      <c r="F5" s="427">
        <f ca="1">-42406+$D$1-112-112-112-112-112</f>
        <v>103</v>
      </c>
      <c r="G5" s="420"/>
      <c r="H5" s="435">
        <v>6</v>
      </c>
      <c r="I5" s="335">
        <v>18</v>
      </c>
      <c r="J5" s="520">
        <f>LOG(I5+1)*4/3</f>
        <v>1.7050048012704384</v>
      </c>
      <c r="K5" s="330">
        <f t="shared" ref="K5" si="0">(H5)*(H5)*(I5)</f>
        <v>648</v>
      </c>
      <c r="L5" s="330">
        <f t="shared" ref="L5" si="1">(H5+1)*(H5+1)*I5</f>
        <v>882</v>
      </c>
      <c r="M5" s="421">
        <v>7.7</v>
      </c>
      <c r="N5" s="478">
        <f>M5*10+19</f>
        <v>96</v>
      </c>
      <c r="O5" s="711">
        <v>42468</v>
      </c>
      <c r="P5" s="712">
        <f ca="1">IF((TODAY()-O5)&gt;335,1,((TODAY()-O5)^0.64)/(336^0.64))</f>
        <v>1</v>
      </c>
      <c r="Q5" s="478">
        <v>7</v>
      </c>
      <c r="R5" s="534">
        <f>(Q5/7)^0.5</f>
        <v>1</v>
      </c>
      <c r="S5" s="534">
        <f>IF(Q5=7,1,((Q5+0.99)/7)^0.5)</f>
        <v>1</v>
      </c>
      <c r="T5" s="351">
        <v>100180</v>
      </c>
      <c r="U5" s="660">
        <f t="shared" ref="U5:U24" si="2">T5-AR5</f>
        <v>2200</v>
      </c>
      <c r="V5" s="351">
        <v>44520</v>
      </c>
      <c r="W5" s="343">
        <f t="shared" ref="W5:W25" si="3">T5/V5</f>
        <v>2.2502246181491463</v>
      </c>
      <c r="X5" s="519">
        <f>16+12/18</f>
        <v>16.666666666666668</v>
      </c>
      <c r="Y5" s="520">
        <f>10.45+0.11+0.11+0.11+0.11+0.11+1/11+1/11*0.16+1/11+1/11+1/11+1/11+1/11+1/11+1/11+1/11</f>
        <v>11.832727272727276</v>
      </c>
      <c r="Z5" s="519">
        <f>2+0.01+0.01+0.01</f>
        <v>2.0299999999999994</v>
      </c>
      <c r="AA5" s="520">
        <f>1.94+0.03+0.03+0.03+0.03+0.03+0.03</f>
        <v>2.1199999999999992</v>
      </c>
      <c r="AB5" s="519">
        <f>0.6+0.04+0.04+0.04+0.04+0.04+0.04+0.03+0.03+0.02+0.02+0.02+0.02+0.02+0.02+0.01+0.01</f>
        <v>1.0400000000000003</v>
      </c>
      <c r="AC5" s="520">
        <f>0+0.05+0.05*37/90+0.04+0.02+0.01</f>
        <v>0.14055555555555557</v>
      </c>
      <c r="AD5" s="519">
        <f>13.8+0.5+0.5+0.5+0.34+0.34+0.34+0.34+0.34+0.25+0.2+0.2+0.2</f>
        <v>17.849999999999998</v>
      </c>
      <c r="AE5" s="351">
        <v>1371</v>
      </c>
      <c r="AF5" s="637">
        <f ca="1">(Z5+P5+J5)*(Q5/7)^0.5</f>
        <v>4.7350048012704375</v>
      </c>
      <c r="AG5" s="637">
        <f ca="1">(Z5+P5+J5)*(IF(Q5=7, (Q5/7)^0.5, ((Q5+1)/7)^0.5))</f>
        <v>4.7350048012704375</v>
      </c>
      <c r="AH5" s="343">
        <f ca="1">(((Y5+P5+J5)+(AB5+P5+J5)*2)/8)*(Q5/7)^0.5</f>
        <v>2.7534677095673237</v>
      </c>
      <c r="AI5" s="343">
        <f ca="1">(1.66*(AC5+J5+P5)+0.55*(AD5+J5+P5)-7.6)*(Q5/7)^0.5</f>
        <v>8.4288828330298902</v>
      </c>
      <c r="AJ5" s="343">
        <f ca="1">((AD5+J5+P5)*0.7+(AC5+J5+P5)*0.3)*(Q5/7)^0.5</f>
        <v>15.242171467937103</v>
      </c>
      <c r="AK5" s="343">
        <f ca="1">(0.5*(AC5+P5+J5)+ 0.3*(AD5+P5+J5))/10</f>
        <v>0.7589281618794127</v>
      </c>
      <c r="AL5" s="343">
        <f ca="1">(0.4*(Y5+P5+J5)+0.3*(AD5+P5+J5))/10</f>
        <v>1.1981594269980218</v>
      </c>
      <c r="AM5" s="338">
        <f ca="1">(AD5+P5+(LOG(I5)*4/3))*(Q5/7)^0.5</f>
        <v>20.523696673471072</v>
      </c>
      <c r="AN5" s="338">
        <f ca="1">(AD5+P5+(LOG(I5)*4/3))*(IF(Q5=7, (Q5/7)^0.5, ((Q5+1)/7)^0.5))</f>
        <v>20.523696673471072</v>
      </c>
      <c r="AO5" s="478">
        <v>2</v>
      </c>
      <c r="AP5" s="478">
        <v>2</v>
      </c>
      <c r="AQ5" s="624">
        <f>IF(AO5=4,IF(AP5=0,0.137+0.0697,0.137+0.02),IF(AO5=3,IF(AP5=0,0.0958+0.0697,0.0958+0.02),IF(AO5=2,IF(AP5=0,0.0415+0.0697,0.0415+0.02),IF(AO5=1,IF(AP5=0,0.0294+0.0697,0.0294+0.02),IF(AO5=0,IF(AP5=0,0.0063+0.0697,0.0063+0.02))))))</f>
        <v>6.1499999999999999E-2</v>
      </c>
      <c r="AR5">
        <v>97980</v>
      </c>
      <c r="AS5">
        <f>AR5</f>
        <v>97980</v>
      </c>
      <c r="AT5" s="422">
        <f>AS5-T5</f>
        <v>-2200</v>
      </c>
    </row>
    <row r="6" spans="1:46" s="288" customFormat="1" x14ac:dyDescent="0.25">
      <c r="A6" s="416" t="s">
        <v>577</v>
      </c>
      <c r="B6" s="416" t="s">
        <v>1</v>
      </c>
      <c r="C6" s="417">
        <f t="shared" ref="C6:C24" ca="1" si="4">((34*112)-(E6*112)-(F6))/112</f>
        <v>0</v>
      </c>
      <c r="D6" s="691" t="s">
        <v>307</v>
      </c>
      <c r="E6" s="419">
        <v>34</v>
      </c>
      <c r="F6" s="427">
        <f ca="1">82-41471+$D$1-112-112-112-112-112-112-112-112-112-112-112-112-112-112-112</f>
        <v>0</v>
      </c>
      <c r="G6" s="420" t="s">
        <v>595</v>
      </c>
      <c r="H6" s="401">
        <v>3</v>
      </c>
      <c r="I6" s="335">
        <v>7.8</v>
      </c>
      <c r="J6" s="520">
        <f t="shared" ref="J6:J24" si="5">LOG(I6+1)*4/3</f>
        <v>1.2593102295335583</v>
      </c>
      <c r="K6" s="330">
        <f t="shared" ref="K6:K24" si="6">(H6)*(H6)*(I6)</f>
        <v>70.2</v>
      </c>
      <c r="L6" s="330">
        <f t="shared" ref="L6:L24" si="7">(H6+1)*(H6+1)*I6</f>
        <v>124.8</v>
      </c>
      <c r="M6" s="421">
        <v>5.2</v>
      </c>
      <c r="N6" s="478">
        <f t="shared" ref="N6:N24" si="8">M6*10+19</f>
        <v>71</v>
      </c>
      <c r="O6" s="478" t="s">
        <v>676</v>
      </c>
      <c r="P6" s="712">
        <v>1.5</v>
      </c>
      <c r="Q6" s="478">
        <v>5</v>
      </c>
      <c r="R6" s="534">
        <f t="shared" ref="R6:R24" si="9">(Q6/7)^0.5</f>
        <v>0.84515425472851657</v>
      </c>
      <c r="S6" s="534">
        <f t="shared" ref="S6:S24" si="10">IF(Q6=7,1,((Q6+0.99)/7)^0.5)</f>
        <v>0.92504826128926143</v>
      </c>
      <c r="T6" s="351">
        <v>3730</v>
      </c>
      <c r="U6" s="660">
        <f t="shared" si="2"/>
        <v>0</v>
      </c>
      <c r="V6" s="351">
        <v>2770</v>
      </c>
      <c r="W6" s="343">
        <f t="shared" si="3"/>
        <v>1.3465703971119134</v>
      </c>
      <c r="X6" s="519">
        <v>10.3</v>
      </c>
      <c r="Y6" s="520">
        <f>9.5+0.13+0.13/2+0.13+0.13+0.13+0.13+0.13+0.12+0.12+0.02+0.02+0.02+0.02+0.02+0.02+0.02+0.02+0.02+0.01+0.01+0.01</f>
        <v>10.794999999999998</v>
      </c>
      <c r="Z6" s="519">
        <f>4.2+0.04+0.04+0.04+0.03+0.03+0.03+0.03+0.03+0.03+0.03+0.03+0.02+0.02+0.01+0.01</f>
        <v>4.620000000000001</v>
      </c>
      <c r="AA6" s="520">
        <v>4.95</v>
      </c>
      <c r="AB6" s="519">
        <f>4.99+0.05+0.32+0.32+0.32+0.05+0.16+0.05+0.03+0.25*31/90+0.03+0.02+0.02+0.01+0.01+0.01+0.15*29/90+0.01+0.01</f>
        <v>6.5444444444444434</v>
      </c>
      <c r="AC6" s="520">
        <v>3.99</v>
      </c>
      <c r="AD6" s="519">
        <f>11.8+0.67+0.5*1.25+0.35+0.35+0.35+0.35*8/90+0.35*80/90+0.35+0.35*75/90+0.35+0.3</f>
        <v>15.778888888888888</v>
      </c>
      <c r="AE6" s="351">
        <v>1166</v>
      </c>
      <c r="AF6" s="637">
        <f t="shared" ref="AF6:AF24" si="11">(Z6+P6+J6)*(Q6/7)^0.5</f>
        <v>6.2366554374519545</v>
      </c>
      <c r="AG6" s="637">
        <f t="shared" ref="AG6:AG24" si="12">(Z6+P6+J6)*(IF(Q6=7, (Q6/7)^0.5, ((Q6+1)/7)^0.5))</f>
        <v>6.8319137329593698</v>
      </c>
      <c r="AH6" s="343">
        <f t="shared" ref="AH6:AH24" si="13">(((Y6+P6+J6)+(AB6+P6+J6)*2)/8)*(Q6/7)^0.5</f>
        <v>3.3977123319657752</v>
      </c>
      <c r="AI6" s="343">
        <f t="shared" ref="AI6:AI24" si="14">(1.66*(AC6+J6+P6)+0.55*(AD6+J6+P6)-7.6)*(Q6/7)^0.5</f>
        <v>11.663014193604974</v>
      </c>
      <c r="AJ6" s="343">
        <f t="shared" ref="AJ6:AJ24" si="15">((AD6+J6+P6)*0.7+(AC6+J6+P6)*0.3)*(Q6/7)^0.5</f>
        <v>12.678608979049312</v>
      </c>
      <c r="AK6" s="343">
        <f t="shared" ref="AK6:AK24" si="16">(0.5*(AC6+P6+J6)+ 0.3*(AD6+P6+J6))/10</f>
        <v>0.89361148502935117</v>
      </c>
      <c r="AL6" s="343">
        <f t="shared" ref="AL6:AL24" si="17">(0.4*(Y6+P6+J6)+0.3*(AD6+P6+J6))/10</f>
        <v>1.0983183827340155</v>
      </c>
      <c r="AM6" s="338">
        <f t="shared" ref="AM6:AM24" si="18">(AD6+P6+(LOG(I6)*4/3))*(Q6/7)^0.5</f>
        <v>15.608603193538004</v>
      </c>
      <c r="AN6" s="338">
        <f t="shared" ref="AN6:AN24" si="19">(AD6+P6+(LOG(I6)*4/3))*(IF(Q6=7, (Q6/7)^0.5, ((Q6+1)/7)^0.5))</f>
        <v>17.098368120495877</v>
      </c>
      <c r="AO6" s="478">
        <v>4</v>
      </c>
      <c r="AP6" s="478">
        <v>3</v>
      </c>
      <c r="AQ6" s="624">
        <f t="shared" ref="AQ6:AQ24" si="20">IF(AO6=4,IF(AP6=0,0.137+0.0697,0.137+0.02),IF(AO6=3,IF(AP6=0,0.0958+0.0697,0.0958+0.02),IF(AO6=2,IF(AP6=0,0.0415+0.0697,0.0415+0.02),IF(AO6=1,IF(AP6=0,0.0294+0.0697,0.0294+0.02),IF(AO6=0,IF(AP6=0,0.0063+0.0697,0.0063+0.02))))))</f>
        <v>0.157</v>
      </c>
      <c r="AR6" s="288">
        <v>3730</v>
      </c>
      <c r="AS6">
        <f t="shared" ref="AS6:AS24" si="21">AR6</f>
        <v>3730</v>
      </c>
      <c r="AT6" s="422">
        <f t="shared" ref="AT6:AT23" si="22">AS6-T6</f>
        <v>0</v>
      </c>
    </row>
    <row r="7" spans="1:46" s="266" customFormat="1" x14ac:dyDescent="0.25">
      <c r="A7" s="416" t="s">
        <v>716</v>
      </c>
      <c r="B7" s="416" t="s">
        <v>2</v>
      </c>
      <c r="C7" s="417">
        <f t="shared" ca="1" si="4"/>
        <v>3.9732142857142856</v>
      </c>
      <c r="D7" s="691" t="s">
        <v>1020</v>
      </c>
      <c r="E7" s="419">
        <v>30</v>
      </c>
      <c r="F7" s="427">
        <f ca="1">82-41471+$D$1-112-112-112-112-112-112-112-112-112-112-112+3-112-112-112-112</f>
        <v>3</v>
      </c>
      <c r="G7" s="420" t="s">
        <v>595</v>
      </c>
      <c r="H7" s="426">
        <v>2</v>
      </c>
      <c r="I7" s="335">
        <v>14</v>
      </c>
      <c r="J7" s="520">
        <f t="shared" si="5"/>
        <v>1.5681216787409085</v>
      </c>
      <c r="K7" s="330">
        <f>(H7)*(H7)*(I7)</f>
        <v>56</v>
      </c>
      <c r="L7" s="330">
        <f>(H7+1)*(H7+1)*I7</f>
        <v>126</v>
      </c>
      <c r="M7" s="421">
        <v>7.7</v>
      </c>
      <c r="N7" s="478">
        <f>M7*10+19</f>
        <v>96</v>
      </c>
      <c r="O7" s="711">
        <v>42716</v>
      </c>
      <c r="P7" s="712">
        <f ca="1">IF((TODAY()-O7)&gt;335,1,((TODAY()-O7)^0.64)/(336^0.64))</f>
        <v>1</v>
      </c>
      <c r="Q7" s="478">
        <v>7</v>
      </c>
      <c r="R7" s="534">
        <f>(Q7/7)^0.5</f>
        <v>1</v>
      </c>
      <c r="S7" s="534">
        <f>IF(Q7=7,1,((Q7+0.99)/7)^0.5)</f>
        <v>1</v>
      </c>
      <c r="T7" s="351">
        <v>252700</v>
      </c>
      <c r="U7" s="660">
        <f t="shared" si="2"/>
        <v>0</v>
      </c>
      <c r="V7" s="351">
        <v>29520</v>
      </c>
      <c r="W7" s="343">
        <f>T7/V7</f>
        <v>8.5602981029810294</v>
      </c>
      <c r="X7" s="519">
        <v>0</v>
      </c>
      <c r="Y7" s="520">
        <f>14+1/20+1/20+1/20+1/20</f>
        <v>14.200000000000003</v>
      </c>
      <c r="Z7" s="519">
        <f>9+1/9*0.5+1/9*0.16+0.1*0.5+0.1*0.5+0.1*0.5+0.01+0.1*0.5+0.1*0.16</f>
        <v>9.299333333333335</v>
      </c>
      <c r="AA7" s="520">
        <f>14+1/12*0.5+1/12*0.5+1/12*0.5+1/12*0.5+1/12*0.5+1/12*0.5</f>
        <v>14.249999999999996</v>
      </c>
      <c r="AB7" s="519">
        <f>8.45+0.15+0.15+0.02+0.12+0.12+0.11+0.01+0.08+0.07+0.07+0.07</f>
        <v>9.4199999999999982</v>
      </c>
      <c r="AC7" s="520">
        <f>1+1/7</f>
        <v>1.1428571428571428</v>
      </c>
      <c r="AD7" s="519">
        <f>9+0.4</f>
        <v>9.4</v>
      </c>
      <c r="AE7" s="351">
        <v>1902</v>
      </c>
      <c r="AF7" s="637">
        <f t="shared" ca="1" si="11"/>
        <v>11.867455012074243</v>
      </c>
      <c r="AG7" s="637">
        <f t="shared" ca="1" si="12"/>
        <v>11.867455012074243</v>
      </c>
      <c r="AH7" s="343">
        <f t="shared" ca="1" si="13"/>
        <v>5.0930456295278406</v>
      </c>
      <c r="AI7" s="343">
        <f t="shared" ca="1" si="14"/>
        <v>5.1426917671602652</v>
      </c>
      <c r="AJ7" s="343">
        <f t="shared" ca="1" si="15"/>
        <v>9.490978821598052</v>
      </c>
      <c r="AK7" s="343">
        <f t="shared" ca="1" si="16"/>
        <v>0.5445925914421299</v>
      </c>
      <c r="AL7" s="343">
        <f t="shared" ca="1" si="17"/>
        <v>1.0297685175118638</v>
      </c>
      <c r="AM7" s="338">
        <f t="shared" ca="1" si="18"/>
        <v>11.928170714237652</v>
      </c>
      <c r="AN7" s="338">
        <f t="shared" ca="1" si="19"/>
        <v>11.928170714237652</v>
      </c>
      <c r="AO7" s="478">
        <v>1</v>
      </c>
      <c r="AP7" s="478">
        <v>2</v>
      </c>
      <c r="AQ7" s="624">
        <f>IF(AO7=4,IF(AP7=0,0.137+0.0697,0.137+0.02),IF(AO7=3,IF(AP7=0,0.0958+0.0697,0.0958+0.02),IF(AO7=2,IF(AP7=0,0.0415+0.0697,0.0415+0.02),IF(AO7=1,IF(AP7=0,0.0294+0.0697,0.0294+0.02),IF(AO7=0,IF(AP7=0,0.0063+0.0697,0.0063+0.02))))))</f>
        <v>4.9399999999999999E-2</v>
      </c>
      <c r="AR7" s="266">
        <v>252700</v>
      </c>
      <c r="AS7">
        <f t="shared" si="21"/>
        <v>252700</v>
      </c>
      <c r="AT7" s="422">
        <f t="shared" si="22"/>
        <v>0</v>
      </c>
    </row>
    <row r="8" spans="1:46" s="272" customFormat="1" x14ac:dyDescent="0.25">
      <c r="A8" s="332" t="s">
        <v>452</v>
      </c>
      <c r="B8" s="285" t="s">
        <v>2</v>
      </c>
      <c r="C8" s="417">
        <f t="shared" ca="1" si="4"/>
        <v>2.5714285714285716</v>
      </c>
      <c r="D8" s="692" t="s">
        <v>315</v>
      </c>
      <c r="E8" s="228">
        <v>31</v>
      </c>
      <c r="F8" s="229">
        <f ca="1">18-41471+$D$1-112-112-112-112-112-112-112-112-112-112-112-112-112-112</f>
        <v>48</v>
      </c>
      <c r="G8" s="287" t="s">
        <v>595</v>
      </c>
      <c r="H8" s="426">
        <v>4</v>
      </c>
      <c r="I8" s="232">
        <v>7.5</v>
      </c>
      <c r="J8" s="520">
        <f t="shared" si="5"/>
        <v>1.2392252342857237</v>
      </c>
      <c r="K8" s="330">
        <f t="shared" si="6"/>
        <v>120</v>
      </c>
      <c r="L8" s="330">
        <f t="shared" si="7"/>
        <v>187.5</v>
      </c>
      <c r="M8" s="323">
        <v>6.6</v>
      </c>
      <c r="N8" s="478">
        <f t="shared" si="8"/>
        <v>85</v>
      </c>
      <c r="O8" s="478" t="s">
        <v>676</v>
      </c>
      <c r="P8" s="712">
        <v>1.5</v>
      </c>
      <c r="Q8" s="479">
        <v>6</v>
      </c>
      <c r="R8" s="534">
        <f t="shared" si="9"/>
        <v>0.92582009977255142</v>
      </c>
      <c r="S8" s="534">
        <f t="shared" si="10"/>
        <v>0.99928545900129484</v>
      </c>
      <c r="T8" s="661">
        <v>19250</v>
      </c>
      <c r="U8" s="660">
        <f t="shared" si="2"/>
        <v>870</v>
      </c>
      <c r="V8" s="661">
        <v>3510</v>
      </c>
      <c r="W8" s="343">
        <f t="shared" si="3"/>
        <v>5.4843304843304841</v>
      </c>
      <c r="X8" s="519">
        <v>0</v>
      </c>
      <c r="Y8" s="520">
        <v>11</v>
      </c>
      <c r="Z8" s="519">
        <f>4.61+0.04+0.04+0.04+0.04+0.25+0.14+0.13+0.13+0.12+0.12+0.12+0.04*55/90+0.025+0.13+0.02+0.02+0.02+0.02+0.02+0.01+0.01+0.01+0.12*0.5+0.01+0.02</f>
        <v>6.1794444444444414</v>
      </c>
      <c r="AA8" s="520">
        <v>5.98</v>
      </c>
      <c r="AB8" s="519">
        <f>3.88+0.33+(0.33/3)+(0.33/3)+0.31+0.31+0.04+0.3+0.28+0.28+0.28+0.25+0.25+0.2+0.15+0.15+0.02+0.12+0.12+0.11+0.11*35/90+0.08</f>
        <v>7.7227777777777789</v>
      </c>
      <c r="AC8" s="520">
        <f>3.82+0.06+0.06+0.06+0.06*80/90+0.06+0.05+0.05+0.05+0.02+0.2*0.5</f>
        <v>4.383333333333332</v>
      </c>
      <c r="AD8" s="519">
        <f>8.7+0.75+0.75+0.75+0.6+0.5+0.5+0.45*10/90+0.35+0.35+0.35+0.35+0.35+0.3+0.25+0.25+0.2</f>
        <v>15.349999999999998</v>
      </c>
      <c r="AE8" s="351">
        <v>1155</v>
      </c>
      <c r="AF8" s="637">
        <f t="shared" si="11"/>
        <v>8.2570836518003912</v>
      </c>
      <c r="AG8" s="637">
        <f t="shared" si="12"/>
        <v>8.9186696787301649</v>
      </c>
      <c r="AH8" s="343">
        <f t="shared" si="13"/>
        <v>4.0114895277628371</v>
      </c>
      <c r="AI8" s="343">
        <f t="shared" si="14"/>
        <v>13.121204899853417</v>
      </c>
      <c r="AJ8" s="343">
        <f t="shared" si="15"/>
        <v>13.701420182962865</v>
      </c>
      <c r="AK8" s="343">
        <f t="shared" si="16"/>
        <v>0.89880468540952452</v>
      </c>
      <c r="AL8" s="343">
        <f t="shared" si="17"/>
        <v>1.0922457664000007</v>
      </c>
      <c r="AM8" s="338">
        <f t="shared" si="18"/>
        <v>16.680267756074688</v>
      </c>
      <c r="AN8" s="338">
        <f t="shared" si="19"/>
        <v>18.01674835118893</v>
      </c>
      <c r="AO8" s="479">
        <v>2</v>
      </c>
      <c r="AP8" s="479">
        <v>3</v>
      </c>
      <c r="AQ8" s="624">
        <f t="shared" si="20"/>
        <v>6.1499999999999999E-2</v>
      </c>
      <c r="AR8" s="272">
        <v>18380</v>
      </c>
      <c r="AS8">
        <f t="shared" si="21"/>
        <v>18380</v>
      </c>
      <c r="AT8" s="422">
        <f t="shared" si="22"/>
        <v>-870</v>
      </c>
    </row>
    <row r="9" spans="1:46" s="264" customFormat="1" x14ac:dyDescent="0.25">
      <c r="A9" s="416" t="s">
        <v>597</v>
      </c>
      <c r="B9" s="416" t="s">
        <v>2</v>
      </c>
      <c r="C9" s="417">
        <f t="shared" ca="1" si="4"/>
        <v>2.9821428571428572</v>
      </c>
      <c r="D9" s="691" t="s">
        <v>309</v>
      </c>
      <c r="E9" s="419">
        <v>31</v>
      </c>
      <c r="F9" s="427">
        <f ca="1">84-41471+$D$1-112-112-112-112-112-112-112-112-112-112-112-112-112-112-112</f>
        <v>2</v>
      </c>
      <c r="G9" s="420"/>
      <c r="H9" s="426">
        <v>4</v>
      </c>
      <c r="I9" s="335">
        <v>12.1</v>
      </c>
      <c r="J9" s="520">
        <f t="shared" si="5"/>
        <v>1.4896950608743522</v>
      </c>
      <c r="K9" s="330">
        <f t="shared" si="6"/>
        <v>193.6</v>
      </c>
      <c r="L9" s="330">
        <f t="shared" si="7"/>
        <v>302.5</v>
      </c>
      <c r="M9" s="421">
        <v>7.4</v>
      </c>
      <c r="N9" s="478">
        <f t="shared" si="8"/>
        <v>93</v>
      </c>
      <c r="O9" s="478" t="s">
        <v>676</v>
      </c>
      <c r="P9" s="712">
        <v>1.5</v>
      </c>
      <c r="Q9" s="478">
        <v>5</v>
      </c>
      <c r="R9" s="534">
        <f t="shared" si="9"/>
        <v>0.84515425472851657</v>
      </c>
      <c r="S9" s="534">
        <f t="shared" si="10"/>
        <v>0.92504826128926143</v>
      </c>
      <c r="T9" s="351">
        <v>138930</v>
      </c>
      <c r="U9" s="660">
        <f t="shared" si="2"/>
        <v>-2730</v>
      </c>
      <c r="V9" s="351">
        <v>14670</v>
      </c>
      <c r="W9" s="343">
        <f t="shared" si="3"/>
        <v>9.4703476482617592</v>
      </c>
      <c r="X9" s="519">
        <v>0</v>
      </c>
      <c r="Y9" s="520">
        <f>9.9+0.14+0.14+0.14+0.14+0.13+0.13+0.13+0.12+0.12+0.09+0.09+0.09+0.09+0.08+0.08+0.08+0.08+0.08+0.07+0.07+0.07</f>
        <v>12.060000000000004</v>
      </c>
      <c r="Z9" s="519">
        <f>10.72+0.15+0.15+0.15+0.14+0.14+0.11+0.11+0.11+0.11+0.11+0.11+0.11+0.11*0.5+0.11*0.5+0.11*0.5+0.1+0.1*0.5+0.1*0.5+0.1*0.5+0.1*0.16+0.09+0.08+0.08+0.08*0.5+0.08+1/18</f>
        <v>13.076555555555554</v>
      </c>
      <c r="AA9" s="520">
        <f>8.8+0.14+0.14+0.14+0.13+0.12*0.5+0.12*0.5+0.12*0.5+0.12*0.5+0.12*0.5+0.12*0.5</f>
        <v>9.7100000000000062</v>
      </c>
      <c r="AB9" s="519">
        <f>4.57+0.36+0.36+0.36+0.36+0.25+0.25+0.25+0.25+0.25+0.25+0.25+0.25+0.2+0.2+0.15+0.15+0.14+0.12+0.12+0.11+0.11+0.08+0.07+0.07+0.07</f>
        <v>9.6</v>
      </c>
      <c r="AC9" s="520">
        <f>3+0.07+0.07+0.07+0.07+0.07+0.05+0.05+0.05+0.2*48/90+0.15*0.5</f>
        <v>3.6816666666666658</v>
      </c>
      <c r="AD9" s="519">
        <f>10.7+0.5+0.5*77/90+0.5+0.45+0.45+0.45+0.35+0.35+0.3+0.35+0.3+0.3+0.3+0.25+0.25+0.2+0.2</f>
        <v>16.627777777777773</v>
      </c>
      <c r="AE9" s="351">
        <v>1858</v>
      </c>
      <c r="AF9" s="637">
        <f t="shared" si="11"/>
        <v>13.57846006601039</v>
      </c>
      <c r="AG9" s="637">
        <f t="shared" si="12"/>
        <v>14.874457748673953</v>
      </c>
      <c r="AH9" s="343">
        <f t="shared" si="13"/>
        <v>4.2499728132412251</v>
      </c>
      <c r="AI9" s="343">
        <f t="shared" si="14"/>
        <v>12.055339897312352</v>
      </c>
      <c r="AJ9" s="343">
        <f t="shared" si="15"/>
        <v>13.29735237028485</v>
      </c>
      <c r="AK9" s="343">
        <f t="shared" si="16"/>
        <v>0.92209227153661466</v>
      </c>
      <c r="AL9" s="343">
        <f t="shared" si="17"/>
        <v>1.190511987594538</v>
      </c>
      <c r="AM9" s="338">
        <f t="shared" si="18"/>
        <v>16.540929401236259</v>
      </c>
      <c r="AN9" s="338">
        <f t="shared" si="19"/>
        <v>18.11968031031504</v>
      </c>
      <c r="AO9" s="478">
        <v>2</v>
      </c>
      <c r="AP9" s="478">
        <v>3</v>
      </c>
      <c r="AQ9" s="624">
        <f t="shared" si="20"/>
        <v>6.1499999999999999E-2</v>
      </c>
      <c r="AR9" s="264">
        <v>141660</v>
      </c>
      <c r="AS9">
        <f t="shared" si="21"/>
        <v>141660</v>
      </c>
      <c r="AT9" s="422">
        <f t="shared" si="22"/>
        <v>2730</v>
      </c>
    </row>
    <row r="10" spans="1:46" s="265" customFormat="1" x14ac:dyDescent="0.25">
      <c r="A10" s="416" t="s">
        <v>445</v>
      </c>
      <c r="B10" s="285" t="s">
        <v>2</v>
      </c>
      <c r="C10" s="417">
        <f t="shared" ca="1" si="4"/>
        <v>3.1160714285714284</v>
      </c>
      <c r="D10" s="692" t="s">
        <v>313</v>
      </c>
      <c r="E10" s="228">
        <v>30</v>
      </c>
      <c r="F10" s="229">
        <f ca="1">69-41471+$D$1-112-112-112-112-112-112-112-112-112-112-112-112-112-112</f>
        <v>99</v>
      </c>
      <c r="G10" s="287"/>
      <c r="H10" s="401">
        <v>3</v>
      </c>
      <c r="I10" s="232">
        <v>9.1999999999999993</v>
      </c>
      <c r="J10" s="520">
        <f t="shared" si="5"/>
        <v>1.34480022901589</v>
      </c>
      <c r="K10" s="330">
        <f t="shared" si="6"/>
        <v>82.8</v>
      </c>
      <c r="L10" s="330">
        <f t="shared" si="7"/>
        <v>147.19999999999999</v>
      </c>
      <c r="M10" s="323">
        <v>7</v>
      </c>
      <c r="N10" s="478">
        <f t="shared" si="8"/>
        <v>89</v>
      </c>
      <c r="O10" s="478" t="s">
        <v>676</v>
      </c>
      <c r="P10" s="712">
        <v>1.5</v>
      </c>
      <c r="Q10" s="479">
        <v>6</v>
      </c>
      <c r="R10" s="534">
        <f t="shared" si="9"/>
        <v>0.92582009977255142</v>
      </c>
      <c r="S10" s="534">
        <f t="shared" si="10"/>
        <v>0.99928545900129484</v>
      </c>
      <c r="T10" s="351">
        <v>47920</v>
      </c>
      <c r="U10" s="660">
        <f t="shared" si="2"/>
        <v>1680</v>
      </c>
      <c r="V10" s="661">
        <v>5870</v>
      </c>
      <c r="W10" s="343">
        <f t="shared" si="3"/>
        <v>8.1635434412265759</v>
      </c>
      <c r="X10" s="519">
        <v>0</v>
      </c>
      <c r="Y10" s="520">
        <f>9+0.15+0.15+0.15+0.15+0.15+0.15+0.15+0.15+0.15+0.12+0.12+0.12+0.12+0.12+0.1+0.1+0.1+0.1+0.1+0.1+0.1</f>
        <v>11.649999999999997</v>
      </c>
      <c r="Z10" s="519">
        <f>5.75+0.04+0.04+(0.04/90*75)+(0.25*15/90)+0.03+0.03+(0.03*20/90)+0.03+0.03+(0.22*0.5*30/90)+(0.22/16*60/90)+0.03+0.03+0.22*0.5+0.2*0.5+0.03+0.22*0.5+0.03+0.03+0.03+0.01+0.01+0.01+0.01+0.01+1/8*0.5</f>
        <v>6.6900000000000022</v>
      </c>
      <c r="AA10" s="520">
        <f>6.18+0.2+0.2+0.2+0.15*0.5+0.15*0.5+0.15*0.5+0.15*0.5+0.14*0.5+0.14*0.5+0.14</f>
        <v>7.3600000000000012</v>
      </c>
      <c r="AB10" s="519">
        <f>4.3+0.35+0.35+0.35+0.33+0.32+0.3+0.27+0.27+0.26+0.2+0.2+0.2+0.2+0.15+0.15+0.14+0.12+0.12+0.11+0.11+0.08+0.07+0.07</f>
        <v>9.0199999999999978</v>
      </c>
      <c r="AC10" s="520">
        <f>4.06+0.06+0.06+0.06+0.06+0.06*75/90+0.05+0.05+0.05+0.02+0.2*0.5</f>
        <v>4.6199999999999966</v>
      </c>
      <c r="AD10" s="519">
        <f>8.4+0.67+0.67+0.67+0.67+0.67+0.5+0.45+0.35+0.35+0.35+0.3+0.3+0.3+0.25+0.25+0.25+0.2</f>
        <v>15.6</v>
      </c>
      <c r="AE10" s="351">
        <v>1268</v>
      </c>
      <c r="AF10" s="637">
        <f t="shared" si="11"/>
        <v>8.8275096993388384</v>
      </c>
      <c r="AG10" s="637">
        <f t="shared" si="12"/>
        <v>9.5348002290158913</v>
      </c>
      <c r="AH10" s="343">
        <f t="shared" si="13"/>
        <v>4.4236148072285566</v>
      </c>
      <c r="AI10" s="343">
        <f t="shared" si="14"/>
        <v>13.828242049364381</v>
      </c>
      <c r="AJ10" s="343">
        <f t="shared" si="15"/>
        <v>14.026915379661485</v>
      </c>
      <c r="AK10" s="343">
        <f t="shared" si="16"/>
        <v>0.92658401832127102</v>
      </c>
      <c r="AL10" s="343">
        <f t="shared" si="17"/>
        <v>1.1331360160311121</v>
      </c>
      <c r="AM10" s="338">
        <f t="shared" si="18"/>
        <v>17.021249229407474</v>
      </c>
      <c r="AN10" s="338">
        <f t="shared" si="19"/>
        <v>18.385050436460741</v>
      </c>
      <c r="AO10" s="479">
        <v>3</v>
      </c>
      <c r="AP10" s="479">
        <v>2</v>
      </c>
      <c r="AQ10" s="624">
        <f t="shared" si="20"/>
        <v>0.1158</v>
      </c>
      <c r="AR10" s="265">
        <v>46240</v>
      </c>
      <c r="AS10">
        <f t="shared" si="21"/>
        <v>46240</v>
      </c>
      <c r="AT10" s="422">
        <f t="shared" si="22"/>
        <v>-1680</v>
      </c>
    </row>
    <row r="11" spans="1:46" s="289" customFormat="1" x14ac:dyDescent="0.25">
      <c r="A11" s="331" t="s">
        <v>588</v>
      </c>
      <c r="B11" s="285" t="s">
        <v>2</v>
      </c>
      <c r="C11" s="417">
        <f t="shared" ca="1" si="4"/>
        <v>6.9107142857142856</v>
      </c>
      <c r="D11" s="692" t="s">
        <v>701</v>
      </c>
      <c r="E11" s="228">
        <v>27</v>
      </c>
      <c r="F11" s="229">
        <f ca="1">75-41471+$D$1-24-112-10-112-112+6-112-112-112+45-112-112-112-112-112-112-112-112-112</f>
        <v>10</v>
      </c>
      <c r="G11" s="287"/>
      <c r="H11" s="426">
        <v>4</v>
      </c>
      <c r="I11" s="232">
        <v>4.9000000000000004</v>
      </c>
      <c r="J11" s="520">
        <f t="shared" si="5"/>
        <v>1.0278026821895256</v>
      </c>
      <c r="K11" s="330">
        <f t="shared" si="6"/>
        <v>78.400000000000006</v>
      </c>
      <c r="L11" s="330">
        <f t="shared" si="7"/>
        <v>122.50000000000001</v>
      </c>
      <c r="M11" s="323">
        <v>7</v>
      </c>
      <c r="N11" s="478">
        <f t="shared" si="8"/>
        <v>89</v>
      </c>
      <c r="O11" s="478" t="s">
        <v>676</v>
      </c>
      <c r="P11" s="712">
        <v>1.5</v>
      </c>
      <c r="Q11" s="479">
        <v>6</v>
      </c>
      <c r="R11" s="534">
        <f t="shared" si="9"/>
        <v>0.92582009977255142</v>
      </c>
      <c r="S11" s="534">
        <f t="shared" si="10"/>
        <v>0.99928545900129484</v>
      </c>
      <c r="T11" s="661">
        <v>35990</v>
      </c>
      <c r="U11" s="660">
        <f t="shared" si="2"/>
        <v>2580</v>
      </c>
      <c r="V11" s="661">
        <v>2510</v>
      </c>
      <c r="W11" s="343">
        <f t="shared" si="3"/>
        <v>14.338645418326694</v>
      </c>
      <c r="X11" s="519">
        <v>0</v>
      </c>
      <c r="Y11" s="520">
        <f>6.51+0.25+0.25+0.25+0.2+0.2+0.2+0.2+0.19+0.19+0.17+0.16+0.16+0.03+0.16+0.15*33/90+0.14+0.13+0.13*36/90+0.02+0.12*32/90+0.02</f>
        <v>9.5796666666666663</v>
      </c>
      <c r="Z11" s="519">
        <f>6.92+0.04+0.04+0.04+0.13+0.04+0.03+0.03+(0.25*30/90*0.5)+(0.25*60/90*0.16)+0.03+0.03+0.25*0.5*1/90+0.026+0.03+0.03+0.03+0.03+0.25*0.5+0.02+0.02+0.02</f>
        <v>7.7307222222222229</v>
      </c>
      <c r="AA11" s="520">
        <f>5.8+0.05+0.05+0.05+0.05+0.04+0.04+0.03+0.02</f>
        <v>6.129999999999999</v>
      </c>
      <c r="AB11" s="519">
        <f>4.28+(0.4/3)+0.4+0.4+0.35+0.35+0.35+0.35+0.3+0.3+0.25+0.25+0.25+0.2+0.04+0.17+0.16+0.03+0.15+0.13+0.02</f>
        <v>8.8633333333333315</v>
      </c>
      <c r="AC11" s="520">
        <f>2.7+0.08+0.08+0.08+0.08+0.08+0.06+0.06+0.06*10/90+0.03</f>
        <v>3.2566666666666673</v>
      </c>
      <c r="AD11" s="519">
        <f>9+1*5/90+0.85+0.85*30/90+0.65+0.55+0.5+0.4+0.35+0.35+0.25</f>
        <v>13.238888888888889</v>
      </c>
      <c r="AE11" s="351">
        <v>1011</v>
      </c>
      <c r="AF11" s="637">
        <f t="shared" si="11"/>
        <v>9.4975485505216888</v>
      </c>
      <c r="AG11" s="637">
        <f t="shared" si="12"/>
        <v>10.258524904411749</v>
      </c>
      <c r="AH11" s="343">
        <f t="shared" si="13"/>
        <v>4.0377029806724121</v>
      </c>
      <c r="AI11" s="343">
        <f t="shared" si="14"/>
        <v>9.8821106844932327</v>
      </c>
      <c r="AJ11" s="343">
        <f t="shared" si="15"/>
        <v>11.824597371299996</v>
      </c>
      <c r="AK11" s="343">
        <f t="shared" si="16"/>
        <v>0.7622242145751621</v>
      </c>
      <c r="AL11" s="343">
        <f t="shared" si="17"/>
        <v>0.9572995210866001</v>
      </c>
      <c r="AM11" s="338">
        <f t="shared" si="18"/>
        <v>14.497556119880491</v>
      </c>
      <c r="AN11" s="338">
        <f t="shared" si="19"/>
        <v>15.659150328926907</v>
      </c>
      <c r="AO11" s="479">
        <v>3</v>
      </c>
      <c r="AP11" s="479">
        <v>2</v>
      </c>
      <c r="AQ11" s="624">
        <f t="shared" si="20"/>
        <v>0.1158</v>
      </c>
      <c r="AR11" s="289">
        <v>33410</v>
      </c>
      <c r="AS11">
        <f t="shared" si="21"/>
        <v>33410</v>
      </c>
      <c r="AT11" s="422">
        <f t="shared" si="22"/>
        <v>-2580</v>
      </c>
    </row>
    <row r="12" spans="1:46" s="289" customFormat="1" x14ac:dyDescent="0.25">
      <c r="A12" s="416" t="s">
        <v>448</v>
      </c>
      <c r="B12" s="416" t="s">
        <v>66</v>
      </c>
      <c r="C12" s="417">
        <f t="shared" ca="1" si="4"/>
        <v>3.3214285714285716</v>
      </c>
      <c r="D12" s="691" t="s">
        <v>980</v>
      </c>
      <c r="E12" s="419">
        <v>30</v>
      </c>
      <c r="F12" s="229">
        <f ca="1">46-41471+$D$1-112-112-112-112-112-112-112-112-112-112-112-112-112-112</f>
        <v>76</v>
      </c>
      <c r="G12" s="420" t="s">
        <v>311</v>
      </c>
      <c r="H12" s="401">
        <v>0</v>
      </c>
      <c r="I12" s="335">
        <v>12.2</v>
      </c>
      <c r="J12" s="520">
        <f t="shared" si="5"/>
        <v>1.4940985749411331</v>
      </c>
      <c r="K12" s="330">
        <f t="shared" si="6"/>
        <v>0</v>
      </c>
      <c r="L12" s="330">
        <f t="shared" si="7"/>
        <v>12.2</v>
      </c>
      <c r="M12" s="421">
        <v>7.4</v>
      </c>
      <c r="N12" s="478">
        <f t="shared" si="8"/>
        <v>93</v>
      </c>
      <c r="O12" s="478" t="s">
        <v>676</v>
      </c>
      <c r="P12" s="712">
        <v>1.5</v>
      </c>
      <c r="Q12" s="478">
        <v>4</v>
      </c>
      <c r="R12" s="534">
        <f t="shared" si="9"/>
        <v>0.7559289460184544</v>
      </c>
      <c r="S12" s="534">
        <f t="shared" si="10"/>
        <v>0.84430867747355465</v>
      </c>
      <c r="T12" s="351">
        <v>207980</v>
      </c>
      <c r="U12" s="660">
        <f t="shared" si="2"/>
        <v>-15440</v>
      </c>
      <c r="V12" s="351">
        <v>15530</v>
      </c>
      <c r="W12" s="343">
        <f t="shared" si="3"/>
        <v>13.392144236960721</v>
      </c>
      <c r="X12" s="519">
        <v>0</v>
      </c>
      <c r="Y12" s="520">
        <v>11.95</v>
      </c>
      <c r="Z12" s="519">
        <f>9.9+0.17+(0.17/90*26)+0.17+0.15+0.15+0.15+0.13+0.13+(1/8)+0.13+0.13+0.13*0.5+0.11+0.11+0.11*0.5+0.11*0.5+0.1*0.5+0.1*0.5+0.1+0.1+0.1*0.5+0.09+0.09*0.5+0.09*0.5+0.09*0.5+0.09*0.5+0.09*0.5</f>
        <v>12.444111111111114</v>
      </c>
      <c r="AA12" s="520">
        <v>13.05</v>
      </c>
      <c r="AB12" s="519">
        <f>10.7+0.07+0.07+0.07</f>
        <v>10.91</v>
      </c>
      <c r="AC12" s="520">
        <f>5.71+0.29+0.29+0.29+0.25+0.25+0.2+0.2+0.2+0.015+0.15*0.5</f>
        <v>7.7700000000000005</v>
      </c>
      <c r="AD12" s="519">
        <f>10.8+0.67+0.55+0.55+0.45+0.45+0.4+0.4+0.35+0.35+0.33+0.33+0.3+0.3+0.25+0.25+0.2+0.2</f>
        <v>17.13</v>
      </c>
      <c r="AE12" s="351">
        <v>2108</v>
      </c>
      <c r="AF12" s="637">
        <f t="shared" si="11"/>
        <v>11.670189576389369</v>
      </c>
      <c r="AG12" s="637">
        <f t="shared" si="12"/>
        <v>13.047668601558053</v>
      </c>
      <c r="AH12" s="343">
        <f t="shared" si="13"/>
        <v>4.0397122308918778</v>
      </c>
      <c r="AI12" s="343">
        <f t="shared" si="14"/>
        <v>16.128997280575486</v>
      </c>
      <c r="AJ12" s="343">
        <f t="shared" si="15"/>
        <v>13.08974014490691</v>
      </c>
      <c r="AK12" s="343">
        <f t="shared" si="16"/>
        <v>1.1419278859952908</v>
      </c>
      <c r="AL12" s="343">
        <f t="shared" si="17"/>
        <v>1.2014869002458792</v>
      </c>
      <c r="AM12" s="338">
        <f t="shared" si="18"/>
        <v>15.177904053388803</v>
      </c>
      <c r="AN12" s="338">
        <f t="shared" si="19"/>
        <v>16.96941260967348</v>
      </c>
      <c r="AO12" s="478">
        <v>1</v>
      </c>
      <c r="AP12" s="478">
        <v>2</v>
      </c>
      <c r="AQ12" s="624">
        <f t="shared" si="20"/>
        <v>4.9399999999999999E-2</v>
      </c>
      <c r="AR12" s="289">
        <v>223420</v>
      </c>
      <c r="AS12">
        <f t="shared" si="21"/>
        <v>223420</v>
      </c>
      <c r="AT12" s="422">
        <f t="shared" si="22"/>
        <v>15440</v>
      </c>
    </row>
    <row r="13" spans="1:46" s="272" customFormat="1" x14ac:dyDescent="0.25">
      <c r="A13" s="416" t="s">
        <v>450</v>
      </c>
      <c r="B13" s="416" t="s">
        <v>66</v>
      </c>
      <c r="C13" s="417">
        <f t="shared" ca="1" si="4"/>
        <v>3.7946428571428572</v>
      </c>
      <c r="D13" s="691" t="s">
        <v>338</v>
      </c>
      <c r="E13" s="419">
        <v>30</v>
      </c>
      <c r="F13" s="427">
        <f ca="1">75-41471+$D$1-24-112-10-112-40-8-112-112-112-112-112-112-112-112-112-112-112-112</f>
        <v>23</v>
      </c>
      <c r="G13" s="420" t="s">
        <v>308</v>
      </c>
      <c r="H13" s="401">
        <v>2</v>
      </c>
      <c r="I13" s="335">
        <v>10.199999999999999</v>
      </c>
      <c r="J13" s="520">
        <f t="shared" si="5"/>
        <v>1.3989573635602419</v>
      </c>
      <c r="K13" s="330">
        <f t="shared" si="6"/>
        <v>40.799999999999997</v>
      </c>
      <c r="L13" s="330">
        <f t="shared" si="7"/>
        <v>91.8</v>
      </c>
      <c r="M13" s="421">
        <v>7.6</v>
      </c>
      <c r="N13" s="478">
        <f t="shared" si="8"/>
        <v>95</v>
      </c>
      <c r="O13" s="478" t="s">
        <v>676</v>
      </c>
      <c r="P13" s="712">
        <v>1.5</v>
      </c>
      <c r="Q13" s="478">
        <v>5</v>
      </c>
      <c r="R13" s="534">
        <f t="shared" si="9"/>
        <v>0.84515425472851657</v>
      </c>
      <c r="S13" s="534">
        <f t="shared" si="10"/>
        <v>0.92504826128926143</v>
      </c>
      <c r="T13" s="351">
        <v>101190</v>
      </c>
      <c r="U13" s="660">
        <f t="shared" si="2"/>
        <v>-1450</v>
      </c>
      <c r="V13" s="351">
        <v>10060</v>
      </c>
      <c r="W13" s="343">
        <f t="shared" si="3"/>
        <v>10.058648111332008</v>
      </c>
      <c r="X13" s="519">
        <v>0</v>
      </c>
      <c r="Y13" s="520">
        <f>7+0.11</f>
        <v>7.11</v>
      </c>
      <c r="Z13" s="519">
        <f>10+0.1*0.5+0.1*0.5+0.1*0.5+0.1*0.5+0.1*0.5+0.1</f>
        <v>10.350000000000003</v>
      </c>
      <c r="AA13" s="520">
        <f>12+0.165+0.15+0.15+0.15+0.13+0.13+0.12+0.11+0.1+0.1</f>
        <v>13.305</v>
      </c>
      <c r="AB13" s="519">
        <f>6.1+0.33+0.3+0.3+0.25+0.25+0.25+0.25+0.25+0.2+0.2+0.2+0.2+0.15+0.13+0.13+0.13+0.12+0.12+0.11+0.1+0.08+0.07+0.07+0.07</f>
        <v>10.359999999999998</v>
      </c>
      <c r="AC13" s="520">
        <f>2.7+0.06+0.33+0.33+0.33+0.33+0.33+0.33+0.33+0.25+0.17*0.5</f>
        <v>5.4050000000000002</v>
      </c>
      <c r="AD13" s="519">
        <f>11.48+0.6+0.6*1.25+0.5+0.5+0.39+0.39+0.39+0.3+0.3+0.3+0.25+0.25+0.25+0.25+0.2+0.2</f>
        <v>17.300000000000004</v>
      </c>
      <c r="AE13" s="351">
        <v>1615</v>
      </c>
      <c r="AF13" s="637">
        <f t="shared" si="11"/>
        <v>11.197412686529651</v>
      </c>
      <c r="AG13" s="637">
        <f t="shared" si="12"/>
        <v>12.266151028213626</v>
      </c>
      <c r="AH13" s="343">
        <f t="shared" si="13"/>
        <v>3.8588551699203903</v>
      </c>
      <c r="AI13" s="343">
        <f t="shared" si="14"/>
        <v>14.616094109203582</v>
      </c>
      <c r="AJ13" s="343">
        <f t="shared" si="15"/>
        <v>14.055301798894128</v>
      </c>
      <c r="AK13" s="343">
        <f t="shared" si="16"/>
        <v>1.0211665890848196</v>
      </c>
      <c r="AL13" s="343">
        <f t="shared" si="17"/>
        <v>1.0063270154492172</v>
      </c>
      <c r="AM13" s="338">
        <f t="shared" si="18"/>
        <v>17.025463624208776</v>
      </c>
      <c r="AN13" s="338">
        <f t="shared" si="19"/>
        <v>18.65046095792561</v>
      </c>
      <c r="AO13" s="478">
        <v>4</v>
      </c>
      <c r="AP13" s="478">
        <v>4</v>
      </c>
      <c r="AQ13" s="624">
        <f t="shared" si="20"/>
        <v>0.157</v>
      </c>
      <c r="AR13" s="272">
        <v>102640</v>
      </c>
      <c r="AS13">
        <f t="shared" si="21"/>
        <v>102640</v>
      </c>
      <c r="AT13" s="422">
        <f t="shared" si="22"/>
        <v>1450</v>
      </c>
    </row>
    <row r="14" spans="1:46" s="288" customFormat="1" x14ac:dyDescent="0.25">
      <c r="A14" s="416" t="s">
        <v>449</v>
      </c>
      <c r="B14" s="416" t="s">
        <v>66</v>
      </c>
      <c r="C14" s="417">
        <f t="shared" ca="1" si="4"/>
        <v>6.6607142857142856</v>
      </c>
      <c r="D14" s="691" t="s">
        <v>600</v>
      </c>
      <c r="E14" s="419">
        <v>27</v>
      </c>
      <c r="F14" s="229">
        <f ca="1">7-41471+$D$1-112-111-112+4-112-116-112-112-112-112-112-112-112-112-112</f>
        <v>38</v>
      </c>
      <c r="G14" s="420" t="s">
        <v>595</v>
      </c>
      <c r="H14" s="401">
        <v>2</v>
      </c>
      <c r="I14" s="335">
        <v>8.6</v>
      </c>
      <c r="J14" s="520">
        <f t="shared" si="5"/>
        <v>1.3096949773860913</v>
      </c>
      <c r="K14" s="330">
        <f t="shared" si="6"/>
        <v>34.4</v>
      </c>
      <c r="L14" s="330">
        <f t="shared" si="7"/>
        <v>77.399999999999991</v>
      </c>
      <c r="M14" s="421">
        <v>7.9</v>
      </c>
      <c r="N14" s="478">
        <f t="shared" si="8"/>
        <v>98</v>
      </c>
      <c r="O14" s="478" t="s">
        <v>676</v>
      </c>
      <c r="P14" s="712">
        <v>1.5</v>
      </c>
      <c r="Q14" s="478">
        <v>4</v>
      </c>
      <c r="R14" s="534">
        <f t="shared" si="9"/>
        <v>0.7559289460184544</v>
      </c>
      <c r="S14" s="534">
        <f t="shared" si="10"/>
        <v>0.84430867747355465</v>
      </c>
      <c r="T14" s="351">
        <v>166950</v>
      </c>
      <c r="U14" s="660">
        <f t="shared" si="2"/>
        <v>4560</v>
      </c>
      <c r="V14" s="351">
        <v>12550</v>
      </c>
      <c r="W14" s="343">
        <f t="shared" si="3"/>
        <v>13.302788844621514</v>
      </c>
      <c r="X14" s="519">
        <v>0</v>
      </c>
      <c r="Y14" s="520">
        <f>8+0.12</f>
        <v>8.1199999999999992</v>
      </c>
      <c r="Z14" s="519">
        <f>8.4+0.22+0.22+(0.22*75/90)+(0.05*15/90)+0.17+0.17+0.17+0.17+0.17+1/7+0.16+0.16+0.16+0.125+0.16+0.16+0.14+0.14+0.05*61/90+0.11+0.11*0.5+0.11+0.11+0.11+0.1+0.1+0.1*0.5</f>
        <v>12.008412698412698</v>
      </c>
      <c r="AA14" s="520">
        <f>10.6+0.21+0.2+0.18+0.17+0.17+0.03+0.15+0.15+0.14+0.13</f>
        <v>12.13</v>
      </c>
      <c r="AB14" s="519">
        <f>6+0.33+0.33+0.33+0.3+0.25+0.25+0.24+0.24+0.23+0.2+0.2+0.18+0.15+0.15+0.15+0.15+0.13+0.13+0.12+0.1+0.08</f>
        <v>10.24</v>
      </c>
      <c r="AC14" s="520">
        <f>4.7+0.33+0.33+(0.33*85/90)+0.33+0.32+0.3+0.3+0.27+0.21+0.15*0.5</f>
        <v>7.4766666666666666</v>
      </c>
      <c r="AD14" s="519">
        <f>9+0.67+0.67+0.67+0.55+0.55+0.45+0.45*70/90+0.4+0.35+0.35+0.3+0.25+0.25+0.25+0.21</f>
        <v>15.270000000000001</v>
      </c>
      <c r="AE14" s="351">
        <v>1775</v>
      </c>
      <c r="AF14" s="637">
        <f t="shared" si="11"/>
        <v>11.201436517354548</v>
      </c>
      <c r="AG14" s="637">
        <f t="shared" si="12"/>
        <v>12.523586749226636</v>
      </c>
      <c r="AH14" s="343">
        <f t="shared" si="13"/>
        <v>3.4989196430992791</v>
      </c>
      <c r="AI14" s="343">
        <f t="shared" si="14"/>
        <v>14.679529769467322</v>
      </c>
      <c r="AJ14" s="343">
        <f t="shared" si="15"/>
        <v>11.899602892799466</v>
      </c>
      <c r="AK14" s="343">
        <f t="shared" si="16"/>
        <v>1.0567089315242206</v>
      </c>
      <c r="AL14" s="343">
        <f t="shared" si="17"/>
        <v>0.97957864841702647</v>
      </c>
      <c r="AM14" s="338">
        <f t="shared" si="18"/>
        <v>13.618814330468719</v>
      </c>
      <c r="AN14" s="338">
        <f t="shared" si="19"/>
        <v>15.226297307938172</v>
      </c>
      <c r="AO14" s="478">
        <v>3</v>
      </c>
      <c r="AP14" s="478">
        <v>2</v>
      </c>
      <c r="AQ14" s="624">
        <f t="shared" si="20"/>
        <v>0.1158</v>
      </c>
      <c r="AR14" s="288">
        <v>162390</v>
      </c>
      <c r="AS14">
        <f t="shared" si="21"/>
        <v>162390</v>
      </c>
      <c r="AT14" s="422">
        <f t="shared" si="22"/>
        <v>-4560</v>
      </c>
    </row>
    <row r="15" spans="1:46" s="289" customFormat="1" x14ac:dyDescent="0.25">
      <c r="A15" s="416" t="s">
        <v>446</v>
      </c>
      <c r="B15" s="285" t="s">
        <v>65</v>
      </c>
      <c r="C15" s="417">
        <f t="shared" ca="1" si="4"/>
        <v>4.6875</v>
      </c>
      <c r="D15" s="692" t="s">
        <v>752</v>
      </c>
      <c r="E15" s="228">
        <v>29</v>
      </c>
      <c r="F15" s="229">
        <f ca="1">7-41471+$D$1-112-111-3-112-112-112-112-112-112-112-112-112-112-112-112</f>
        <v>35</v>
      </c>
      <c r="G15" s="420" t="s">
        <v>308</v>
      </c>
      <c r="H15" s="401">
        <v>3</v>
      </c>
      <c r="I15" s="232">
        <v>10.4</v>
      </c>
      <c r="J15" s="520">
        <f t="shared" si="5"/>
        <v>1.4092064684486303</v>
      </c>
      <c r="K15" s="330">
        <f t="shared" si="6"/>
        <v>93.600000000000009</v>
      </c>
      <c r="L15" s="330">
        <f t="shared" si="7"/>
        <v>166.4</v>
      </c>
      <c r="M15" s="323">
        <v>7.9</v>
      </c>
      <c r="N15" s="478">
        <f t="shared" si="8"/>
        <v>98</v>
      </c>
      <c r="O15" s="478" t="s">
        <v>676</v>
      </c>
      <c r="P15" s="712">
        <v>1.5</v>
      </c>
      <c r="Q15" s="479">
        <v>6</v>
      </c>
      <c r="R15" s="534">
        <f t="shared" si="9"/>
        <v>0.92582009977255142</v>
      </c>
      <c r="S15" s="534">
        <f t="shared" si="10"/>
        <v>0.99928545900129484</v>
      </c>
      <c r="T15" s="351">
        <v>219310</v>
      </c>
      <c r="U15" s="660">
        <f t="shared" si="2"/>
        <v>3150</v>
      </c>
      <c r="V15" s="661">
        <v>21080</v>
      </c>
      <c r="W15" s="343">
        <f t="shared" si="3"/>
        <v>10.403700189753321</v>
      </c>
      <c r="X15" s="519">
        <v>0</v>
      </c>
      <c r="Y15" s="520">
        <f>5.6+0.26+0.26+0.26+(0.26*23/90)+(0.05*(90-23)/90)+0.26+0.26+0.23+0.23+0.22+0.15+0.15+0.14+0.13+0.13+0.13+0.12+0.12+0.12+0.02+0.1+0.1+0.1</f>
        <v>9.1936666666666653</v>
      </c>
      <c r="Z15" s="519">
        <f>13+0.1+0.1+0.1+0.1+0.1+0.1</f>
        <v>13.599999999999998</v>
      </c>
      <c r="AA15" s="520">
        <f>11.58+0.17+(0.17/2)+0.17+0.15+0.03+0.15+0.14+0.13+0.12</f>
        <v>12.725000000000001</v>
      </c>
      <c r="AB15" s="519">
        <f>5.21+0.4+0.4+0.33+0.33+0.33+0.33+0.3+0.3+0.23+0.23+0.22*30/90+0.15+0.15+0.15+0.13+0.12+0.11+0.11+0.08+0.07+0.07+0.07</f>
        <v>9.6733333333333356</v>
      </c>
      <c r="AC15" s="520">
        <f>2.9+0.33+(0.33*46/90)+0.03+0.07+0.07+(0.33*33/90)+0.33+0.33+0.33+0.25+0.2*0.5</f>
        <v>5.0296666666666656</v>
      </c>
      <c r="AD15" s="519">
        <f>15+0.2</f>
        <v>15.2</v>
      </c>
      <c r="AE15" s="351">
        <v>1791</v>
      </c>
      <c r="AF15" s="637">
        <f t="shared" si="11"/>
        <v>15.284555179784761</v>
      </c>
      <c r="AG15" s="637">
        <f t="shared" si="12"/>
        <v>16.509206468448628</v>
      </c>
      <c r="AH15" s="343">
        <f t="shared" si="13"/>
        <v>4.312927465355342</v>
      </c>
      <c r="AI15" s="343">
        <f t="shared" si="14"/>
        <v>14.385941686346632</v>
      </c>
      <c r="AJ15" s="343">
        <f t="shared" si="15"/>
        <v>13.94109763300481</v>
      </c>
      <c r="AK15" s="343">
        <f t="shared" si="16"/>
        <v>0.94021985080922366</v>
      </c>
      <c r="AL15" s="343">
        <f t="shared" si="17"/>
        <v>1.0273911194580709</v>
      </c>
      <c r="AM15" s="338">
        <f t="shared" si="18"/>
        <v>16.716648876417086</v>
      </c>
      <c r="AN15" s="338">
        <f t="shared" si="19"/>
        <v>18.056044452398375</v>
      </c>
      <c r="AO15" s="479">
        <v>3</v>
      </c>
      <c r="AP15" s="479">
        <v>3</v>
      </c>
      <c r="AQ15" s="624">
        <f t="shared" si="20"/>
        <v>0.1158</v>
      </c>
      <c r="AR15" s="289">
        <v>216160</v>
      </c>
      <c r="AS15">
        <f t="shared" si="21"/>
        <v>216160</v>
      </c>
      <c r="AT15" s="422">
        <f t="shared" si="22"/>
        <v>-3150</v>
      </c>
    </row>
    <row r="16" spans="1:46" x14ac:dyDescent="0.25">
      <c r="A16" s="332" t="s">
        <v>447</v>
      </c>
      <c r="B16" s="416" t="s">
        <v>65</v>
      </c>
      <c r="C16" s="417">
        <f t="shared" ca="1" si="4"/>
        <v>2.3839285714285716</v>
      </c>
      <c r="D16" s="691" t="s">
        <v>325</v>
      </c>
      <c r="E16" s="419">
        <v>31</v>
      </c>
      <c r="F16" s="427">
        <f ca="1">33-41471+$D$1-112+6-112-112-112-112-112-112-112-112-112-112-112-112-112</f>
        <v>69</v>
      </c>
      <c r="G16" s="420" t="s">
        <v>308</v>
      </c>
      <c r="H16" s="426">
        <v>4</v>
      </c>
      <c r="I16" s="335">
        <v>11</v>
      </c>
      <c r="J16" s="520">
        <f t="shared" si="5"/>
        <v>1.4389083280634998</v>
      </c>
      <c r="K16" s="330">
        <f t="shared" si="6"/>
        <v>176</v>
      </c>
      <c r="L16" s="330">
        <f t="shared" si="7"/>
        <v>275</v>
      </c>
      <c r="M16" s="421">
        <v>7.1</v>
      </c>
      <c r="N16" s="478">
        <f t="shared" si="8"/>
        <v>90</v>
      </c>
      <c r="O16" s="478" t="s">
        <v>676</v>
      </c>
      <c r="P16" s="712">
        <v>1.5</v>
      </c>
      <c r="Q16" s="478">
        <v>6</v>
      </c>
      <c r="R16" s="534">
        <f t="shared" si="9"/>
        <v>0.92582009977255142</v>
      </c>
      <c r="S16" s="534">
        <f t="shared" si="10"/>
        <v>0.99928545900129484</v>
      </c>
      <c r="T16" s="351">
        <v>105460</v>
      </c>
      <c r="U16" s="660">
        <f t="shared" si="2"/>
        <v>-330</v>
      </c>
      <c r="V16" s="351">
        <v>16970</v>
      </c>
      <c r="W16" s="343">
        <f t="shared" si="3"/>
        <v>6.2144961697112553</v>
      </c>
      <c r="X16" s="519">
        <v>0</v>
      </c>
      <c r="Y16" s="520">
        <f>5.25+0.25+0.25+0.25+0.24+0.24+0.24+0.24+0.23+0.22+0.17+(0.17*25/90)+0.16+0.16+0.03+0.15+0.14+0.14+0.13+0.02+0.11*33/90+0.01</f>
        <v>8.6075555555555585</v>
      </c>
      <c r="Z16" s="519">
        <f>11.65+0.13+0.13+0.13+0.11+0.11+0.11+0.1+0.1+0.1+0.1+0.1+0.1+0.1+0.1+0.1+0.1+0.091*83/90+0.091+0.091+0.091+0.091+0.091+0.091+1/21+1/21+1/21</f>
        <v>14.142779365079358</v>
      </c>
      <c r="AA16" s="520">
        <v>9.99</v>
      </c>
      <c r="AB16" s="519">
        <f>6.01+0.25+0.25+0.25+0.25+0.25+0.25+0.25+0.25+0.24+0.21+0.2+0.2+0.15+0.13+0.13+0.12+0.11+0.11+0.11+0.1+0.08+0.07+0.06+0.06</f>
        <v>10.09</v>
      </c>
      <c r="AC16" s="520">
        <f>3.79+0.04+0.04+0.03+0.03+0.21+0.03+0.03+0.2*45/90+0.2*0.5</f>
        <v>4.3999999999999995</v>
      </c>
      <c r="AD16" s="519">
        <f>10.7+0.5+0.5*80/90+0.5+0.45+0.45+0.45+0.45+0.35+0.3+0.3+0.25+0.25+0.25+0.25+0.25+0.2+0.2</f>
        <v>16.544444444444441</v>
      </c>
      <c r="AE16" s="351">
        <v>1778</v>
      </c>
      <c r="AF16" s="637">
        <f t="shared" si="11"/>
        <v>15.814569804349084</v>
      </c>
      <c r="AG16" s="637">
        <f t="shared" si="12"/>
        <v>17.081687693142857</v>
      </c>
      <c r="AH16" s="343">
        <f t="shared" si="13"/>
        <v>4.3518498451478385</v>
      </c>
      <c r="AI16" s="343">
        <f t="shared" si="14"/>
        <v>14.16359570123506</v>
      </c>
      <c r="AJ16" s="343">
        <f t="shared" si="15"/>
        <v>14.66500837757579</v>
      </c>
      <c r="AK16" s="343">
        <f t="shared" si="16"/>
        <v>0.95144599957841314</v>
      </c>
      <c r="AL16" s="343">
        <f t="shared" si="17"/>
        <v>1.0463591385200004</v>
      </c>
      <c r="AM16" s="338">
        <f t="shared" si="18"/>
        <v>17.991432395463271</v>
      </c>
      <c r="AN16" s="338">
        <f t="shared" si="19"/>
        <v>19.432968024655409</v>
      </c>
      <c r="AO16" s="478">
        <v>2</v>
      </c>
      <c r="AP16" s="478">
        <v>2</v>
      </c>
      <c r="AQ16" s="624">
        <f t="shared" si="20"/>
        <v>6.1499999999999999E-2</v>
      </c>
      <c r="AR16">
        <v>105790</v>
      </c>
      <c r="AS16">
        <f t="shared" si="21"/>
        <v>105790</v>
      </c>
      <c r="AT16" s="422">
        <f t="shared" si="22"/>
        <v>330</v>
      </c>
    </row>
    <row r="17" spans="1:46" s="4" customFormat="1" x14ac:dyDescent="0.25">
      <c r="A17" s="416" t="s">
        <v>444</v>
      </c>
      <c r="B17" s="416" t="s">
        <v>65</v>
      </c>
      <c r="C17" s="417">
        <f t="shared" ca="1" si="4"/>
        <v>3.4375</v>
      </c>
      <c r="D17" s="691" t="s">
        <v>312</v>
      </c>
      <c r="E17" s="419">
        <v>30</v>
      </c>
      <c r="F17" s="427">
        <f ca="1">33-41471+$D$1-112-112-112-112-112-112-112-112-112-112-112-112-112-112</f>
        <v>63</v>
      </c>
      <c r="G17" s="420"/>
      <c r="H17" s="401">
        <v>3</v>
      </c>
      <c r="I17" s="335">
        <v>9</v>
      </c>
      <c r="J17" s="520">
        <f t="shared" si="5"/>
        <v>1.3333333333333333</v>
      </c>
      <c r="K17" s="330">
        <f t="shared" si="6"/>
        <v>81</v>
      </c>
      <c r="L17" s="330">
        <f t="shared" si="7"/>
        <v>144</v>
      </c>
      <c r="M17" s="421">
        <v>7.4</v>
      </c>
      <c r="N17" s="478">
        <f t="shared" si="8"/>
        <v>93</v>
      </c>
      <c r="O17" s="478" t="s">
        <v>676</v>
      </c>
      <c r="P17" s="712">
        <v>1.5</v>
      </c>
      <c r="Q17" s="478">
        <v>6</v>
      </c>
      <c r="R17" s="534">
        <f t="shared" si="9"/>
        <v>0.92582009977255142</v>
      </c>
      <c r="S17" s="534">
        <f t="shared" si="10"/>
        <v>0.99928545900129484</v>
      </c>
      <c r="T17" s="351">
        <v>82720</v>
      </c>
      <c r="U17" s="660">
        <f t="shared" si="2"/>
        <v>2300</v>
      </c>
      <c r="V17" s="351">
        <v>11270</v>
      </c>
      <c r="W17" s="343">
        <f t="shared" si="3"/>
        <v>7.3398402839396626</v>
      </c>
      <c r="X17" s="519">
        <v>0</v>
      </c>
      <c r="Y17" s="520">
        <f>7.5+0.2+0.2+0.2+0.2+0.2+0.16+0.16+0.14+0.14+0.13+0.13+0.12+0.12+0.12+0.12+0.11+0.1+0.1+0.1+0.1</f>
        <v>10.349999999999996</v>
      </c>
      <c r="Z17" s="519">
        <f>10.8+0.08+(0.16*77/90)+0.08+0.07+((0.07*37/90)+0.14*53/90)+(0.07*23/90)+0.06+0.06+0.06+0.06+0.06+0.12+0.1+0.1+0.1*0.5*32/90+0.1*0.5+0.1+0.1+0.1+0.1*0.16+0.1*0.5+0.1+0.1+0.1+0.1+0.1</f>
        <v>12.849777777777778</v>
      </c>
      <c r="AA17" s="520">
        <f>4.85+0.05+0.05+0.05+0.03+0.03+0.02+0.02+0.02</f>
        <v>5.1199999999999983</v>
      </c>
      <c r="AB17" s="519">
        <f>8.95+0.08+0.07+0.07+0.07</f>
        <v>9.24</v>
      </c>
      <c r="AC17" s="520">
        <v>2.98</v>
      </c>
      <c r="AD17" s="519">
        <f>11+0.5+0.5+0.5+0.45+0.45+0.45+0.4+0.35+0.33+0.33+0.3+0.3+0.3+0.2+0.2+0.2+0.2</f>
        <v>16.959999999999997</v>
      </c>
      <c r="AE17" s="351">
        <v>1451</v>
      </c>
      <c r="AF17" s="637">
        <f t="shared" si="11"/>
        <v>14.519739493632899</v>
      </c>
      <c r="AG17" s="637">
        <f t="shared" si="12"/>
        <v>15.683111111111112</v>
      </c>
      <c r="AH17" s="343">
        <f t="shared" si="13"/>
        <v>4.3201080405636683</v>
      </c>
      <c r="AI17" s="343">
        <f t="shared" si="14"/>
        <v>11.976840860037615</v>
      </c>
      <c r="AJ17" s="343">
        <f t="shared" si="15"/>
        <v>14.442176343051951</v>
      </c>
      <c r="AK17" s="343">
        <f t="shared" si="16"/>
        <v>0.88446666666666651</v>
      </c>
      <c r="AL17" s="343">
        <f t="shared" si="17"/>
        <v>1.1211333333333333</v>
      </c>
      <c r="AM17" s="338">
        <f t="shared" si="18"/>
        <v>18.268581568863066</v>
      </c>
      <c r="AN17" s="338">
        <f t="shared" si="19"/>
        <v>19.732323345919099</v>
      </c>
      <c r="AO17" s="478">
        <v>4</v>
      </c>
      <c r="AP17" s="478">
        <v>1</v>
      </c>
      <c r="AQ17" s="624">
        <f t="shared" si="20"/>
        <v>0.157</v>
      </c>
      <c r="AR17" s="4">
        <v>80420</v>
      </c>
      <c r="AS17">
        <f t="shared" si="21"/>
        <v>80420</v>
      </c>
      <c r="AT17" s="422">
        <f t="shared" si="22"/>
        <v>-2300</v>
      </c>
    </row>
    <row r="18" spans="1:46" s="288" customFormat="1" x14ac:dyDescent="0.25">
      <c r="A18" s="332" t="s">
        <v>451</v>
      </c>
      <c r="B18" s="285" t="s">
        <v>65</v>
      </c>
      <c r="C18" s="417">
        <f t="shared" ca="1" si="4"/>
        <v>3.6607142857142856</v>
      </c>
      <c r="D18" s="692" t="s">
        <v>440</v>
      </c>
      <c r="E18" s="228">
        <v>30</v>
      </c>
      <c r="F18" s="229">
        <f ca="1">7-41471+$D$1-112-111-112-112-112-112-112-112-112-112-112-112-112-112</f>
        <v>38</v>
      </c>
      <c r="G18" s="287"/>
      <c r="H18" s="401">
        <v>0</v>
      </c>
      <c r="I18" s="232">
        <v>8</v>
      </c>
      <c r="J18" s="520">
        <f t="shared" si="5"/>
        <v>1.2723233459190999</v>
      </c>
      <c r="K18" s="330">
        <f t="shared" si="6"/>
        <v>0</v>
      </c>
      <c r="L18" s="330">
        <f t="shared" si="7"/>
        <v>8</v>
      </c>
      <c r="M18" s="323">
        <v>7.5</v>
      </c>
      <c r="N18" s="478">
        <f t="shared" si="8"/>
        <v>94</v>
      </c>
      <c r="O18" s="478" t="s">
        <v>676</v>
      </c>
      <c r="P18" s="712">
        <v>1.5</v>
      </c>
      <c r="Q18" s="479">
        <v>7</v>
      </c>
      <c r="R18" s="534">
        <f t="shared" si="9"/>
        <v>1</v>
      </c>
      <c r="S18" s="534">
        <f t="shared" si="10"/>
        <v>1</v>
      </c>
      <c r="T18" s="351">
        <v>84480</v>
      </c>
      <c r="U18" s="660">
        <f t="shared" si="2"/>
        <v>-3290</v>
      </c>
      <c r="V18" s="661">
        <v>20790</v>
      </c>
      <c r="W18" s="343">
        <f t="shared" si="3"/>
        <v>4.0634920634920633</v>
      </c>
      <c r="X18" s="519">
        <v>0</v>
      </c>
      <c r="Y18" s="520">
        <f>3.4+0.06+0.06+0.06+0.06+0.06+0.06+0.06+0.06+(0.06*40/90)+(0.25*35/90)+0.06+(0.25*35/90)+0.05+0.25+0.05+0.05+0.22+0.2+0.15+0.15</f>
        <v>5.2811111111111115</v>
      </c>
      <c r="Z18" s="519">
        <f>11.7+0.13+0.13+0.13+0.12+0.12+0.12+0.1+0.1+0.1+0.1+0.1+0.1+0.091+0.091*33/90+0.1+0.091+0.091+0.091+0.091+0.091+0.091+0.091+0.092+1/21+1/21+1/21+1/21+1/21*80/90</f>
        <v>14.23617089947089</v>
      </c>
      <c r="AA18" s="520">
        <f>3.0625+0.06+0.06+0.06+0.05+0.05+0.05+0.04+0.03+0.03</f>
        <v>3.4924999999999993</v>
      </c>
      <c r="AB18" s="519">
        <f>4.21+0.4+0.4+0.4+0.33+0.33+0.33+0.15+0.33+0.3+0.25+0.2+0.22+0.15+0.15+0.15+0.02+0.15+0.14+0.13+0.11+0.08+0.07+0.07+0.07</f>
        <v>9.1400000000000041</v>
      </c>
      <c r="AC18" s="520">
        <f>5.75+0.28+(0.28*44/90)+0.28+0.28+0.28+0.04+0.04+0.25+0.02+0.15*0.5</f>
        <v>7.4318888888888894</v>
      </c>
      <c r="AD18" s="519">
        <f>11+0.67+0.5+0.5+0.5+0.45+0.35+0.3+0.3+0.3+0.3+0.25+0.25+0.2+0.2</f>
        <v>16.07</v>
      </c>
      <c r="AE18" s="351">
        <v>1497</v>
      </c>
      <c r="AF18" s="637">
        <f t="shared" si="11"/>
        <v>17.00849424538999</v>
      </c>
      <c r="AG18" s="637">
        <f t="shared" si="12"/>
        <v>17.00849424538999</v>
      </c>
      <c r="AH18" s="343">
        <f t="shared" si="13"/>
        <v>3.9847601436085522</v>
      </c>
      <c r="AI18" s="343">
        <f t="shared" si="14"/>
        <v>19.702270150036767</v>
      </c>
      <c r="AJ18" s="343">
        <f t="shared" si="15"/>
        <v>16.250890012585767</v>
      </c>
      <c r="AK18" s="343">
        <f t="shared" si="16"/>
        <v>1.0754803121179726</v>
      </c>
      <c r="AL18" s="343">
        <f t="shared" si="17"/>
        <v>0.88740707865878155</v>
      </c>
      <c r="AM18" s="338">
        <f t="shared" si="18"/>
        <v>18.774119982655925</v>
      </c>
      <c r="AN18" s="338">
        <f t="shared" si="19"/>
        <v>18.774119982655925</v>
      </c>
      <c r="AO18" s="479">
        <v>2</v>
      </c>
      <c r="AP18" s="479">
        <v>1</v>
      </c>
      <c r="AQ18" s="624">
        <f t="shared" si="20"/>
        <v>6.1499999999999999E-2</v>
      </c>
      <c r="AR18" s="288">
        <v>87770</v>
      </c>
      <c r="AS18">
        <f t="shared" si="21"/>
        <v>87770</v>
      </c>
      <c r="AT18" s="422">
        <f t="shared" si="22"/>
        <v>3290</v>
      </c>
    </row>
    <row r="19" spans="1:46" s="289" customFormat="1" ht="14.25" customHeight="1" x14ac:dyDescent="0.25">
      <c r="A19" s="332" t="s">
        <v>598</v>
      </c>
      <c r="B19" s="285" t="s">
        <v>65</v>
      </c>
      <c r="C19" s="417">
        <f t="shared" ca="1" si="4"/>
        <v>5.1071428571428568</v>
      </c>
      <c r="D19" s="692" t="s">
        <v>454</v>
      </c>
      <c r="E19" s="228">
        <v>28</v>
      </c>
      <c r="F19" s="229">
        <f ca="1">59-41471+$D$1-325-112-112-112-112-112-112-112-112-112-112-112</f>
        <v>100</v>
      </c>
      <c r="G19" s="287"/>
      <c r="H19" s="401">
        <v>2</v>
      </c>
      <c r="I19" s="232">
        <v>4</v>
      </c>
      <c r="J19" s="520">
        <f t="shared" si="5"/>
        <v>0.93196000578135851</v>
      </c>
      <c r="K19" s="330">
        <f t="shared" si="6"/>
        <v>16</v>
      </c>
      <c r="L19" s="330">
        <f t="shared" si="7"/>
        <v>36</v>
      </c>
      <c r="M19" s="323">
        <v>7.1</v>
      </c>
      <c r="N19" s="478">
        <f t="shared" si="8"/>
        <v>90</v>
      </c>
      <c r="O19" s="478" t="s">
        <v>676</v>
      </c>
      <c r="P19" s="712">
        <v>1.5</v>
      </c>
      <c r="Q19" s="479">
        <v>6</v>
      </c>
      <c r="R19" s="534">
        <f t="shared" si="9"/>
        <v>0.92582009977255142</v>
      </c>
      <c r="S19" s="534">
        <f t="shared" si="10"/>
        <v>0.99928545900129484</v>
      </c>
      <c r="T19" s="351">
        <v>31920</v>
      </c>
      <c r="U19" s="660">
        <f t="shared" si="2"/>
        <v>2060</v>
      </c>
      <c r="V19" s="661">
        <v>3310</v>
      </c>
      <c r="W19" s="343">
        <f t="shared" si="3"/>
        <v>9.6435045317220549</v>
      </c>
      <c r="X19" s="519">
        <v>0</v>
      </c>
      <c r="Y19" s="520">
        <f>4.45+0.06+0.2+0.06+0.06+(0.06*68/90)+0.06+0.06+0.06+0.04+(0.22*35/90)+0.04+0.04+0.04+0.04+0.04+0.04*0.5+0.2*66/90+0.02+0.12*33/90+0.02</f>
        <v>5.6315555555555523</v>
      </c>
      <c r="Z19" s="519">
        <f>8.7+0.13+0.13+0.13+0.08+(0.08*53/90)+0.02+0.01+0.02+(0.13*30/90)+(0.13*60/90*0.16)+0.02+0.02+0.143*0.5+0.143*57/90+0.143*61/90*0.5+0.02+0.143*0.5+0.14+0.01+0.01+0.12*12/90</f>
        <v>9.8423388888888876</v>
      </c>
      <c r="AA19" s="520">
        <f>6.8+0.04+0.04+0.04+0.03+0.03+0.03*17/90+0.18*33/90+0.03*3/90</f>
        <v>7.0526666666666671</v>
      </c>
      <c r="AB19" s="519">
        <f>5.2+0.38+0.38+0.33+0.3+0.3+0.3+0.3+0.28+0.25+0.2+0.2+0.15+0.15*40/90+0.14+0.13+0.12+0.12+0.11+0.01</f>
        <v>9.2666666666666639</v>
      </c>
      <c r="AC19" s="520">
        <f>3.07+0.07+0.07+0.07+0.07+0.07+(0.07*28/90)+0.07+0.03</f>
        <v>3.5417777777777766</v>
      </c>
      <c r="AD19" s="519">
        <f>10+0.65+0.65+0.5+0.4+0.25</f>
        <v>12.450000000000001</v>
      </c>
      <c r="AE19" s="351">
        <v>962</v>
      </c>
      <c r="AF19" s="637">
        <f t="shared" si="11"/>
        <v>11.363792627301724</v>
      </c>
      <c r="AG19" s="637">
        <f t="shared" si="12"/>
        <v>12.274298894670245</v>
      </c>
      <c r="AH19" s="343">
        <f t="shared" si="13"/>
        <v>3.6408765259612221</v>
      </c>
      <c r="AI19" s="343">
        <f t="shared" si="14"/>
        <v>9.7224837831896327</v>
      </c>
      <c r="AJ19" s="343">
        <f t="shared" si="15"/>
        <v>11.303794341391464</v>
      </c>
      <c r="AK19" s="343">
        <f t="shared" si="16"/>
        <v>0.74514568935139747</v>
      </c>
      <c r="AL19" s="343">
        <f t="shared" si="17"/>
        <v>0.76899942262691712</v>
      </c>
      <c r="AM19" s="338">
        <f t="shared" si="18"/>
        <v>13.658389380147515</v>
      </c>
      <c r="AN19" s="338">
        <f t="shared" si="19"/>
        <v>14.752746655103952</v>
      </c>
      <c r="AO19" s="479">
        <v>1</v>
      </c>
      <c r="AP19" s="479">
        <v>2</v>
      </c>
      <c r="AQ19" s="624">
        <f t="shared" si="20"/>
        <v>4.9399999999999999E-2</v>
      </c>
      <c r="AR19" s="289">
        <v>29860</v>
      </c>
      <c r="AS19">
        <f t="shared" si="21"/>
        <v>29860</v>
      </c>
      <c r="AT19" s="422">
        <f t="shared" si="22"/>
        <v>-2060</v>
      </c>
    </row>
    <row r="20" spans="1:46" s="288" customFormat="1" x14ac:dyDescent="0.25">
      <c r="A20" s="331" t="s">
        <v>718</v>
      </c>
      <c r="B20" s="285" t="s">
        <v>65</v>
      </c>
      <c r="C20" s="417">
        <f t="shared" ca="1" si="4"/>
        <v>5.0446428571428568</v>
      </c>
      <c r="D20" s="692" t="s">
        <v>441</v>
      </c>
      <c r="E20" s="228">
        <v>28</v>
      </c>
      <c r="F20" s="229">
        <f ca="1">7-41471+$D$1-112-111-43-112-112-112-112-112-112-112-112-112-112-112</f>
        <v>107</v>
      </c>
      <c r="G20" s="287" t="s">
        <v>311</v>
      </c>
      <c r="H20" s="426">
        <v>4</v>
      </c>
      <c r="I20" s="232">
        <v>1.2</v>
      </c>
      <c r="J20" s="520">
        <f t="shared" si="5"/>
        <v>0.45656357442960838</v>
      </c>
      <c r="K20" s="330">
        <f t="shared" si="6"/>
        <v>19.2</v>
      </c>
      <c r="L20" s="330">
        <f t="shared" si="7"/>
        <v>30</v>
      </c>
      <c r="M20" s="323">
        <v>6.9</v>
      </c>
      <c r="N20" s="478">
        <f t="shared" si="8"/>
        <v>88</v>
      </c>
      <c r="O20" s="478" t="s">
        <v>676</v>
      </c>
      <c r="P20" s="712">
        <v>1.5</v>
      </c>
      <c r="Q20" s="479">
        <v>5</v>
      </c>
      <c r="R20" s="534">
        <f t="shared" si="9"/>
        <v>0.84515425472851657</v>
      </c>
      <c r="S20" s="534">
        <f t="shared" si="10"/>
        <v>0.92504826128926143</v>
      </c>
      <c r="T20" s="661">
        <v>5500</v>
      </c>
      <c r="U20" s="660">
        <f t="shared" si="2"/>
        <v>420</v>
      </c>
      <c r="V20" s="661">
        <v>690</v>
      </c>
      <c r="W20" s="343">
        <f t="shared" si="3"/>
        <v>7.9710144927536231</v>
      </c>
      <c r="X20" s="519">
        <v>0</v>
      </c>
      <c r="Y20" s="520">
        <f>2+0.05+0.05+0.05+0.05+0.05+(0.25*31/90)+0.05+0.04+0.03+0.02</f>
        <v>2.47611111111111</v>
      </c>
      <c r="Z20" s="519">
        <f>7.1+0.01+0.02+0.04+0.04+0.04+0.02+0.02+0.02</f>
        <v>7.3099999999999978</v>
      </c>
      <c r="AA20" s="520">
        <v>4.1588235294117641</v>
      </c>
      <c r="AB20" s="519">
        <f>6+(0.35/3)+(0.35/3)+0.32+(0.3*60/90)+0.3*61/90+0.04+0.04+0.06+0.15*29/90+0.12</f>
        <v>7.2649999999999988</v>
      </c>
      <c r="AC20" s="520">
        <f>4+0.06+0.06+0.06+0.06+0.06+0.03</f>
        <v>4.3299999999999983</v>
      </c>
      <c r="AD20" s="519">
        <f>9+0.5</f>
        <v>9.5</v>
      </c>
      <c r="AE20" s="351">
        <v>634</v>
      </c>
      <c r="AF20" s="637">
        <f t="shared" si="11"/>
        <v>7.831675631641474</v>
      </c>
      <c r="AG20" s="637">
        <f t="shared" si="12"/>
        <v>8.57917081302711</v>
      </c>
      <c r="AH20" s="343">
        <f t="shared" si="13"/>
        <v>2.4166976563336884</v>
      </c>
      <c r="AI20" s="343">
        <f t="shared" si="14"/>
        <v>7.7220100425204024</v>
      </c>
      <c r="AJ20" s="343">
        <f t="shared" si="15"/>
        <v>8.3717292004129948</v>
      </c>
      <c r="AK20" s="343">
        <f t="shared" si="16"/>
        <v>0.65802508595436859</v>
      </c>
      <c r="AL20" s="343">
        <f t="shared" si="17"/>
        <v>0.52100389465451702</v>
      </c>
      <c r="AM20" s="338">
        <f t="shared" si="18"/>
        <v>9.385923958002822</v>
      </c>
      <c r="AN20" s="338">
        <f t="shared" si="19"/>
        <v>10.281764549652634</v>
      </c>
      <c r="AO20" s="479">
        <v>0</v>
      </c>
      <c r="AP20" s="479">
        <v>2</v>
      </c>
      <c r="AQ20" s="624">
        <f t="shared" si="20"/>
        <v>2.63E-2</v>
      </c>
      <c r="AR20" s="288">
        <v>5080</v>
      </c>
      <c r="AS20">
        <f t="shared" si="21"/>
        <v>5080</v>
      </c>
      <c r="AT20" s="422">
        <f t="shared" si="22"/>
        <v>-420</v>
      </c>
    </row>
    <row r="21" spans="1:46" s="288" customFormat="1" x14ac:dyDescent="0.25">
      <c r="A21" s="331" t="s">
        <v>762</v>
      </c>
      <c r="B21" s="416" t="s">
        <v>67</v>
      </c>
      <c r="C21" s="417">
        <f t="shared" ca="1" si="4"/>
        <v>5.4196428571428568</v>
      </c>
      <c r="D21" s="692" t="s">
        <v>1036</v>
      </c>
      <c r="E21" s="228">
        <v>28</v>
      </c>
      <c r="F21" s="229">
        <f ca="1">64-41471+$D$1-112-112-29-112-112-112-112-112-112-112-112-112-112-112-112</f>
        <v>65</v>
      </c>
      <c r="G21" s="287" t="s">
        <v>595</v>
      </c>
      <c r="H21" s="426">
        <v>1</v>
      </c>
      <c r="I21" s="232">
        <v>8.6</v>
      </c>
      <c r="J21" s="520">
        <f t="shared" si="5"/>
        <v>1.3096949773860913</v>
      </c>
      <c r="K21" s="330">
        <f t="shared" si="6"/>
        <v>8.6</v>
      </c>
      <c r="L21" s="330">
        <f t="shared" si="7"/>
        <v>34.4</v>
      </c>
      <c r="M21" s="323">
        <v>6.2</v>
      </c>
      <c r="N21" s="478">
        <f t="shared" si="8"/>
        <v>81</v>
      </c>
      <c r="O21" s="711">
        <v>43060</v>
      </c>
      <c r="P21" s="712">
        <f ca="1">IF((TODAY()-O21)&gt;335,1,((TODAY()-O21)^0.64)/(336^0.64))</f>
        <v>9.8595721295777455E-2</v>
      </c>
      <c r="Q21" s="479">
        <v>6</v>
      </c>
      <c r="R21" s="534">
        <f t="shared" si="9"/>
        <v>0.92582009977255142</v>
      </c>
      <c r="S21" s="534">
        <f t="shared" si="10"/>
        <v>0.99928545900129484</v>
      </c>
      <c r="T21" s="661">
        <v>296030</v>
      </c>
      <c r="U21" s="660">
        <f t="shared" si="2"/>
        <v>10460</v>
      </c>
      <c r="V21" s="661">
        <f>42600</f>
        <v>42600</v>
      </c>
      <c r="W21" s="343">
        <f t="shared" si="3"/>
        <v>6.9490610328638498</v>
      </c>
      <c r="X21" s="519">
        <v>0</v>
      </c>
      <c r="Y21" s="520">
        <v>2</v>
      </c>
      <c r="Z21" s="519">
        <v>14.5</v>
      </c>
      <c r="AA21" s="520">
        <v>12</v>
      </c>
      <c r="AB21" s="519">
        <v>12</v>
      </c>
      <c r="AC21" s="520">
        <v>8</v>
      </c>
      <c r="AD21" s="519">
        <v>2</v>
      </c>
      <c r="AE21" s="351">
        <v>1782</v>
      </c>
      <c r="AF21" s="637">
        <f t="shared" ca="1" si="11"/>
        <v>14.728215281864399</v>
      </c>
      <c r="AG21" s="637">
        <f t="shared" ca="1" si="12"/>
        <v>15.908290698681869</v>
      </c>
      <c r="AH21" s="343">
        <f t="shared" ca="1" si="13"/>
        <v>3.4978492624466937</v>
      </c>
      <c r="AI21" s="343">
        <f t="shared" ca="1" si="14"/>
        <v>9.1585109521668127</v>
      </c>
      <c r="AJ21" s="343">
        <f t="shared" ca="1" si="15"/>
        <v>4.8219402142980989</v>
      </c>
      <c r="AK21" s="343">
        <f t="shared" ca="1" si="16"/>
        <v>0.57266325589454947</v>
      </c>
      <c r="AL21" s="343">
        <f t="shared" ca="1" si="17"/>
        <v>0.2385803489077308</v>
      </c>
      <c r="AM21" s="338">
        <f t="shared" ca="1" si="18"/>
        <v>3.096492032562459</v>
      </c>
      <c r="AN21" s="338">
        <f t="shared" ca="1" si="19"/>
        <v>3.3445936562872012</v>
      </c>
      <c r="AO21" s="479">
        <v>3</v>
      </c>
      <c r="AP21" s="479">
        <v>3</v>
      </c>
      <c r="AQ21" s="624">
        <f t="shared" si="20"/>
        <v>0.1158</v>
      </c>
      <c r="AR21" s="288">
        <v>285570</v>
      </c>
      <c r="AS21">
        <f t="shared" si="21"/>
        <v>285570</v>
      </c>
      <c r="AT21" s="422">
        <f t="shared" si="22"/>
        <v>-10460</v>
      </c>
    </row>
    <row r="22" spans="1:46" s="272" customFormat="1" x14ac:dyDescent="0.25">
      <c r="A22" s="416" t="s">
        <v>599</v>
      </c>
      <c r="B22" s="416" t="s">
        <v>67</v>
      </c>
      <c r="C22" s="417">
        <f t="shared" ca="1" si="4"/>
        <v>4.3303571428571432</v>
      </c>
      <c r="D22" s="691" t="s">
        <v>327</v>
      </c>
      <c r="E22" s="419">
        <v>29</v>
      </c>
      <c r="F22" s="427">
        <f ca="1">74-41471+$D$1-112-112-29-112-112-112-112-112-112-112-112-112-112-112-112</f>
        <v>75</v>
      </c>
      <c r="G22" s="420" t="s">
        <v>336</v>
      </c>
      <c r="H22" s="401">
        <v>3</v>
      </c>
      <c r="I22" s="335">
        <v>10</v>
      </c>
      <c r="J22" s="520">
        <f t="shared" si="5"/>
        <v>1.3885235802109668</v>
      </c>
      <c r="K22" s="330">
        <f t="shared" si="6"/>
        <v>90</v>
      </c>
      <c r="L22" s="330">
        <f t="shared" si="7"/>
        <v>160</v>
      </c>
      <c r="M22" s="421">
        <v>7.5</v>
      </c>
      <c r="N22" s="478">
        <f t="shared" si="8"/>
        <v>94</v>
      </c>
      <c r="O22" s="478" t="s">
        <v>676</v>
      </c>
      <c r="P22" s="712">
        <v>1.5</v>
      </c>
      <c r="Q22" s="478">
        <v>6</v>
      </c>
      <c r="R22" s="534">
        <f t="shared" si="9"/>
        <v>0.92582009977255142</v>
      </c>
      <c r="S22" s="534">
        <f t="shared" si="10"/>
        <v>0.99928545900129484</v>
      </c>
      <c r="T22" s="351">
        <v>50830</v>
      </c>
      <c r="U22" s="660">
        <f t="shared" si="2"/>
        <v>-160</v>
      </c>
      <c r="V22" s="351">
        <v>2360</v>
      </c>
      <c r="W22" s="343">
        <f t="shared" si="3"/>
        <v>21.538135593220339</v>
      </c>
      <c r="X22" s="519">
        <v>0</v>
      </c>
      <c r="Y22" s="520">
        <f>5+(5/7)+0.07+0.21+0.07+0.07+0.07+0.07+0.07+0.07+0.06+0.03+0.03+0.03+0.03+0.03+0.2*33/90+0.03+0.03+0.02+0.02+0.01+0.01</f>
        <v>6.8176190476190497</v>
      </c>
      <c r="Z22" s="519">
        <f>8+1/8*0.5+1/8*0.5+1/8+1/8*0.5+1/8*0.5</f>
        <v>8.375</v>
      </c>
      <c r="AA22" s="520">
        <f>7.9+0.165+0.165+0.21+0.13+0.03+0.03+0.03+0.02+0.02+0.02</f>
        <v>8.7199999999999971</v>
      </c>
      <c r="AB22" s="519">
        <f>5.1+0.33+0.33+0.33+0.3+0.29+0.04+0.28+0.28+0.27+0.27+0.27+0.22+0.22+0.15+0.15+0.15+0.14+0.13+0.12+0.11+0.1+0.08+0.01+0.01+0.01</f>
        <v>9.6900000000000013</v>
      </c>
      <c r="AC22" s="520">
        <f>6.48+0.25+0.25+0.23+0.21+0.21+0.2+0.19+0.17+0.16+0.15+1/16</f>
        <v>8.5625000000000018</v>
      </c>
      <c r="AD22" s="519">
        <f>17.99+0.2+0.15+0.15+0.15</f>
        <v>18.639999999999993</v>
      </c>
      <c r="AE22" s="351">
        <v>1314</v>
      </c>
      <c r="AF22" s="637">
        <f t="shared" si="11"/>
        <v>10.427996524821403</v>
      </c>
      <c r="AG22" s="637">
        <f t="shared" si="12"/>
        <v>11.263523580210967</v>
      </c>
      <c r="AH22" s="343">
        <f t="shared" si="13"/>
        <v>4.0346302310186024</v>
      </c>
      <c r="AI22" s="343">
        <f t="shared" si="14"/>
        <v>21.524749895928995</v>
      </c>
      <c r="AJ22" s="343">
        <f t="shared" si="15"/>
        <v>17.132554232349271</v>
      </c>
      <c r="AK22" s="343">
        <f t="shared" si="16"/>
        <v>1.2184068864168771</v>
      </c>
      <c r="AL22" s="343">
        <f t="shared" si="17"/>
        <v>1.0341014125195296</v>
      </c>
      <c r="AM22" s="338">
        <f t="shared" si="18"/>
        <v>19.880443609115915</v>
      </c>
      <c r="AN22" s="338">
        <f t="shared" si="19"/>
        <v>21.473333333333326</v>
      </c>
      <c r="AO22" s="478">
        <v>4</v>
      </c>
      <c r="AP22" s="478">
        <v>2</v>
      </c>
      <c r="AQ22" s="624">
        <f t="shared" si="20"/>
        <v>0.157</v>
      </c>
      <c r="AR22" s="272">
        <v>50990</v>
      </c>
      <c r="AS22">
        <f t="shared" si="21"/>
        <v>50990</v>
      </c>
      <c r="AT22" s="422">
        <f t="shared" si="22"/>
        <v>160</v>
      </c>
    </row>
    <row r="23" spans="1:46" s="284" customFormat="1" x14ac:dyDescent="0.25">
      <c r="A23" s="416" t="s">
        <v>702</v>
      </c>
      <c r="B23" s="416" t="s">
        <v>67</v>
      </c>
      <c r="C23" s="417">
        <f t="shared" ca="1" si="4"/>
        <v>3.7142857142857144</v>
      </c>
      <c r="D23" s="691" t="s">
        <v>1025</v>
      </c>
      <c r="E23" s="419">
        <v>30</v>
      </c>
      <c r="F23" s="229">
        <f ca="1">-41471+$D$1-748-112-112-12-112-112-112-22-112-112</f>
        <v>32</v>
      </c>
      <c r="G23" s="420" t="s">
        <v>308</v>
      </c>
      <c r="H23" s="401">
        <v>3</v>
      </c>
      <c r="I23" s="335">
        <v>10.1</v>
      </c>
      <c r="J23" s="520">
        <f t="shared" si="5"/>
        <v>1.3937639717155432</v>
      </c>
      <c r="K23" s="330">
        <f t="shared" si="6"/>
        <v>90.899999999999991</v>
      </c>
      <c r="L23" s="330">
        <f t="shared" si="7"/>
        <v>161.6</v>
      </c>
      <c r="M23" s="421">
        <v>7.5</v>
      </c>
      <c r="N23" s="478">
        <f t="shared" si="8"/>
        <v>94</v>
      </c>
      <c r="O23" s="711">
        <v>42869</v>
      </c>
      <c r="P23" s="712">
        <f ca="1">IF((TODAY()-O23)&gt;335,1,((TODAY()-O23)^0.64)/(336^0.64))</f>
        <v>0.7174672135553215</v>
      </c>
      <c r="Q23" s="478">
        <v>6</v>
      </c>
      <c r="R23" s="534">
        <f t="shared" si="9"/>
        <v>0.92582009977255142</v>
      </c>
      <c r="S23" s="534">
        <f t="shared" si="10"/>
        <v>0.99928545900129484</v>
      </c>
      <c r="T23" s="351">
        <v>272230</v>
      </c>
      <c r="U23" s="660">
        <f t="shared" si="2"/>
        <v>12210</v>
      </c>
      <c r="V23" s="351">
        <v>34128</v>
      </c>
      <c r="W23" s="343">
        <f t="shared" si="3"/>
        <v>7.9767346460384436</v>
      </c>
      <c r="X23" s="519">
        <v>0</v>
      </c>
      <c r="Y23" s="520">
        <v>2</v>
      </c>
      <c r="Z23" s="519">
        <f>14+0.09*0.16+0.09*0.5+0.09*0.16+0.01+0.01+0.01</f>
        <v>14.1038</v>
      </c>
      <c r="AA23" s="520">
        <v>3</v>
      </c>
      <c r="AB23" s="519">
        <f>15+0.01+0.01</f>
        <v>15.02</v>
      </c>
      <c r="AC23" s="520">
        <v>10</v>
      </c>
      <c r="AD23" s="519">
        <f>9+0.3</f>
        <v>9.3000000000000007</v>
      </c>
      <c r="AE23" s="351">
        <v>1915</v>
      </c>
      <c r="AF23" s="637">
        <f t="shared" ca="1" si="11"/>
        <v>15.012201789762504</v>
      </c>
      <c r="AG23" s="637">
        <f t="shared" ca="1" si="12"/>
        <v>16.215031185270863</v>
      </c>
      <c r="AH23" s="343">
        <f t="shared" ca="1" si="13"/>
        <v>4.4408920995604664</v>
      </c>
      <c r="AI23" s="343">
        <f t="shared" ca="1" si="14"/>
        <v>17.387661497454339</v>
      </c>
      <c r="AJ23" s="343">
        <f t="shared" ca="1" si="15"/>
        <v>10.759169415427358</v>
      </c>
      <c r="AK23" s="343">
        <f t="shared" ca="1" si="16"/>
        <v>0.9478984948216691</v>
      </c>
      <c r="AL23" s="343">
        <f t="shared" ca="1" si="17"/>
        <v>0.50678618296896061</v>
      </c>
      <c r="AM23" s="338">
        <f t="shared" ca="1" si="18"/>
        <v>10.514133714427588</v>
      </c>
      <c r="AN23" s="338">
        <f t="shared" ca="1" si="19"/>
        <v>11.356562378598847</v>
      </c>
      <c r="AO23" s="478">
        <v>1</v>
      </c>
      <c r="AP23" s="478">
        <v>3</v>
      </c>
      <c r="AQ23" s="624">
        <f t="shared" si="20"/>
        <v>4.9399999999999999E-2</v>
      </c>
      <c r="AR23" s="284">
        <v>260020</v>
      </c>
      <c r="AS23">
        <f t="shared" si="21"/>
        <v>260020</v>
      </c>
      <c r="AT23" s="422">
        <f t="shared" si="22"/>
        <v>-12210</v>
      </c>
    </row>
    <row r="24" spans="1:46" s="289" customFormat="1" x14ac:dyDescent="0.25">
      <c r="A24" s="416" t="s">
        <v>633</v>
      </c>
      <c r="B24" s="416" t="s">
        <v>67</v>
      </c>
      <c r="C24" s="417">
        <f t="shared" ca="1" si="4"/>
        <v>7.0535714285714288</v>
      </c>
      <c r="D24" s="692" t="s">
        <v>634</v>
      </c>
      <c r="E24" s="228">
        <v>26</v>
      </c>
      <c r="F24" s="229">
        <f ca="1">7-41471+$D$1-112-111-43-112-112-1-112-112-112-112-112-112-112-112-112</f>
        <v>106</v>
      </c>
      <c r="G24" s="287"/>
      <c r="H24" s="428">
        <v>5</v>
      </c>
      <c r="I24" s="232">
        <v>5.3</v>
      </c>
      <c r="J24" s="520">
        <f t="shared" si="5"/>
        <v>1.0657873992714422</v>
      </c>
      <c r="K24" s="330">
        <f t="shared" si="6"/>
        <v>132.5</v>
      </c>
      <c r="L24" s="330">
        <f t="shared" si="7"/>
        <v>190.79999999999998</v>
      </c>
      <c r="M24" s="323">
        <v>7.6</v>
      </c>
      <c r="N24" s="478">
        <f t="shared" si="8"/>
        <v>95</v>
      </c>
      <c r="O24" s="478" t="s">
        <v>676</v>
      </c>
      <c r="P24" s="712">
        <v>1.5</v>
      </c>
      <c r="Q24" s="479">
        <v>3</v>
      </c>
      <c r="R24" s="534">
        <f t="shared" si="9"/>
        <v>0.65465367070797709</v>
      </c>
      <c r="S24" s="534">
        <f t="shared" si="10"/>
        <v>0.75498344352707503</v>
      </c>
      <c r="T24" s="661">
        <v>28510</v>
      </c>
      <c r="U24" s="660">
        <f t="shared" si="2"/>
        <v>-3720</v>
      </c>
      <c r="V24" s="661">
        <v>3070</v>
      </c>
      <c r="W24" s="343">
        <f t="shared" si="3"/>
        <v>9.2866449511400653</v>
      </c>
      <c r="X24" s="519">
        <v>0</v>
      </c>
      <c r="Y24" s="520">
        <v>4</v>
      </c>
      <c r="Z24" s="519">
        <f>4.6+0.05+0.05+0.05+0.04+0.04+0.16+(0.16*30/90)+(0.16*60/90*0.16)+0.04+0.04+0.04+0.25/8+0.04+0.04+0.04+0.04+0.04+0.04+0.02+0.02*10/90+0.02+0.02+0.02</f>
        <v>5.5338722222222207</v>
      </c>
      <c r="AA24" s="520">
        <f>4.9+0.25+0.05+0.05+0.05+0.04+0.03+0.03+0.03+0.02+0.02</f>
        <v>5.47</v>
      </c>
      <c r="AB24" s="519">
        <f>7.1+0.31+0.31+0.31+0.25+0.25+0.25+0.23+0.2+0.2+0.2+0.17+0.15+0.15+0.13+0.13+0.13+0.11+0.1+0.1+0.01+0.01</f>
        <v>10.799999999999999</v>
      </c>
      <c r="AC24" s="520">
        <f>6.5+0.25+0.25+0.25+0.24+0.24+0.22+0.21+0.18*1/90+0.16+1/16</f>
        <v>8.384500000000001</v>
      </c>
      <c r="AD24" s="519">
        <f>9+1*5/90+0.65+0.65*61/90+0.65*52/90+0.55+0.55*27/90+0.55+0.5+0.5+0.3+0.25*0.6+0.25+(0.2*36/90)</f>
        <v>13.566666666666668</v>
      </c>
      <c r="AE24" s="351">
        <v>962</v>
      </c>
      <c r="AF24" s="637">
        <f t="shared" si="11"/>
        <v>5.302471902696011</v>
      </c>
      <c r="AG24" s="637">
        <f t="shared" si="12"/>
        <v>6.1227671607839378</v>
      </c>
      <c r="AH24" s="343">
        <f t="shared" si="13"/>
        <v>2.7247800484615228</v>
      </c>
      <c r="AI24" s="343">
        <f t="shared" si="14"/>
        <v>12.733227848565186</v>
      </c>
      <c r="AJ24" s="343">
        <f t="shared" si="15"/>
        <v>9.5434129426280592</v>
      </c>
      <c r="AK24" s="343">
        <f t="shared" si="16"/>
        <v>1.0314879919417155</v>
      </c>
      <c r="AL24" s="343">
        <f t="shared" si="17"/>
        <v>0.74660511794900086</v>
      </c>
      <c r="AM24" s="338">
        <f t="shared" si="18"/>
        <v>10.495648447519347</v>
      </c>
      <c r="AN24" s="338">
        <f t="shared" si="19"/>
        <v>12.119330912989946</v>
      </c>
      <c r="AO24" s="479">
        <v>2</v>
      </c>
      <c r="AP24" s="479">
        <v>1</v>
      </c>
      <c r="AQ24" s="624">
        <f t="shared" si="20"/>
        <v>6.1499999999999999E-2</v>
      </c>
      <c r="AR24" s="289">
        <v>32230</v>
      </c>
      <c r="AS24">
        <f t="shared" si="21"/>
        <v>32230</v>
      </c>
      <c r="AT24" s="422">
        <f>AS24-T24</f>
        <v>3720</v>
      </c>
    </row>
    <row r="25" spans="1:46" x14ac:dyDescent="0.25">
      <c r="G25" s="4"/>
      <c r="H25"/>
      <c r="I25" s="309"/>
      <c r="J25" s="521"/>
      <c r="K25"/>
      <c r="T25" s="262">
        <f>SUM(T5:T24)+T3</f>
        <v>2251920</v>
      </c>
      <c r="U25" s="262">
        <f>SUM(U5:U24)</f>
        <v>15370</v>
      </c>
      <c r="V25" s="262">
        <f>SUM(V5:V24)+V3</f>
        <v>298102</v>
      </c>
      <c r="W25" s="342">
        <f t="shared" si="3"/>
        <v>7.5541928601619581</v>
      </c>
      <c r="X25"/>
      <c r="AD25" s="339"/>
      <c r="AE25" s="262">
        <f>AVERAGE(AE5:AE24)</f>
        <v>1465.75</v>
      </c>
      <c r="AH25" s="262"/>
      <c r="AI25" s="262"/>
      <c r="AJ25" s="262"/>
      <c r="AK25" s="262"/>
      <c r="AL25" s="262"/>
      <c r="AM25" s="262"/>
      <c r="AN25" s="262"/>
    </row>
    <row r="26" spans="1:46" x14ac:dyDescent="0.25">
      <c r="G26" s="489"/>
      <c r="K26" s="489"/>
      <c r="M26" s="489"/>
      <c r="N26" s="489"/>
      <c r="Q26" s="489"/>
      <c r="T26" s="340"/>
      <c r="U26" s="340"/>
      <c r="V26" s="340">
        <f>V25-V3</f>
        <v>297778</v>
      </c>
      <c r="W26" s="320"/>
      <c r="AE26" s="320"/>
      <c r="AH26" s="320"/>
      <c r="AI26" s="320"/>
      <c r="AJ26" s="320"/>
      <c r="AK26" s="320"/>
      <c r="AL26" s="320"/>
      <c r="AM26" s="320"/>
      <c r="AN26" s="320"/>
    </row>
    <row r="27" spans="1:46" x14ac:dyDescent="0.25">
      <c r="I27" s="290"/>
      <c r="Y27" s="159"/>
    </row>
    <row r="28" spans="1:46" x14ac:dyDescent="0.25">
      <c r="D28" s="639"/>
      <c r="I28" s="290"/>
      <c r="Y28" s="159"/>
      <c r="AE28" s="694"/>
    </row>
    <row r="29" spans="1:46" x14ac:dyDescent="0.25">
      <c r="D29" s="639"/>
      <c r="I29" s="290"/>
      <c r="V29" s="708"/>
      <c r="Y29" s="159"/>
    </row>
    <row r="30" spans="1:46" x14ac:dyDescent="0.25">
      <c r="D30" s="640"/>
      <c r="I30" s="290"/>
      <c r="V30" s="708"/>
      <c r="Y30" s="159"/>
    </row>
    <row r="31" spans="1:46" x14ac:dyDescent="0.25">
      <c r="I31" s="290"/>
      <c r="Y31" s="159"/>
    </row>
    <row r="32" spans="1:46" x14ac:dyDescent="0.25">
      <c r="I32" s="290"/>
      <c r="Y32" s="159"/>
    </row>
    <row r="33" spans="3:40" x14ac:dyDescent="0.25">
      <c r="I33" s="290"/>
      <c r="Y33" s="159"/>
    </row>
    <row r="34" spans="3:40" x14ac:dyDescent="0.25">
      <c r="I34" s="290"/>
      <c r="Y34" s="159"/>
    </row>
    <row r="35" spans="3:40" x14ac:dyDescent="0.25">
      <c r="C35"/>
      <c r="D35"/>
      <c r="G35"/>
      <c r="H35"/>
      <c r="I35" s="290"/>
      <c r="K35"/>
      <c r="M35"/>
      <c r="N35"/>
      <c r="O35"/>
      <c r="P35"/>
      <c r="Q35"/>
      <c r="R35"/>
      <c r="S35"/>
      <c r="V35"/>
      <c r="W35"/>
      <c r="X35"/>
      <c r="AE35"/>
      <c r="AH35"/>
      <c r="AI35"/>
      <c r="AK35"/>
      <c r="AL35"/>
      <c r="AM35"/>
      <c r="AN35"/>
    </row>
    <row r="36" spans="3:40" x14ac:dyDescent="0.25">
      <c r="C36"/>
      <c r="D36"/>
      <c r="G36"/>
      <c r="H36"/>
      <c r="I36" s="290"/>
      <c r="K36"/>
      <c r="M36"/>
      <c r="N36"/>
      <c r="O36"/>
      <c r="P36"/>
      <c r="Q36"/>
      <c r="R36"/>
      <c r="S36"/>
      <c r="V36"/>
      <c r="W36"/>
      <c r="X36"/>
      <c r="AE36"/>
      <c r="AH36"/>
      <c r="AI36"/>
      <c r="AK36"/>
      <c r="AL36"/>
      <c r="AM36"/>
      <c r="AN36"/>
    </row>
    <row r="37" spans="3:40" x14ac:dyDescent="0.25">
      <c r="C37"/>
      <c r="D37"/>
      <c r="G37"/>
      <c r="H37"/>
      <c r="I37" s="290"/>
      <c r="K37"/>
      <c r="M37"/>
      <c r="N37"/>
      <c r="O37"/>
      <c r="P37"/>
      <c r="Q37"/>
      <c r="R37"/>
      <c r="S37"/>
      <c r="V37"/>
      <c r="W37"/>
      <c r="X37"/>
      <c r="AE37"/>
      <c r="AH37"/>
      <c r="AI37"/>
      <c r="AK37"/>
      <c r="AL37"/>
      <c r="AM37"/>
      <c r="AN37"/>
    </row>
    <row r="38" spans="3:40" x14ac:dyDescent="0.25">
      <c r="C38"/>
      <c r="D38"/>
      <c r="G38"/>
      <c r="H38"/>
      <c r="I38" s="290"/>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822</v>
      </c>
      <c r="AA1" t="s">
        <v>823</v>
      </c>
      <c r="AE1" t="s">
        <v>824</v>
      </c>
      <c r="AI1" t="s">
        <v>825</v>
      </c>
      <c r="AM1" t="s">
        <v>826</v>
      </c>
      <c r="AQ1" t="s">
        <v>821</v>
      </c>
      <c r="AX1" t="s">
        <v>827</v>
      </c>
      <c r="BE1" t="s">
        <v>596</v>
      </c>
      <c r="BJ1" t="s">
        <v>828</v>
      </c>
      <c r="BO1" t="s">
        <v>770</v>
      </c>
      <c r="BT1" t="s">
        <v>970</v>
      </c>
      <c r="BY1" t="s">
        <v>764</v>
      </c>
      <c r="CD1" t="s">
        <v>736</v>
      </c>
      <c r="CH1" t="s">
        <v>67</v>
      </c>
    </row>
    <row r="2" spans="1:89" x14ac:dyDescent="0.25">
      <c r="A2" s="522" t="s">
        <v>182</v>
      </c>
      <c r="B2" s="522" t="s">
        <v>829</v>
      </c>
      <c r="C2" s="522" t="s">
        <v>63</v>
      </c>
      <c r="D2" s="523" t="s">
        <v>830</v>
      </c>
      <c r="E2" s="522" t="s">
        <v>831</v>
      </c>
      <c r="F2" s="524" t="s">
        <v>832</v>
      </c>
      <c r="G2" s="524" t="s">
        <v>833</v>
      </c>
      <c r="H2" s="524" t="s">
        <v>834</v>
      </c>
      <c r="I2" s="525" t="s">
        <v>835</v>
      </c>
      <c r="J2" s="526" t="s">
        <v>836</v>
      </c>
      <c r="K2" s="526" t="s">
        <v>1</v>
      </c>
      <c r="L2" s="526" t="s">
        <v>2</v>
      </c>
      <c r="M2" s="526" t="s">
        <v>837</v>
      </c>
      <c r="N2" s="526" t="s">
        <v>66</v>
      </c>
      <c r="O2" s="526" t="s">
        <v>712</v>
      </c>
      <c r="P2" s="526" t="s">
        <v>838</v>
      </c>
      <c r="Q2" s="526" t="s">
        <v>0</v>
      </c>
      <c r="R2" s="527" t="s">
        <v>699</v>
      </c>
      <c r="S2" s="527" t="s">
        <v>992</v>
      </c>
      <c r="T2" s="527" t="s">
        <v>839</v>
      </c>
      <c r="U2" s="527" t="s">
        <v>840</v>
      </c>
      <c r="V2" s="527" t="s">
        <v>722</v>
      </c>
      <c r="W2" s="527" t="s">
        <v>723</v>
      </c>
      <c r="X2" s="528" t="s">
        <v>841</v>
      </c>
      <c r="Y2" s="528" t="s">
        <v>842</v>
      </c>
      <c r="Z2" s="528" t="s">
        <v>841</v>
      </c>
      <c r="AA2" s="529" t="s">
        <v>841</v>
      </c>
      <c r="AB2" s="529" t="s">
        <v>842</v>
      </c>
      <c r="AC2" s="529" t="s">
        <v>841</v>
      </c>
      <c r="AD2" s="529" t="s">
        <v>65</v>
      </c>
      <c r="AE2" s="529" t="s">
        <v>841</v>
      </c>
      <c r="AF2" s="529" t="s">
        <v>842</v>
      </c>
      <c r="AG2" s="529" t="s">
        <v>841</v>
      </c>
      <c r="AH2" s="529" t="s">
        <v>65</v>
      </c>
      <c r="AI2" s="528" t="s">
        <v>841</v>
      </c>
      <c r="AJ2" s="528" t="s">
        <v>842</v>
      </c>
      <c r="AK2" s="528" t="s">
        <v>65</v>
      </c>
      <c r="AL2" s="528" t="s">
        <v>843</v>
      </c>
      <c r="AM2" s="528" t="s">
        <v>841</v>
      </c>
      <c r="AN2" s="528" t="s">
        <v>842</v>
      </c>
      <c r="AO2" s="528" t="s">
        <v>65</v>
      </c>
      <c r="AP2" s="528" t="s">
        <v>843</v>
      </c>
      <c r="AQ2" s="528" t="s">
        <v>841</v>
      </c>
      <c r="AR2" s="528" t="s">
        <v>842</v>
      </c>
      <c r="AS2" s="528" t="s">
        <v>841</v>
      </c>
      <c r="AT2" s="528" t="s">
        <v>65</v>
      </c>
      <c r="AU2" s="528" t="s">
        <v>843</v>
      </c>
      <c r="AV2" s="528" t="s">
        <v>844</v>
      </c>
      <c r="AW2" s="528" t="s">
        <v>843</v>
      </c>
      <c r="AX2" s="528" t="s">
        <v>841</v>
      </c>
      <c r="AY2" s="528" t="s">
        <v>842</v>
      </c>
      <c r="AZ2" s="528" t="s">
        <v>841</v>
      </c>
      <c r="BA2" s="528" t="s">
        <v>65</v>
      </c>
      <c r="BB2" s="528" t="s">
        <v>843</v>
      </c>
      <c r="BC2" s="528" t="s">
        <v>844</v>
      </c>
      <c r="BD2" s="528" t="s">
        <v>843</v>
      </c>
      <c r="BE2" s="529" t="s">
        <v>841</v>
      </c>
      <c r="BF2" s="529" t="s">
        <v>842</v>
      </c>
      <c r="BG2" s="529" t="s">
        <v>65</v>
      </c>
      <c r="BH2" s="529" t="s">
        <v>843</v>
      </c>
      <c r="BI2" s="529" t="s">
        <v>844</v>
      </c>
      <c r="BJ2" s="529" t="s">
        <v>841</v>
      </c>
      <c r="BK2" s="529" t="s">
        <v>842</v>
      </c>
      <c r="BL2" s="529" t="s">
        <v>65</v>
      </c>
      <c r="BM2" s="529" t="s">
        <v>843</v>
      </c>
      <c r="BN2" s="529" t="s">
        <v>844</v>
      </c>
      <c r="BO2" s="528" t="s">
        <v>841</v>
      </c>
      <c r="BP2" s="528" t="s">
        <v>842</v>
      </c>
      <c r="BQ2" s="528" t="s">
        <v>65</v>
      </c>
      <c r="BR2" s="528" t="s">
        <v>843</v>
      </c>
      <c r="BS2" s="528" t="s">
        <v>844</v>
      </c>
      <c r="BT2" s="528" t="s">
        <v>841</v>
      </c>
      <c r="BU2" s="528" t="s">
        <v>842</v>
      </c>
      <c r="BV2" s="528" t="s">
        <v>65</v>
      </c>
      <c r="BW2" s="528" t="s">
        <v>843</v>
      </c>
      <c r="BX2" s="528" t="s">
        <v>844</v>
      </c>
      <c r="BY2" s="528" t="s">
        <v>841</v>
      </c>
      <c r="BZ2" s="528" t="s">
        <v>842</v>
      </c>
      <c r="CA2" s="528" t="s">
        <v>65</v>
      </c>
      <c r="CB2" s="528" t="s">
        <v>843</v>
      </c>
      <c r="CC2" s="528" t="s">
        <v>844</v>
      </c>
      <c r="CD2" s="529" t="s">
        <v>65</v>
      </c>
      <c r="CE2" s="529" t="s">
        <v>843</v>
      </c>
      <c r="CF2" s="529" t="s">
        <v>844</v>
      </c>
      <c r="CG2" s="529" t="s">
        <v>843</v>
      </c>
      <c r="CH2" s="528" t="s">
        <v>843</v>
      </c>
      <c r="CI2" s="528" t="s">
        <v>844</v>
      </c>
      <c r="CJ2" s="528" t="s">
        <v>843</v>
      </c>
      <c r="CK2" s="528" t="s">
        <v>65</v>
      </c>
    </row>
    <row r="3" spans="1:89" x14ac:dyDescent="0.25">
      <c r="A3" t="str">
        <f>PLANTILLA!D5</f>
        <v>D. Gehmacher</v>
      </c>
      <c r="B3" s="521">
        <f>PLANTILLA!E5</f>
        <v>29</v>
      </c>
      <c r="C3" s="371">
        <f ca="1">PLANTILLA!F5</f>
        <v>103</v>
      </c>
      <c r="D3" s="521"/>
      <c r="E3" s="317">
        <v>42468</v>
      </c>
      <c r="F3" s="371">
        <f>PLANTILLA!Q5</f>
        <v>7</v>
      </c>
      <c r="G3" s="439">
        <f>(F3/7)^0.5</f>
        <v>1</v>
      </c>
      <c r="H3" s="439">
        <f>IF(F3=7,1,((F3+0.99)/7)^0.5)</f>
        <v>1</v>
      </c>
      <c r="I3" s="530">
        <v>1</v>
      </c>
      <c r="J3" s="531">
        <f>PLANTILLA!I5</f>
        <v>18</v>
      </c>
      <c r="K3" s="163">
        <f>PLANTILLA!X5</f>
        <v>16.666666666666668</v>
      </c>
      <c r="L3" s="163">
        <f>PLANTILLA!Y5</f>
        <v>11.832727272727276</v>
      </c>
      <c r="M3" s="163">
        <f>PLANTILLA!Z5</f>
        <v>2.0299999999999994</v>
      </c>
      <c r="N3" s="163">
        <f>PLANTILLA!AA5</f>
        <v>2.1199999999999992</v>
      </c>
      <c r="O3" s="163">
        <f>PLANTILLA!AB5</f>
        <v>1.0400000000000003</v>
      </c>
      <c r="P3" s="163">
        <f>PLANTILLA!AC5</f>
        <v>0.14055555555555557</v>
      </c>
      <c r="Q3" s="163">
        <f>PLANTILLA!AD5</f>
        <v>17.849999999999998</v>
      </c>
      <c r="R3" s="163">
        <f>((2*(O3+1))+(L3+1))/8</f>
        <v>2.1140909090909092</v>
      </c>
      <c r="S3" s="163">
        <f>1.66*(P3+(LOG(J3)*4/3)+I3)+0.55*(Q3+(LOG(J3)*4/3)+I3)-7.6</f>
        <v>8.3596918705932968</v>
      </c>
      <c r="T3" s="163">
        <f>(0.5*P3+ 0.3*Q3)/10</f>
        <v>0.54252777777777772</v>
      </c>
      <c r="U3" s="163">
        <f>(0.4*L3+0.3*Q3)/10</f>
        <v>1.008809090909091</v>
      </c>
      <c r="V3" s="163">
        <f ca="1">IF(TODAY()-E3&gt;335,(Q3+1+(LOG(J3)*4/3))*(F3/7)^0.5,(Q3+((TODAY()-E3)^0.5)/(336^0.5)+(LOG(J3)*4/3))*(F3/7)^0.5)</f>
        <v>20.523696673471072</v>
      </c>
      <c r="W3" s="163">
        <f ca="1">IF(F3=7,V3,IF(TODAY()-E3&gt;335,(Q3+1+(LOG(J3)*4/3))*((F3+0.99)/7)^0.5,(Q3+((TODAY()-E3)^0.5)/(336^0.5)+(LOG(J3)*4/3))*((F3+0.99)/7)^0.5))</f>
        <v>20.523696673471072</v>
      </c>
      <c r="X3" s="159">
        <f>((K3+I3+(LOG(J3)*4/3))*0.597)+((L3+I3+(LOG(J3)*4/3))*0.276)</f>
        <v>15.549969923212977</v>
      </c>
      <c r="Y3" s="159">
        <f>((K3+I3+(LOG(J3)*4/3))*0.866)+((L3+I3+(LOG(J3)*4/3))*0.425)</f>
        <v>22.913984829693582</v>
      </c>
      <c r="Z3" s="159">
        <f>X3</f>
        <v>15.549969923212977</v>
      </c>
      <c r="AA3" s="159">
        <f>((L3+I3+(LOG(J3)*4/3))*0.516)</f>
        <v>7.4853147562383491</v>
      </c>
      <c r="AB3" s="159">
        <f>(L3+I3+(LOG(J3)*4/3))*1</f>
        <v>14.50642394619835</v>
      </c>
      <c r="AC3" s="159">
        <f>AA3/2</f>
        <v>3.7426573781191745</v>
      </c>
      <c r="AD3" s="159">
        <f>(M3+I3+(LOG(J3)*4/3))*0.238</f>
        <v>1.1194798082861157</v>
      </c>
      <c r="AE3" s="159">
        <f>((L3+I3+(LOG(J3)*4/3))*0.378)</f>
        <v>5.4834282516629766</v>
      </c>
      <c r="AF3" s="159">
        <f>(L3+I3+(LOG(J3)*4/3))*0.723</f>
        <v>10.488144513101407</v>
      </c>
      <c r="AG3" s="159">
        <f>AE3/2</f>
        <v>2.7417141258314883</v>
      </c>
      <c r="AH3" s="159">
        <f>(M3+I3+(LOG(J3)*4/3))*0.385</f>
        <v>1.8109232192863636</v>
      </c>
      <c r="AI3" s="159">
        <f>((L3+I3+(LOG(J3)*4/3))*0.92)</f>
        <v>13.345910030502482</v>
      </c>
      <c r="AJ3" s="159">
        <f>(L3+I3+(LOG(J3)*4/3))*0.414</f>
        <v>6.0056595137261164</v>
      </c>
      <c r="AK3" s="159">
        <f>((M3+I3+(LOG(J3)*4/3))*0.167)</f>
        <v>0.78551734446966948</v>
      </c>
      <c r="AL3" s="159">
        <f>(N3+I3+(LOG(J3)*4/3))*0.588</f>
        <v>2.8186936440009913</v>
      </c>
      <c r="AM3" s="159">
        <f>((L3+I3+(LOG(J3)*4/3))*0.754)</f>
        <v>10.937843655433555</v>
      </c>
      <c r="AN3" s="159">
        <f>((L3+I3+(LOG(J3)*4/3))*0.708)</f>
        <v>10.270548153908431</v>
      </c>
      <c r="AO3" s="159">
        <f>((Q3+I3+(LOG(J3)*4/3))*0.167)</f>
        <v>3.4274573444696692</v>
      </c>
      <c r="AP3" s="159">
        <f>((R3+I3+(LOG(J3)*4/3))*0.288)</f>
        <v>1.3788828237778514</v>
      </c>
      <c r="AQ3" s="159">
        <f>((L3+I3+(LOG(J3)*4/3))*0.27)</f>
        <v>3.9167344654735547</v>
      </c>
      <c r="AR3" s="159">
        <f>((L3+I3+(LOG(J3)*4/3))*0.594)</f>
        <v>8.6168158240418187</v>
      </c>
      <c r="AS3" s="159">
        <f>AQ3/2</f>
        <v>1.9583672327367774</v>
      </c>
      <c r="AT3" s="159">
        <f>((M3+I3+(LOG(J3)*4/3))*0.944)</f>
        <v>4.4402896597566937</v>
      </c>
      <c r="AU3" s="159">
        <f>((O3+I3+(LOG(J3)*4/3))*0.13)</f>
        <v>0.48278056755123977</v>
      </c>
      <c r="AV3" s="159">
        <f>((P3+I3+(LOG(J3)*4/3))*0.173)+((O3+I3+(LOG(J3)*4/3))*0.12)</f>
        <v>0.93250923643813599</v>
      </c>
      <c r="AW3" s="159">
        <f>AU3/2</f>
        <v>0.24139028377561988</v>
      </c>
      <c r="AX3" s="159">
        <f>((L3+I3+(LOG(J3)*4/3))*0.189)</f>
        <v>2.7417141258314883</v>
      </c>
      <c r="AY3" s="159">
        <f>((L3+I3+(LOG(J3)*4/3))*0.4)</f>
        <v>5.8025695784793401</v>
      </c>
      <c r="AZ3" s="159">
        <f>AX3/2</f>
        <v>1.3708570629157442</v>
      </c>
      <c r="BA3" s="159">
        <f>((M3+I3+(LOG(J3)*4/3))*1)</f>
        <v>4.7036966734710743</v>
      </c>
      <c r="BB3" s="159">
        <f>((O3+I3+(LOG(J3)*4/3))*0.253)</f>
        <v>0.93956525838818195</v>
      </c>
      <c r="BC3" s="159">
        <f>((P3+I3+(LOG(J3)*4/3))*0.21)+((O3+I3+(LOG(J3)*4/3))*0.341)</f>
        <v>1.8573635337492289</v>
      </c>
      <c r="BD3" s="159">
        <f>BB3/2</f>
        <v>0.46978262919409097</v>
      </c>
      <c r="BE3" s="159">
        <f>((L3+I3+(LOG(J3)*4/3))*0.291)</f>
        <v>4.2213693683437192</v>
      </c>
      <c r="BF3" s="159">
        <f>((L3+I3+(LOG(J3)*4/3))*0.348)</f>
        <v>5.0482355332770252</v>
      </c>
      <c r="BG3" s="159">
        <f>((M3+I3+(LOG(J3)*4/3))*0.881)</f>
        <v>4.1439567693280166</v>
      </c>
      <c r="BH3" s="159">
        <f>((N3+I3+(LOG(J3)*4/3))*0.574)+((O3+I3+(LOG(J3)*4/3))*0.315)</f>
        <v>3.9213963427157852</v>
      </c>
      <c r="BI3" s="159">
        <f>((O3+I3+(LOG(J3)*4/3))*0.241)</f>
        <v>0.89500089830652907</v>
      </c>
      <c r="BJ3" s="159">
        <f>((L3+I3+(LOG(J3)*4/3))*0.485)</f>
        <v>7.0356156139061996</v>
      </c>
      <c r="BK3" s="159">
        <f>((L3+I3+(LOG(J3)*4/3))*0.264)</f>
        <v>3.8296959217963646</v>
      </c>
      <c r="BL3" s="159">
        <f>((M3+I3+(LOG(J3)*4/3))*0.381)</f>
        <v>1.7921084325924794</v>
      </c>
      <c r="BM3" s="159">
        <f>((N3+I3+(LOG(J3)*4/3))*0.673)+((O3+I3+(LOG(J3)*4/3))*0.201)</f>
        <v>3.9726108926137194</v>
      </c>
      <c r="BN3" s="159">
        <f>((O3+I3+(LOG(J3)*4/3))*0.052)</f>
        <v>0.19311222702049588</v>
      </c>
      <c r="BO3" s="159">
        <f>((L3+I3+(LOG(J3)*4/3))*0.18)</f>
        <v>2.6111563103157027</v>
      </c>
      <c r="BP3" s="159">
        <f>(L3+I3+(LOG(J3)*4/3))*0.068</f>
        <v>0.98643682834148783</v>
      </c>
      <c r="BQ3" s="159">
        <f>((M3+I3+(LOG(J3)*4/3))*0.305)</f>
        <v>1.4346274854086776</v>
      </c>
      <c r="BR3" s="159">
        <f>((N3+I3+(LOG(J3)*4/3))*1)+((O3+I3+(LOG(J3)*4/3))*0.286)</f>
        <v>5.8558139220838017</v>
      </c>
      <c r="BS3" s="159">
        <f>((O3+I3+(LOG(J3)*4/3))*0.135)</f>
        <v>0.50134905091859516</v>
      </c>
      <c r="BT3" s="159">
        <f>((L3+I3+(LOG(J3)*4/3))*0.284)</f>
        <v>4.1198244007203311</v>
      </c>
      <c r="BU3" s="159">
        <f>(L3+I3+(LOG(J3)*4/3))*0.244</f>
        <v>3.5395674428723973</v>
      </c>
      <c r="BV3" s="159">
        <f>((M3+I3+(LOG(J3)*4/3))*0.455)</f>
        <v>2.1401819864293388</v>
      </c>
      <c r="BW3" s="159">
        <f>((N3+I3+(LOG(J3)*4/3))*0.864)+((O3+I3+(LOG(J3)*4/3))*0.244)</f>
        <v>5.0478959142059496</v>
      </c>
      <c r="BX3" s="159">
        <f>((O3+I3+(LOG(J3)*4/3))*0.121)</f>
        <v>0.44935729749000008</v>
      </c>
      <c r="BY3" s="159">
        <f>((L3+I3+(LOG(J3)*4/3))*0.284)</f>
        <v>4.1198244007203311</v>
      </c>
      <c r="BZ3" s="159">
        <f>((L3+I3+(LOG(J3)*4/3))*0.244)</f>
        <v>3.5395674428723973</v>
      </c>
      <c r="CA3" s="159">
        <f>((M3+I3+(LOG(J3)*4/3))*0.631)</f>
        <v>2.9680326009602478</v>
      </c>
      <c r="CB3" s="159">
        <f>((N3+I3+(LOG(J3)*4/3))*0.702)+((O3+I3+(LOG(J3)*4/3))*0.193)</f>
        <v>4.0819185227566113</v>
      </c>
      <c r="CC3" s="159">
        <f>((O3+I3+(LOG(J3)*4/3))*0.148)</f>
        <v>0.54962710767371903</v>
      </c>
      <c r="CD3" s="159">
        <f>((M3+I3+(LOG(J3)*4/3))*0.406)</f>
        <v>1.9097008494292562</v>
      </c>
      <c r="CE3" s="159">
        <f>IF(D3="TEC",((N3+I3+(LOG(J3)*4/3))*0.15)+((O3+I3+(LOG(J3)*4/3))*0.324)+((P3+I3+(LOG(J3)*4/3))*0.127),(((N3+I3+(LOG(J3)*4/3))*0.144)+((O3+I3+(LOG(J3)*4/3))*0.25)+((P3+I3+(LOG(J3)*4/3))*0.127)))</f>
        <v>1.9761265224339855</v>
      </c>
      <c r="CF3" s="159">
        <f>((O3+I3+(LOG(J3)*4/3))*0.543)+((P3+I3+(LOG(J3)*4/3))*0.583)</f>
        <v>3.6572463432173192</v>
      </c>
      <c r="CG3" s="159">
        <f>CE3</f>
        <v>1.9761265224339855</v>
      </c>
      <c r="CH3" s="159">
        <f>((P3+1+(LOG(J3)*4/3))*0.26)+((N3+I3+(LOG(J3)*4/3))*0.221)+((O3+I3+(LOG(J3)*4/3))*0.142)</f>
        <v>2.3184574720169238</v>
      </c>
      <c r="CI3" s="159">
        <f>((P3+I3+(LOG(J3)*4/3))*1)+((O3+I3+(LOG(J3)*4/3))*0.369)</f>
        <v>4.1846063015374568</v>
      </c>
      <c r="CJ3" s="159">
        <f>CH3</f>
        <v>2.3184574720169238</v>
      </c>
      <c r="CK3" s="159">
        <f>((M3+I3+(LOG(J3)*4/3))*0.25)</f>
        <v>1.1759241683677686</v>
      </c>
    </row>
    <row r="4" spans="1:89" x14ac:dyDescent="0.25">
      <c r="A4" t="str">
        <f>PLANTILLA!D6</f>
        <v>T. Hammond</v>
      </c>
      <c r="B4" s="521">
        <f>PLANTILLA!E6</f>
        <v>34</v>
      </c>
      <c r="C4" s="521">
        <f ca="1">PLANTILLA!F6</f>
        <v>0</v>
      </c>
      <c r="D4" s="521" t="str">
        <f>PLANTILLA!G6</f>
        <v>CAB</v>
      </c>
      <c r="E4" s="317">
        <v>41400</v>
      </c>
      <c r="F4" s="371">
        <f>PLANTILLA!Q6</f>
        <v>5</v>
      </c>
      <c r="G4" s="439">
        <f t="shared" ref="G4:G5" si="0">(F4/7)^0.5</f>
        <v>0.84515425472851657</v>
      </c>
      <c r="H4" s="439">
        <f t="shared" ref="H4:H5" si="1">IF(F4=7,1,((F4+0.99)/7)^0.5)</f>
        <v>0.92504826128926143</v>
      </c>
      <c r="I4" s="530">
        <v>1.5</v>
      </c>
      <c r="J4" s="531">
        <f>PLANTILLA!I6</f>
        <v>7.8</v>
      </c>
      <c r="K4" s="163">
        <f>PLANTILLA!X6</f>
        <v>10.3</v>
      </c>
      <c r="L4" s="163">
        <f>PLANTILLA!Y6</f>
        <v>10.794999999999998</v>
      </c>
      <c r="M4" s="163">
        <f>PLANTILLA!Z6</f>
        <v>4.620000000000001</v>
      </c>
      <c r="N4" s="163">
        <f>PLANTILLA!AA6</f>
        <v>4.95</v>
      </c>
      <c r="O4" s="163">
        <f>PLANTILLA!AB6</f>
        <v>6.5444444444444434</v>
      </c>
      <c r="P4" s="163">
        <f>PLANTILLA!AC6</f>
        <v>3.99</v>
      </c>
      <c r="Q4" s="163">
        <f>PLANTILLA!AD6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1.7396513539204459</v>
      </c>
      <c r="AE4" s="159">
        <f t="shared" ref="AE4:AE21" si="15">((L4+I4+(LOG(J4)*4/3))*0.378)</f>
        <v>5.0971256797560018</v>
      </c>
      <c r="AF4" s="159">
        <f t="shared" ref="AF4:AF21" si="16">(L4+I4+(LOG(J4)*4/3))*0.723</f>
        <v>9.7492641969936216</v>
      </c>
      <c r="AG4" s="159">
        <f t="shared" ref="AG4:AG21" si="17">AE4/2</f>
        <v>2.5485628398780009</v>
      </c>
      <c r="AH4" s="159">
        <f t="shared" ref="AH4:AH21" si="18">(M4+I4+(LOG(J4)*4/3))*0.385</f>
        <v>2.8141418960477802</v>
      </c>
      <c r="AI4" s="159">
        <f t="shared" ref="AI4:AI21" si="19">((L4+I4+(LOG(J4)*4/3))*0.92)</f>
        <v>12.405702712633655</v>
      </c>
      <c r="AJ4" s="159">
        <f t="shared" ref="AJ4:AJ21" si="20">(L4+I4+(LOG(J4)*4/3))*0.414</f>
        <v>5.5825662206851439</v>
      </c>
      <c r="AK4" s="159">
        <f t="shared" ref="AK4:AK21" si="21">((M4+I4+(LOG(J4)*4/3))*0.167)</f>
        <v>1.2206797315324138</v>
      </c>
      <c r="AL4" s="159">
        <f t="shared" ref="AL4:AL21" si="22">(N4+I4+(LOG(J4)*4/3))*0.588</f>
        <v>4.4920021685093365</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6.9001297399197519</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7.3094594702539748</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6.4396337932937522</v>
      </c>
      <c r="BH4" s="159">
        <f t="shared" ref="BH4:BH21" si="44">((N4+I4+(LOG(J4)*4/3))*0.574)+((O4+I4+(LOG(J4)*4/3))*0.315)</f>
        <v>7.2937294690557817</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2.7849040581667643</v>
      </c>
      <c r="BM4" s="159">
        <f t="shared" ref="BM4:BM21" si="49">((N4+I4+(LOG(J4)*4/3))*0.673)+((O4+I4+(LOG(J4)*4/3))*0.201)</f>
        <v>6.9973709103353068</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2.2293851384274621</v>
      </c>
      <c r="BR4" s="159">
        <f t="shared" ref="BR4:BR21" si="54">((N4+I4+(LOG(J4)*4/3))*1)+((O4+I4+(LOG(J4)*4/3))*0.286)</f>
        <v>10.280355989857721</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3.3258040589655589</v>
      </c>
      <c r="BW4" s="159">
        <f t="shared" ref="BW4:BW21" si="59">((N4+I4+(LOG(J4)*4/3))*0.864)+((O4+I4+(LOG(J4)*4/3))*0.244)</f>
        <v>8.8535655374858475</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4.612268925730258</v>
      </c>
      <c r="CB4" s="159">
        <f t="shared" ref="CB4:CB21" si="64">((N4+I4+(LOG(J4)*4/3))*0.702)+((O4+I4+(LOG(J4)*4/3))*0.193)</f>
        <v>7.1450440036550837</v>
      </c>
      <c r="CC4" s="159">
        <f t="shared" ref="CC4:CC21" si="65">((O4+I4+(LOG(J4)*4/3))*0.148)</f>
        <v>1.3666177793753658</v>
      </c>
      <c r="CD4" s="159">
        <f t="shared" ref="CD4:CD21" si="66">((M4+I4+(LOG(J4)*4/3))*0.406)</f>
        <v>2.967640544923114</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1.8273648675634937</v>
      </c>
    </row>
    <row r="5" spans="1:89" x14ac:dyDescent="0.25">
      <c r="A5" t="str">
        <f>PLANTILLA!D8</f>
        <v>D. Toh</v>
      </c>
      <c r="B5" s="521">
        <f>PLANTILLA!E8</f>
        <v>31</v>
      </c>
      <c r="C5" s="521">
        <f ca="1">PLANTILLA!F8</f>
        <v>48</v>
      </c>
      <c r="D5" s="521" t="str">
        <f>PLANTILLA!G8</f>
        <v>CAB</v>
      </c>
      <c r="E5" s="317">
        <v>41519</v>
      </c>
      <c r="F5" s="371">
        <f>PLANTILLA!Q8</f>
        <v>6</v>
      </c>
      <c r="G5" s="439">
        <f t="shared" si="0"/>
        <v>0.92582009977255142</v>
      </c>
      <c r="H5" s="439">
        <f t="shared" si="1"/>
        <v>0.99928545900129484</v>
      </c>
      <c r="I5" s="530">
        <v>1.5</v>
      </c>
      <c r="J5" s="531">
        <f>PLANTILLA!I8</f>
        <v>7.5</v>
      </c>
      <c r="K5" s="163">
        <f>PLANTILLA!X8</f>
        <v>0</v>
      </c>
      <c r="L5" s="163">
        <f>PLANTILLA!Y8</f>
        <v>11</v>
      </c>
      <c r="M5" s="163">
        <f>PLANTILLA!Z8</f>
        <v>6.1794444444444414</v>
      </c>
      <c r="N5" s="163">
        <f>PLANTILLA!AA8</f>
        <v>5.98</v>
      </c>
      <c r="O5" s="163">
        <f>PLANTILLA!AB8</f>
        <v>7.7227777777777789</v>
      </c>
      <c r="P5" s="163">
        <f>PLANTILLA!AC8</f>
        <v>4.383333333333332</v>
      </c>
      <c r="Q5" s="163">
        <f>PLANTILLA!AD8</f>
        <v>15.349999999999998</v>
      </c>
      <c r="R5" s="163">
        <f t="shared" si="2"/>
        <v>3.6806944444444447</v>
      </c>
      <c r="S5" s="163">
        <f t="shared" si="3"/>
        <v>14.01234718946087</v>
      </c>
      <c r="T5" s="163">
        <f t="shared" si="4"/>
        <v>0.67966666666666653</v>
      </c>
      <c r="U5" s="163">
        <f t="shared" si="5"/>
        <v>0.90049999999999986</v>
      </c>
      <c r="V5" s="163">
        <f t="shared" ca="1" si="6"/>
        <v>16.217357706188412</v>
      </c>
      <c r="W5" s="163">
        <f t="shared" ca="1" si="7"/>
        <v>17.504231916328006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2.1053938853607432</v>
      </c>
      <c r="AE5" s="159">
        <f t="shared" si="15"/>
        <v>5.1660308767494172</v>
      </c>
      <c r="AF5" s="159">
        <f t="shared" si="16"/>
        <v>9.8810590579095994</v>
      </c>
      <c r="AG5" s="159">
        <f t="shared" si="17"/>
        <v>2.5830154383747086</v>
      </c>
      <c r="AH5" s="159">
        <f t="shared" si="18"/>
        <v>3.4057842263188491</v>
      </c>
      <c r="AI5" s="159">
        <f t="shared" si="19"/>
        <v>12.57340848309382</v>
      </c>
      <c r="AJ5" s="159">
        <f t="shared" si="20"/>
        <v>5.6580338173922184</v>
      </c>
      <c r="AK5" s="159">
        <f t="shared" si="21"/>
        <v>1.4773141968707737</v>
      </c>
      <c r="AL5" s="159">
        <f t="shared" si="22"/>
        <v>5.0842880304990929</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8.350805999077906</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8.8461927956333746</v>
      </c>
      <c r="BB5" s="159">
        <f t="shared" si="38"/>
        <v>2.6285501106285785</v>
      </c>
      <c r="BC5" s="159">
        <f t="shared" si="39"/>
        <v>5.0233455637273252</v>
      </c>
      <c r="BD5" s="159">
        <f t="shared" si="40"/>
        <v>1.3142750553142892</v>
      </c>
      <c r="BE5" s="159">
        <f t="shared" si="41"/>
        <v>3.9770237701959794</v>
      </c>
      <c r="BF5" s="159">
        <f t="shared" si="42"/>
        <v>4.7560284262137484</v>
      </c>
      <c r="BG5" s="159">
        <f t="shared" si="43"/>
        <v>7.7934958529530034</v>
      </c>
      <c r="BH5" s="159">
        <f t="shared" si="44"/>
        <v>8.2359342842069623</v>
      </c>
      <c r="BI5" s="159">
        <f t="shared" si="45"/>
        <v>2.5038757970809775</v>
      </c>
      <c r="BJ5" s="159">
        <f t="shared" si="46"/>
        <v>6.6283729503266331</v>
      </c>
      <c r="BK5" s="159">
        <f t="shared" si="47"/>
        <v>3.6080215647138787</v>
      </c>
      <c r="BL5" s="159">
        <f t="shared" si="48"/>
        <v>3.3703994551363157</v>
      </c>
      <c r="BM5" s="159">
        <f t="shared" si="49"/>
        <v>7.907556392272463</v>
      </c>
      <c r="BN5" s="159">
        <f t="shared" si="50"/>
        <v>0.54025535870626906</v>
      </c>
      <c r="BO5" s="159">
        <f t="shared" si="51"/>
        <v>2.4600147032140081</v>
      </c>
      <c r="BP5" s="159">
        <f t="shared" si="52"/>
        <v>0.92933888788084762</v>
      </c>
      <c r="BQ5" s="159">
        <f t="shared" si="53"/>
        <v>2.6980888026681793</v>
      </c>
      <c r="BR5" s="159">
        <f t="shared" si="54"/>
        <v>11.618152824073414</v>
      </c>
      <c r="BS5" s="159">
        <f t="shared" si="55"/>
        <v>1.4025860274105064</v>
      </c>
      <c r="BT5" s="159">
        <f t="shared" si="56"/>
        <v>3.8813565317376568</v>
      </c>
      <c r="BU5" s="159">
        <f t="shared" si="57"/>
        <v>3.3346865976900997</v>
      </c>
      <c r="BV5" s="159">
        <f t="shared" si="58"/>
        <v>4.0250177220131853</v>
      </c>
      <c r="BW5" s="159">
        <f t="shared" si="59"/>
        <v>10.005834950895117</v>
      </c>
      <c r="BX5" s="159">
        <f t="shared" si="60"/>
        <v>1.2571326616049723</v>
      </c>
      <c r="BY5" s="159">
        <f t="shared" si="61"/>
        <v>3.8813565317376568</v>
      </c>
      <c r="BZ5" s="159">
        <f t="shared" si="62"/>
        <v>3.3346865976900997</v>
      </c>
      <c r="CA5" s="159">
        <f t="shared" si="63"/>
        <v>5.5819476540446598</v>
      </c>
      <c r="CB5" s="159">
        <f t="shared" si="64"/>
        <v>8.0751958854252077</v>
      </c>
      <c r="CC5" s="159">
        <f t="shared" si="65"/>
        <v>1.5376498670870735</v>
      </c>
      <c r="CD5" s="159">
        <f t="shared" si="66"/>
        <v>3.5915542750271503</v>
      </c>
      <c r="CE5" s="159">
        <f t="shared" si="67"/>
        <v>4.7378736687472127</v>
      </c>
      <c r="CF5" s="159">
        <f t="shared" si="68"/>
        <v>9.7517103101054055</v>
      </c>
      <c r="CG5" s="159">
        <f t="shared" si="69"/>
        <v>4.7378736687472127</v>
      </c>
      <c r="CH5" s="159">
        <f t="shared" si="70"/>
        <v>5.0892653339018166</v>
      </c>
      <c r="CI5" s="159">
        <f t="shared" si="71"/>
        <v>10.883816826110982</v>
      </c>
      <c r="CJ5" s="159">
        <f t="shared" si="72"/>
        <v>5.0892653339018166</v>
      </c>
      <c r="CK5" s="159">
        <f t="shared" si="73"/>
        <v>2.2115481989083436</v>
      </c>
    </row>
    <row r="6" spans="1:89" x14ac:dyDescent="0.25">
      <c r="A6" t="str">
        <f>PLANTILLA!D9</f>
        <v>E. Toney</v>
      </c>
      <c r="B6" s="521">
        <f>PLANTILLA!E9</f>
        <v>31</v>
      </c>
      <c r="C6" s="521">
        <f ca="1">PLANTILLA!F9</f>
        <v>2</v>
      </c>
      <c r="D6" s="521"/>
      <c r="E6" s="317">
        <v>41539</v>
      </c>
      <c r="F6" s="371">
        <f>PLANTILLA!Q9</f>
        <v>5</v>
      </c>
      <c r="G6" s="439">
        <f t="shared" ref="G6:G10" si="74">(F6/7)^0.5</f>
        <v>0.84515425472851657</v>
      </c>
      <c r="H6" s="439">
        <f>IF(F6=7,1,((F6+0.99)/7)^0.5)</f>
        <v>0.92504826128926143</v>
      </c>
      <c r="I6" s="530">
        <v>1.5</v>
      </c>
      <c r="J6" s="531">
        <f>PLANTILLA!I9</f>
        <v>12.1</v>
      </c>
      <c r="K6" s="163">
        <f>PLANTILLA!X9</f>
        <v>0</v>
      </c>
      <c r="L6" s="163">
        <f>PLANTILLA!Y9</f>
        <v>12.060000000000004</v>
      </c>
      <c r="M6" s="163">
        <f>PLANTILLA!Z9</f>
        <v>13.076555555555554</v>
      </c>
      <c r="N6" s="163">
        <f>PLANTILLA!AA9</f>
        <v>9.7100000000000062</v>
      </c>
      <c r="O6" s="163">
        <f>PLANTILLA!AB9</f>
        <v>9.6</v>
      </c>
      <c r="P6" s="163">
        <f>PLANTILLA!AC9</f>
        <v>3.6816666666666658</v>
      </c>
      <c r="Q6" s="163">
        <f>PLANTILLA!AD9</f>
        <v>16.627777777777773</v>
      </c>
      <c r="R6" s="163">
        <f t="shared" si="2"/>
        <v>4.2825000000000006</v>
      </c>
      <c r="S6" s="163">
        <f t="shared" si="3"/>
        <v>14.162452002310248</v>
      </c>
      <c r="T6" s="163">
        <f t="shared" si="4"/>
        <v>0.68291666666666639</v>
      </c>
      <c r="U6" s="163">
        <f t="shared" si="5"/>
        <v>0.98123333333333329</v>
      </c>
      <c r="V6" s="163">
        <f t="shared" ca="1" si="6"/>
        <v>16.118352273872002</v>
      </c>
      <c r="W6" s="163">
        <f t="shared" ca="1" si="7"/>
        <v>17.642050149274386</v>
      </c>
      <c r="X6" s="159">
        <f t="shared" si="8"/>
        <v>5.8984221710483489</v>
      </c>
      <c r="Y6" s="159">
        <f t="shared" si="9"/>
        <v>8.9258345507713841</v>
      </c>
      <c r="Z6" s="159">
        <f t="shared" si="10"/>
        <v>5.8984221710483489</v>
      </c>
      <c r="AA6" s="159">
        <f t="shared" si="11"/>
        <v>7.7419163347777191</v>
      </c>
      <c r="AB6" s="159">
        <f t="shared" si="12"/>
        <v>15.003713827088603</v>
      </c>
      <c r="AC6" s="159">
        <f t="shared" si="13"/>
        <v>3.8709581673888596</v>
      </c>
      <c r="AD6" s="159">
        <f t="shared" si="14"/>
        <v>3.812824113069309</v>
      </c>
      <c r="AE6" s="159">
        <f t="shared" si="15"/>
        <v>5.6714038266394917</v>
      </c>
      <c r="AF6" s="159">
        <f t="shared" si="16"/>
        <v>10.84768509698506</v>
      </c>
      <c r="AG6" s="159">
        <f t="shared" si="17"/>
        <v>2.8357019133197459</v>
      </c>
      <c r="AH6" s="159">
        <f t="shared" si="18"/>
        <v>6.1678037123180003</v>
      </c>
      <c r="AI6" s="159">
        <f t="shared" si="19"/>
        <v>13.803416720921515</v>
      </c>
      <c r="AJ6" s="159">
        <f t="shared" si="20"/>
        <v>6.2115375244146813</v>
      </c>
      <c r="AK6" s="159">
        <f t="shared" si="21"/>
        <v>2.675384986901574</v>
      </c>
      <c r="AL6" s="159">
        <f t="shared" si="22"/>
        <v>7.4403837303281</v>
      </c>
      <c r="AM6" s="159">
        <f t="shared" si="23"/>
        <v>11.312800225624807</v>
      </c>
      <c r="AN6" s="159">
        <f t="shared" si="24"/>
        <v>10.62262938957873</v>
      </c>
      <c r="AO6" s="159">
        <f t="shared" si="25"/>
        <v>3.2684390980126845</v>
      </c>
      <c r="AP6" s="159">
        <f t="shared" si="26"/>
        <v>2.0811495822015167</v>
      </c>
      <c r="AQ6" s="159">
        <f t="shared" si="27"/>
        <v>4.0510027333139229</v>
      </c>
      <c r="AR6" s="159">
        <f t="shared" si="28"/>
        <v>8.9122060132906302</v>
      </c>
      <c r="AS6" s="159">
        <f t="shared" si="29"/>
        <v>2.0255013666569615</v>
      </c>
      <c r="AT6" s="159">
        <f t="shared" si="30"/>
        <v>15.123134297216081</v>
      </c>
      <c r="AU6" s="159">
        <f t="shared" si="31"/>
        <v>1.6306827975215179</v>
      </c>
      <c r="AV6" s="159">
        <f t="shared" si="32"/>
        <v>2.6514364846702927</v>
      </c>
      <c r="AW6" s="159">
        <f t="shared" si="33"/>
        <v>0.81534139876075895</v>
      </c>
      <c r="AX6" s="159">
        <f t="shared" si="34"/>
        <v>2.8357019133197459</v>
      </c>
      <c r="AY6" s="159">
        <f t="shared" si="35"/>
        <v>6.001485530835442</v>
      </c>
      <c r="AZ6" s="159">
        <f t="shared" si="36"/>
        <v>1.4178509566598729</v>
      </c>
      <c r="BA6" s="159">
        <f t="shared" si="37"/>
        <v>16.020269382644155</v>
      </c>
      <c r="BB6" s="159">
        <f t="shared" si="38"/>
        <v>3.1735595982534157</v>
      </c>
      <c r="BC6" s="159">
        <f t="shared" si="39"/>
        <v>5.6687363187258182</v>
      </c>
      <c r="BD6" s="159">
        <f t="shared" si="40"/>
        <v>1.5867797991267079</v>
      </c>
      <c r="BE6" s="159">
        <f t="shared" si="41"/>
        <v>4.3660807236827832</v>
      </c>
      <c r="BF6" s="159">
        <f t="shared" si="42"/>
        <v>5.2212924118268331</v>
      </c>
      <c r="BG6" s="159">
        <f t="shared" si="43"/>
        <v>14.113857326109501</v>
      </c>
      <c r="BH6" s="159">
        <f t="shared" si="44"/>
        <v>11.214501592281767</v>
      </c>
      <c r="BI6" s="159">
        <f t="shared" si="45"/>
        <v>3.0230350323283521</v>
      </c>
      <c r="BJ6" s="159">
        <f t="shared" si="46"/>
        <v>7.2768012061379723</v>
      </c>
      <c r="BK6" s="159">
        <f t="shared" si="47"/>
        <v>3.9609804503513915</v>
      </c>
      <c r="BL6" s="159">
        <f t="shared" si="48"/>
        <v>6.1037226347874229</v>
      </c>
      <c r="BM6" s="159">
        <f t="shared" si="49"/>
        <v>11.037235884875441</v>
      </c>
      <c r="BN6" s="159">
        <f t="shared" si="50"/>
        <v>0.65227311900860707</v>
      </c>
      <c r="BO6" s="159">
        <f t="shared" si="51"/>
        <v>2.7006684888759485</v>
      </c>
      <c r="BP6" s="159">
        <f t="shared" si="52"/>
        <v>1.0202525402420251</v>
      </c>
      <c r="BQ6" s="159">
        <f t="shared" si="53"/>
        <v>4.8861821617064676</v>
      </c>
      <c r="BR6" s="159">
        <f t="shared" si="54"/>
        <v>16.241215981635946</v>
      </c>
      <c r="BS6" s="159">
        <f t="shared" si="55"/>
        <v>1.6934013666569609</v>
      </c>
      <c r="BT6" s="159">
        <f t="shared" si="56"/>
        <v>4.2610547268931631</v>
      </c>
      <c r="BU6" s="159">
        <f t="shared" si="57"/>
        <v>3.6609061738096189</v>
      </c>
      <c r="BV6" s="159">
        <f t="shared" si="58"/>
        <v>7.2892225691030905</v>
      </c>
      <c r="BW6" s="159">
        <f t="shared" si="59"/>
        <v>13.993474920414174</v>
      </c>
      <c r="BX6" s="159">
        <f t="shared" si="60"/>
        <v>1.5177893730777203</v>
      </c>
      <c r="BY6" s="159">
        <f t="shared" si="61"/>
        <v>4.2610547268931631</v>
      </c>
      <c r="BZ6" s="159">
        <f t="shared" si="62"/>
        <v>3.6609061738096189</v>
      </c>
      <c r="CA6" s="159">
        <f t="shared" si="63"/>
        <v>10.108789980448462</v>
      </c>
      <c r="CB6" s="159">
        <f t="shared" si="64"/>
        <v>11.303843875244299</v>
      </c>
      <c r="CC6" s="159">
        <f t="shared" si="65"/>
        <v>1.8564696464091126</v>
      </c>
      <c r="CD6" s="159">
        <f t="shared" si="66"/>
        <v>6.5042293693535278</v>
      </c>
      <c r="CE6" s="159">
        <f t="shared" si="67"/>
        <v>5.7994865705798277</v>
      </c>
      <c r="CF6" s="159">
        <f t="shared" si="68"/>
        <v>10.673833435968429</v>
      </c>
      <c r="CG6" s="159">
        <f t="shared" si="69"/>
        <v>5.7994865705798277</v>
      </c>
      <c r="CH6" s="159">
        <f t="shared" si="70"/>
        <v>6.1702770476095319</v>
      </c>
      <c r="CI6" s="159">
        <f t="shared" si="71"/>
        <v>11.254010895950959</v>
      </c>
      <c r="CJ6" s="159">
        <f t="shared" si="72"/>
        <v>6.1702770476095319</v>
      </c>
      <c r="CK6" s="159">
        <f t="shared" si="73"/>
        <v>4.0050673456610388</v>
      </c>
    </row>
    <row r="7" spans="1:89" x14ac:dyDescent="0.25">
      <c r="A7" t="str">
        <f>PLANTILLA!D10</f>
        <v>B. Bartolache</v>
      </c>
      <c r="B7" s="521">
        <f>PLANTILLA!E10</f>
        <v>30</v>
      </c>
      <c r="C7" s="521">
        <f ca="1">PLANTILLA!F10</f>
        <v>99</v>
      </c>
      <c r="D7" s="521"/>
      <c r="E7" s="317">
        <v>41527</v>
      </c>
      <c r="F7" s="371">
        <f>PLANTILLA!Q10</f>
        <v>6</v>
      </c>
      <c r="G7" s="439">
        <f t="shared" si="74"/>
        <v>0.92582009977255142</v>
      </c>
      <c r="H7" s="439">
        <f t="shared" ref="H7:H21" si="75">IF(F7=7,1,((F7+0.99)/7)^0.5)</f>
        <v>0.99928545900129484</v>
      </c>
      <c r="I7" s="530">
        <v>1.5</v>
      </c>
      <c r="J7" s="531">
        <f>PLANTILLA!I10</f>
        <v>9.1999999999999993</v>
      </c>
      <c r="K7" s="163">
        <f>PLANTILLA!X10</f>
        <v>0</v>
      </c>
      <c r="L7" s="163">
        <f>PLANTILLA!Y10</f>
        <v>11.649999999999997</v>
      </c>
      <c r="M7" s="163">
        <f>PLANTILLA!Z10</f>
        <v>6.6900000000000022</v>
      </c>
      <c r="N7" s="163">
        <f>PLANTILLA!AA10</f>
        <v>7.3600000000000012</v>
      </c>
      <c r="O7" s="163">
        <f>PLANTILLA!AB10</f>
        <v>9.0199999999999978</v>
      </c>
      <c r="P7" s="163">
        <f>PLANTILLA!AC10</f>
        <v>4.6199999999999966</v>
      </c>
      <c r="Q7" s="163">
        <f>PLANTILLA!AD10</f>
        <v>15.6</v>
      </c>
      <c r="R7" s="163">
        <f t="shared" si="2"/>
        <v>4.0862499999999988</v>
      </c>
      <c r="S7" s="163">
        <f t="shared" si="3"/>
        <v>14.804161464578231</v>
      </c>
      <c r="T7" s="163">
        <f t="shared" si="4"/>
        <v>0.69899999999999984</v>
      </c>
      <c r="U7" s="163">
        <f t="shared" si="5"/>
        <v>0.93399999999999994</v>
      </c>
      <c r="V7" s="163">
        <f t="shared" ca="1" si="6"/>
        <v>16.558339179521198</v>
      </c>
      <c r="W7" s="163">
        <f t="shared" ca="1" si="7"/>
        <v>17.872270834659979</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2.2550620038776561</v>
      </c>
      <c r="AE7" s="159">
        <f t="shared" si="15"/>
        <v>5.4564490649821584</v>
      </c>
      <c r="AF7" s="159">
        <f t="shared" si="16"/>
        <v>10.436541465561112</v>
      </c>
      <c r="AG7" s="159">
        <f t="shared" si="17"/>
        <v>2.7282245324910792</v>
      </c>
      <c r="AH7" s="159">
        <f t="shared" si="18"/>
        <v>3.6478944180373851</v>
      </c>
      <c r="AI7" s="159">
        <f t="shared" si="19"/>
        <v>13.280246401543877</v>
      </c>
      <c r="AJ7" s="159">
        <f t="shared" si="20"/>
        <v>5.9761108806947449</v>
      </c>
      <c r="AK7" s="159">
        <f t="shared" si="21"/>
        <v>1.5823334228889439</v>
      </c>
      <c r="AL7" s="159">
        <f t="shared" si="22"/>
        <v>5.9652896566389151</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8.9444476120189389</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9.4750504364607409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8.3475194345219119</v>
      </c>
      <c r="BH7" s="159">
        <f t="shared" si="44"/>
        <v>9.5418498380135972</v>
      </c>
      <c r="BI7" s="159">
        <f t="shared" si="45"/>
        <v>2.8450171551870378</v>
      </c>
      <c r="BJ7" s="159">
        <f t="shared" si="46"/>
        <v>7.000999461683457</v>
      </c>
      <c r="BK7" s="159">
        <f t="shared" si="47"/>
        <v>3.8108533152256348</v>
      </c>
      <c r="BL7" s="159">
        <f t="shared" si="48"/>
        <v>3.6099942162915424</v>
      </c>
      <c r="BM7" s="159">
        <f t="shared" si="49"/>
        <v>9.2004340814666872</v>
      </c>
      <c r="BN7" s="159">
        <f t="shared" si="50"/>
        <v>0.61386262269595826</v>
      </c>
      <c r="BO7" s="159">
        <f t="shared" si="51"/>
        <v>2.5983090785629326</v>
      </c>
      <c r="BP7" s="159">
        <f t="shared" si="52"/>
        <v>0.9815834296793301</v>
      </c>
      <c r="BQ7" s="159">
        <f t="shared" si="53"/>
        <v>2.8898903831205258</v>
      </c>
      <c r="BR7" s="159">
        <f t="shared" si="54"/>
        <v>13.521294861288512</v>
      </c>
      <c r="BS7" s="159">
        <f t="shared" si="55"/>
        <v>1.5936818089221996</v>
      </c>
      <c r="BT7" s="159">
        <f t="shared" si="56"/>
        <v>4.0995543239548491</v>
      </c>
      <c r="BU7" s="159">
        <f t="shared" si="57"/>
        <v>3.5221523064964195</v>
      </c>
      <c r="BV7" s="159">
        <f t="shared" si="58"/>
        <v>4.3111479485896371</v>
      </c>
      <c r="BW7" s="159">
        <f t="shared" si="59"/>
        <v>11.6457558835985</v>
      </c>
      <c r="BX7" s="159">
        <f t="shared" si="60"/>
        <v>1.4284111028117492</v>
      </c>
      <c r="BY7" s="159">
        <f t="shared" si="61"/>
        <v>4.0995543239548491</v>
      </c>
      <c r="BZ7" s="159">
        <f t="shared" si="62"/>
        <v>3.5221523064964195</v>
      </c>
      <c r="CA7" s="159">
        <f t="shared" si="63"/>
        <v>5.9787568254067276</v>
      </c>
      <c r="CB7" s="159">
        <f t="shared" si="64"/>
        <v>9.4002001406323608</v>
      </c>
      <c r="CC7" s="159">
        <f t="shared" si="65"/>
        <v>1.7471474645961891</v>
      </c>
      <c r="CD7" s="159">
        <f t="shared" si="66"/>
        <v>3.8468704772030611</v>
      </c>
      <c r="CE7" s="159">
        <f t="shared" si="67"/>
        <v>5.3525912773960451</v>
      </c>
      <c r="CF7" s="159">
        <f t="shared" si="68"/>
        <v>10.727286791454791</v>
      </c>
      <c r="CG7" s="159">
        <f t="shared" si="69"/>
        <v>5.3525912773960451</v>
      </c>
      <c r="CH7" s="159">
        <f t="shared" si="70"/>
        <v>5.7136864219150398</v>
      </c>
      <c r="CI7" s="159">
        <f t="shared" si="71"/>
        <v>11.761114047514749</v>
      </c>
      <c r="CJ7" s="159">
        <f t="shared" si="72"/>
        <v>5.7136864219150398</v>
      </c>
      <c r="CK7" s="159">
        <f t="shared" si="73"/>
        <v>2.3687626091151852</v>
      </c>
    </row>
    <row r="8" spans="1:89" x14ac:dyDescent="0.25">
      <c r="A8" t="str">
        <f>PLANTILLA!D11</f>
        <v>F. Lasprilla</v>
      </c>
      <c r="B8" s="521">
        <f>PLANTILLA!E11</f>
        <v>27</v>
      </c>
      <c r="C8" s="521">
        <f ca="1">PLANTILLA!F11</f>
        <v>10</v>
      </c>
      <c r="D8" s="521"/>
      <c r="E8" s="317">
        <v>42106</v>
      </c>
      <c r="F8" s="371">
        <f>PLANTILLA!Q11</f>
        <v>6</v>
      </c>
      <c r="G8" s="439">
        <f t="shared" si="74"/>
        <v>0.92582009977255142</v>
      </c>
      <c r="H8" s="439">
        <f t="shared" si="75"/>
        <v>0.99928545900129484</v>
      </c>
      <c r="I8" s="530">
        <v>1.5</v>
      </c>
      <c r="J8" s="531">
        <f>PLANTILLA!I11</f>
        <v>4.9000000000000004</v>
      </c>
      <c r="K8" s="163">
        <f>PLANTILLA!X11</f>
        <v>0</v>
      </c>
      <c r="L8" s="163">
        <f>PLANTILLA!Y11</f>
        <v>9.5796666666666663</v>
      </c>
      <c r="M8" s="163">
        <f>PLANTILLA!Z11</f>
        <v>7.7307222222222229</v>
      </c>
      <c r="N8" s="163">
        <f>PLANTILLA!AA11</f>
        <v>6.129999999999999</v>
      </c>
      <c r="O8" s="163">
        <f>PLANTILLA!AB11</f>
        <v>8.8633333333333315</v>
      </c>
      <c r="P8" s="163">
        <f>PLANTILLA!AC11</f>
        <v>3.2566666666666673</v>
      </c>
      <c r="Q8" s="163">
        <f>PLANTILLA!AD11</f>
        <v>13.238888888888889</v>
      </c>
      <c r="R8" s="163">
        <f t="shared" si="2"/>
        <v>3.7882916666666659</v>
      </c>
      <c r="S8" s="163">
        <f t="shared" si="3"/>
        <v>10.436233338039576</v>
      </c>
      <c r="T8" s="163">
        <f t="shared" si="4"/>
        <v>0.56000000000000005</v>
      </c>
      <c r="U8" s="163">
        <f t="shared" si="5"/>
        <v>0.78035333333333334</v>
      </c>
      <c r="V8" s="163">
        <f t="shared" ca="1" si="6"/>
        <v>14.034646069994215</v>
      </c>
      <c r="W8" s="163">
        <f t="shared" ca="1" si="7"/>
        <v>15.148318494511354</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2.4159341116179371</v>
      </c>
      <c r="AE8" s="159">
        <f t="shared" si="15"/>
        <v>4.5359728243343707</v>
      </c>
      <c r="AF8" s="159">
        <f t="shared" si="16"/>
        <v>8.6759480211474873</v>
      </c>
      <c r="AG8" s="159">
        <f t="shared" si="17"/>
        <v>2.2679864121671853</v>
      </c>
      <c r="AH8" s="159">
        <f t="shared" si="18"/>
        <v>3.9081287099701929</v>
      </c>
      <c r="AI8" s="159">
        <f t="shared" si="19"/>
        <v>11.039933858168311</v>
      </c>
      <c r="AJ8" s="159">
        <f t="shared" si="20"/>
        <v>4.9679702361757396</v>
      </c>
      <c r="AK8" s="159">
        <f t="shared" si="21"/>
        <v>1.6952142715974605</v>
      </c>
      <c r="AL8" s="159">
        <f t="shared" si="22"/>
        <v>5.0275537267423536</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9.582528577173667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10.150983662260241</v>
      </c>
      <c r="BB8" s="159">
        <f t="shared" si="38"/>
        <v>2.8547494776629514</v>
      </c>
      <c r="BC8" s="159">
        <f t="shared" si="39"/>
        <v>5.0398607201276144</v>
      </c>
      <c r="BD8" s="159">
        <f t="shared" si="40"/>
        <v>1.4273747388314757</v>
      </c>
      <c r="BE8" s="159">
        <f t="shared" si="41"/>
        <v>3.4919790790510632</v>
      </c>
      <c r="BF8" s="159">
        <f t="shared" si="42"/>
        <v>4.1759749811332298</v>
      </c>
      <c r="BG8" s="159">
        <f t="shared" si="43"/>
        <v>8.9430166064512733</v>
      </c>
      <c r="BH8" s="159">
        <f t="shared" si="44"/>
        <v>8.4621824201937965</v>
      </c>
      <c r="BI8" s="159">
        <f t="shared" si="45"/>
        <v>2.7193463403824953</v>
      </c>
      <c r="BJ8" s="159">
        <f t="shared" si="46"/>
        <v>5.819965131751772</v>
      </c>
      <c r="BK8" s="159">
        <f t="shared" si="47"/>
        <v>3.1679810201700369</v>
      </c>
      <c r="BL8" s="159">
        <f t="shared" si="48"/>
        <v>3.8675247753211521</v>
      </c>
      <c r="BM8" s="159">
        <f t="shared" si="49"/>
        <v>8.0223284985932271</v>
      </c>
      <c r="BN8" s="159">
        <f t="shared" si="50"/>
        <v>0.58674692821531016</v>
      </c>
      <c r="BO8" s="159">
        <f t="shared" si="51"/>
        <v>2.1599870592068431</v>
      </c>
      <c r="BP8" s="159">
        <f t="shared" si="52"/>
        <v>0.81599511125591861</v>
      </c>
      <c r="BQ8" s="159">
        <f t="shared" si="53"/>
        <v>3.0960500169893734</v>
      </c>
      <c r="BR8" s="159">
        <f t="shared" si="54"/>
        <v>11.777369545222223</v>
      </c>
      <c r="BS8" s="159">
        <f t="shared" si="55"/>
        <v>1.5232852944051323</v>
      </c>
      <c r="BT8" s="159">
        <f t="shared" si="56"/>
        <v>3.4079795823041303</v>
      </c>
      <c r="BU8" s="159">
        <f t="shared" si="57"/>
        <v>2.927982458035943</v>
      </c>
      <c r="BV8" s="159">
        <f t="shared" si="58"/>
        <v>4.61869756632841</v>
      </c>
      <c r="BW8" s="159">
        <f t="shared" si="59"/>
        <v>10.140623008895457</v>
      </c>
      <c r="BX8" s="159">
        <f t="shared" si="60"/>
        <v>1.3653149675779332</v>
      </c>
      <c r="BY8" s="159">
        <f t="shared" si="61"/>
        <v>3.4079795823041303</v>
      </c>
      <c r="BZ8" s="159">
        <f t="shared" si="62"/>
        <v>2.927982458035943</v>
      </c>
      <c r="CA8" s="159">
        <f t="shared" si="63"/>
        <v>6.405270690886212</v>
      </c>
      <c r="CB8" s="159">
        <f t="shared" si="64"/>
        <v>8.1800173221673589</v>
      </c>
      <c r="CC8" s="159">
        <f t="shared" si="65"/>
        <v>1.6699720264589597</v>
      </c>
      <c r="CD8" s="159">
        <f t="shared" si="66"/>
        <v>4.1212993668776585</v>
      </c>
      <c r="CE8" s="159">
        <f t="shared" si="67"/>
        <v>4.7731062102598072</v>
      </c>
      <c r="CF8" s="159">
        <f t="shared" si="68"/>
        <v>9.4366410481494754</v>
      </c>
      <c r="CG8" s="159">
        <f t="shared" si="69"/>
        <v>4.7731062102598072</v>
      </c>
      <c r="CH8" s="159">
        <f t="shared" si="70"/>
        <v>4.8378795438103515</v>
      </c>
      <c r="CI8" s="159">
        <f t="shared" si="71"/>
        <v>9.8405745780787139</v>
      </c>
      <c r="CJ8" s="159">
        <f t="shared" si="72"/>
        <v>4.8378795438103515</v>
      </c>
      <c r="CK8" s="159">
        <f t="shared" si="73"/>
        <v>2.5377459155650604</v>
      </c>
    </row>
    <row r="9" spans="1:89" x14ac:dyDescent="0.25">
      <c r="A9" t="str">
        <f>PLANTILLA!D7</f>
        <v>B. Pinczehelyi</v>
      </c>
      <c r="B9" s="521">
        <f>PLANTILLA!E7</f>
        <v>30</v>
      </c>
      <c r="C9" s="521">
        <f ca="1">PLANTILLA!F7</f>
        <v>3</v>
      </c>
      <c r="D9" s="521" t="str">
        <f>PLANTILLA!G7</f>
        <v>CAB</v>
      </c>
      <c r="E9" s="317">
        <v>42716</v>
      </c>
      <c r="F9" s="371">
        <f>PLANTILLA!Q7</f>
        <v>7</v>
      </c>
      <c r="G9" s="439">
        <f>(F9/7)^0.5</f>
        <v>1</v>
      </c>
      <c r="H9" s="439">
        <f>IF(F9=7,1,((F9+0.99)/7)^0.5)</f>
        <v>1</v>
      </c>
      <c r="I9" s="530">
        <v>1</v>
      </c>
      <c r="J9" s="531">
        <f>PLANTILLA!I7</f>
        <v>14</v>
      </c>
      <c r="K9" s="163">
        <f>PLANTILLA!X7</f>
        <v>0</v>
      </c>
      <c r="L9" s="163">
        <f>PLANTILLA!Y7</f>
        <v>14.200000000000003</v>
      </c>
      <c r="M9" s="163">
        <f>PLANTILLA!Z7</f>
        <v>9.299333333333335</v>
      </c>
      <c r="N9" s="163">
        <f>PLANTILLA!AA7</f>
        <v>14.249999999999996</v>
      </c>
      <c r="O9" s="163">
        <f>PLANTILLA!AB7</f>
        <v>9.4199999999999982</v>
      </c>
      <c r="P9" s="163">
        <f>PLANTILLA!AC7</f>
        <v>1.1428571428571428</v>
      </c>
      <c r="Q9" s="163">
        <f>PLANTILLA!AD7</f>
        <v>9.4</v>
      </c>
      <c r="R9" s="163">
        <f>((2*(O9+1))+(L9+1))/8</f>
        <v>4.5049999999999999</v>
      </c>
      <c r="S9" s="163">
        <f t="shared" si="3"/>
        <v>5.0544001356080663</v>
      </c>
      <c r="T9" s="163">
        <f>(0.5*P9+ 0.3*Q9)/10</f>
        <v>0.33914285714285713</v>
      </c>
      <c r="U9" s="163">
        <f>(0.4*L9+0.3*Q9)/10</f>
        <v>0.8500000000000002</v>
      </c>
      <c r="V9" s="163">
        <f t="shared" ref="V9" ca="1" si="76">IF(TODAY()-E9&gt;335,(Q9+1+(LOG(J9)*4/3))*(F9/7)^0.5,(Q9+((TODAY()-E9)^0.5)/(336^0.5)+(LOG(J9)*4/3))*(F9/7)^0.5)</f>
        <v>11.928170714237652</v>
      </c>
      <c r="W9" s="163">
        <f t="shared" ref="W9" ca="1" si="77">IF(F9=7,V9,IF(TODAY()-E9&gt;335,(Q9+1+(LOG(J9)*4/3))*((F9+0.99)/7)^0.5,(Q9+((TODAY()-E9)^0.5)/(336^0.5)+(LOG(J9)*4/3))*((F9+0.99)/7)^0.5))</f>
        <v>11.928170714237652</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2.8149459633218945</v>
      </c>
      <c r="AE9" s="159">
        <f>((L9+I9+(LOG(J9)*4/3))*0.378)</f>
        <v>6.3232485299818331</v>
      </c>
      <c r="AF9" s="159">
        <f>(L9+I9+(LOG(J9)*4/3))*0.723</f>
        <v>12.094467426393823</v>
      </c>
      <c r="AG9" s="159">
        <f>AE9/2</f>
        <v>3.1616242649909165</v>
      </c>
      <c r="AH9" s="159">
        <f>(M9+I9+(LOG(J9)*4/3))*0.385</f>
        <v>4.55358905831483</v>
      </c>
      <c r="AI9" s="159">
        <f>((L9+I9+(LOG(J9)*4/3))*0.92)</f>
        <v>15.389917057098641</v>
      </c>
      <c r="AJ9" s="159">
        <f>(L9+I9+(LOG(J9)*4/3))*0.414</f>
        <v>6.925462675694388</v>
      </c>
      <c r="AK9" s="159">
        <f>((M9+I9+(LOG(J9)*4/3))*0.167)</f>
        <v>1.9751931759443548</v>
      </c>
      <c r="AL9" s="159">
        <f>(N9+I9+(LOG(J9)*4/3))*0.588</f>
        <v>9.865564379971735</v>
      </c>
      <c r="AM9" s="159">
        <f>((L9+I9+(LOG(J9)*4/3))*0.754)</f>
        <v>12.61304071853519</v>
      </c>
      <c r="AN9" s="159">
        <f>((L9+I9+(LOG(J9)*4/3))*0.708)</f>
        <v>11.843544865680258</v>
      </c>
      <c r="AO9" s="159">
        <f>((Q9+I9+(LOG(J9)*4/3))*0.167)</f>
        <v>1.9920045092776879</v>
      </c>
      <c r="AP9" s="159">
        <f>((R9+I9+(LOG(J9)*4/3))*0.288)</f>
        <v>2.0255531657004431</v>
      </c>
      <c r="AQ9" s="159">
        <f>((L9+I9+(LOG(J9)*4/3))*0.27)</f>
        <v>4.5166060928441665</v>
      </c>
      <c r="AR9" s="159">
        <f>((L9+I9+(LOG(J9)*4/3))*0.594)</f>
        <v>9.9365334042571654</v>
      </c>
      <c r="AS9" s="159">
        <f>AQ9/2</f>
        <v>2.2583030464220832</v>
      </c>
      <c r="AT9" s="159">
        <f>((M9+I9+(LOG(J9)*4/3))*0.944)</f>
        <v>11.165163820907011</v>
      </c>
      <c r="AU9" s="159">
        <f>((O9+I9+(LOG(J9)*4/3))*0.13)</f>
        <v>1.5532621928508943</v>
      </c>
      <c r="AV9" s="159">
        <f>((P9+I9+(LOG(J9)*4/3))*0.173)+((O9+I9+(LOG(J9)*4/3))*0.12)</f>
        <v>2.0688683049859167</v>
      </c>
      <c r="AW9" s="159">
        <f>AU9/2</f>
        <v>0.77663109642544714</v>
      </c>
      <c r="AX9" s="159">
        <f>((L9+I9+(LOG(J9)*4/3))*0.189)</f>
        <v>3.1616242649909165</v>
      </c>
      <c r="AY9" s="159">
        <f>((L9+I9+(LOG(J9)*4/3))*0.4)</f>
        <v>6.6912682856950614</v>
      </c>
      <c r="AZ9" s="159">
        <f>AX9/2</f>
        <v>1.5808121324954583</v>
      </c>
      <c r="BA9" s="159">
        <f>((M9+I9+(LOG(J9)*4/3))*1)</f>
        <v>11.827504047570987</v>
      </c>
      <c r="BB9" s="159">
        <f>((O9+I9+(LOG(J9)*4/3))*0.253)</f>
        <v>3.0228871907021251</v>
      </c>
      <c r="BC9" s="159">
        <f>((P9+I9+(LOG(J9)*4/3))*0.21)+((O9+I9+(LOG(J9)*4/3))*0.341)</f>
        <v>4.8452420635449451</v>
      </c>
      <c r="BD9" s="159">
        <f>BB9/2</f>
        <v>1.5114435953510625</v>
      </c>
      <c r="BE9" s="159">
        <f>((L9+I9+(LOG(J9)*4/3))*0.291)</f>
        <v>4.8678976778431569</v>
      </c>
      <c r="BF9" s="159">
        <f>((L9+I9+(LOG(J9)*4/3))*0.348)</f>
        <v>5.8214034085547031</v>
      </c>
      <c r="BG9" s="159">
        <f>((M9+I9+(LOG(J9)*4/3))*0.881)</f>
        <v>10.42003106591004</v>
      </c>
      <c r="BH9" s="159">
        <f>((N9+I9+(LOG(J9)*4/3))*0.574)+((O9+I9+(LOG(J9)*4/3))*0.315)</f>
        <v>13.394343764957267</v>
      </c>
      <c r="BI9" s="159">
        <f>((O9+I9+(LOG(J9)*4/3))*0.241)</f>
        <v>2.8795091421312731</v>
      </c>
      <c r="BJ9" s="159">
        <f>((L9+I9+(LOG(J9)*4/3))*0.485)</f>
        <v>8.1131627964052608</v>
      </c>
      <c r="BK9" s="159">
        <f>((L9+I9+(LOG(J9)*4/3))*0.264)</f>
        <v>4.4162370685587407</v>
      </c>
      <c r="BL9" s="159">
        <f>((M9+I9+(LOG(J9)*4/3))*0.381)</f>
        <v>4.5062790421245458</v>
      </c>
      <c r="BM9" s="159">
        <f>((N9+I9+(LOG(J9)*4/3))*0.673)+((O9+I9+(LOG(J9)*4/3))*0.201)</f>
        <v>13.693291204243705</v>
      </c>
      <c r="BN9" s="159">
        <f>((O9+I9+(LOG(J9)*4/3))*0.052)</f>
        <v>0.62130487714035765</v>
      </c>
      <c r="BO9" s="159">
        <f>((L9+I9+(LOG(J9)*4/3))*0.18)</f>
        <v>3.0110707285627774</v>
      </c>
      <c r="BP9" s="159">
        <f>(L9+I9+(LOG(J9)*4/3))*0.068</f>
        <v>1.1375156085681604</v>
      </c>
      <c r="BQ9" s="159">
        <f>((M9+I9+(LOG(J9)*4/3))*0.305)</f>
        <v>3.6073887345091507</v>
      </c>
      <c r="BR9" s="159">
        <f>((N9+I9+(LOG(J9)*4/3))*1)+((O9+I9+(LOG(J9)*4/3))*0.286)</f>
        <v>20.195347538509612</v>
      </c>
      <c r="BS9" s="159">
        <f>((O9+I9+(LOG(J9)*4/3))*0.135)</f>
        <v>1.6130030464220826</v>
      </c>
      <c r="BT9" s="159">
        <f t="shared" si="56"/>
        <v>4.7508004828434931</v>
      </c>
      <c r="BU9" s="159">
        <f t="shared" si="57"/>
        <v>4.0816736542739873</v>
      </c>
      <c r="BV9" s="159">
        <f t="shared" si="58"/>
        <v>5.3815143416447988</v>
      </c>
      <c r="BW9" s="159">
        <f t="shared" si="59"/>
        <v>17.411693151375314</v>
      </c>
      <c r="BX9" s="159">
        <f t="shared" si="60"/>
        <v>1.4457286564227554</v>
      </c>
      <c r="BY9" s="159">
        <f>((L9+I9+(LOG(J9)*4/3))*0.284)</f>
        <v>4.7508004828434931</v>
      </c>
      <c r="BZ9" s="159">
        <f>((L9+I9+(LOG(J9)*4/3))*0.244)</f>
        <v>4.0816736542739873</v>
      </c>
      <c r="CA9" s="159">
        <f>((M9+I9+(LOG(J9)*4/3))*0.631)</f>
        <v>7.4631550540172924</v>
      </c>
      <c r="CB9" s="159">
        <f>((N9+I9+(LOG(J9)*4/3))*0.702)+((O9+I9+(LOG(J9)*4/3))*0.193)</f>
        <v>14.084272789242693</v>
      </c>
      <c r="CC9" s="159">
        <f>((O9+I9+(LOG(J9)*4/3))*0.148)</f>
        <v>1.7683292657071719</v>
      </c>
      <c r="CD9" s="159">
        <f>((M9+I9+(LOG(J9)*4/3))*0.406)</f>
        <v>4.8019666433138211</v>
      </c>
      <c r="CE9" s="159">
        <f>IF(D9="TEC",((N9+I9+(LOG(J9)*4/3))*0.15)+((O9+I9+(LOG(J9)*4/3))*0.324)+((P9+I9+(LOG(J9)*4/3))*0.127),(((N9+I9+(LOG(J9)*4/3))*0.144)+((O9+I9+(LOG(J9)*4/3))*0.25)+((P9+I9+(LOG(J9)*4/3))*0.127)))</f>
        <v>5.8693197992606718</v>
      </c>
      <c r="CF9" s="159">
        <f>((O9+I9+(LOG(J9)*4/3))*0.543)+((P9+I9+(LOG(J9)*4/3))*0.583)</f>
        <v>8.6280659385173077</v>
      </c>
      <c r="CG9" s="159">
        <f>CE9</f>
        <v>5.8693197992606718</v>
      </c>
      <c r="CH9" s="159">
        <f>((P9+1+(LOG(J9)*4/3))*0.26)+((N9+I9+(LOG(J9)*4/3))*0.221)+((O9+I9+(LOG(J9)*4/3))*0.142)</f>
        <v>6.3590832121129122</v>
      </c>
      <c r="CI9" s="159">
        <f>((P9+I9+(LOG(J9)*4/3))*1)+((O9+I9+(LOG(J9)*4/3))*0.369)</f>
        <v>8.0799028506484856</v>
      </c>
      <c r="CJ9" s="159">
        <f>CH9</f>
        <v>6.3590832121129122</v>
      </c>
      <c r="CK9" s="159">
        <f>((M9+I9+(LOG(J9)*4/3))*0.25)</f>
        <v>2.9568760118927466</v>
      </c>
    </row>
    <row r="10" spans="1:89" x14ac:dyDescent="0.25">
      <c r="A10" t="str">
        <f>PLANTILLA!D12</f>
        <v>E. Romweber</v>
      </c>
      <c r="B10" s="521">
        <f>PLANTILLA!E12</f>
        <v>30</v>
      </c>
      <c r="C10" s="521">
        <f ca="1">PLANTILLA!F12</f>
        <v>76</v>
      </c>
      <c r="D10" s="521" t="str">
        <f>PLANTILLA!G12</f>
        <v>IMP</v>
      </c>
      <c r="E10" s="317">
        <v>41583</v>
      </c>
      <c r="F10" s="371">
        <f>PLANTILLA!Q12</f>
        <v>4</v>
      </c>
      <c r="G10" s="439">
        <f t="shared" si="74"/>
        <v>0.7559289460184544</v>
      </c>
      <c r="H10" s="439">
        <f t="shared" si="75"/>
        <v>0.84430867747355465</v>
      </c>
      <c r="I10" s="530">
        <v>1.5</v>
      </c>
      <c r="J10" s="531">
        <f>PLANTILLA!I12</f>
        <v>12.2</v>
      </c>
      <c r="K10" s="163">
        <f>PLANTILLA!X12</f>
        <v>0</v>
      </c>
      <c r="L10" s="163">
        <f>PLANTILLA!Y12</f>
        <v>11.95</v>
      </c>
      <c r="M10" s="163">
        <f>PLANTILLA!Z12</f>
        <v>12.444111111111114</v>
      </c>
      <c r="N10" s="163">
        <f>PLANTILLA!AA12</f>
        <v>13.05</v>
      </c>
      <c r="O10" s="163">
        <f>PLANTILLA!AB12</f>
        <v>10.91</v>
      </c>
      <c r="P10" s="163">
        <f>PLANTILLA!AC12</f>
        <v>7.7700000000000005</v>
      </c>
      <c r="Q10" s="163">
        <f>PLANTILLA!AD12</f>
        <v>17.13</v>
      </c>
      <c r="R10" s="163">
        <f t="shared" si="2"/>
        <v>4.5962499999999995</v>
      </c>
      <c r="S10" s="163">
        <f t="shared" si="3"/>
        <v>21.235840301054928</v>
      </c>
      <c r="T10" s="163">
        <f t="shared" si="4"/>
        <v>0.90239999999999987</v>
      </c>
      <c r="U10" s="163">
        <f t="shared" si="5"/>
        <v>0.9919</v>
      </c>
      <c r="V10" s="163">
        <f t="shared" ca="1" si="6"/>
        <v>14.799939580379576</v>
      </c>
      <c r="W10" s="163">
        <f t="shared" ca="1" si="7"/>
        <v>16.5302803651254</v>
      </c>
      <c r="X10" s="159">
        <f t="shared" si="8"/>
        <v>5.8722228429054066</v>
      </c>
      <c r="Y10" s="159">
        <f t="shared" si="9"/>
        <v>8.8852373885347991</v>
      </c>
      <c r="Z10" s="159">
        <f t="shared" si="10"/>
        <v>5.8722228429054066</v>
      </c>
      <c r="AA10" s="159">
        <f t="shared" si="11"/>
        <v>7.6876155635042265</v>
      </c>
      <c r="AB10" s="159">
        <f t="shared" si="12"/>
        <v>14.898479774232996</v>
      </c>
      <c r="AC10" s="159">
        <f t="shared" si="13"/>
        <v>3.8438077817521132</v>
      </c>
      <c r="AD10" s="159">
        <f t="shared" si="14"/>
        <v>3.6634366307118986</v>
      </c>
      <c r="AE10" s="159">
        <f t="shared" si="15"/>
        <v>5.6316253546600725</v>
      </c>
      <c r="AF10" s="159">
        <f t="shared" si="16"/>
        <v>10.771600876770457</v>
      </c>
      <c r="AG10" s="159">
        <f t="shared" si="17"/>
        <v>2.8158126773300363</v>
      </c>
      <c r="AH10" s="159">
        <f t="shared" si="18"/>
        <v>5.9261474908574838</v>
      </c>
      <c r="AI10" s="159">
        <f t="shared" si="19"/>
        <v>13.706601392294356</v>
      </c>
      <c r="AJ10" s="159">
        <f t="shared" si="20"/>
        <v>6.1679706265324601</v>
      </c>
      <c r="AK10" s="159">
        <f t="shared" si="21"/>
        <v>2.5705626778524668</v>
      </c>
      <c r="AL10" s="159">
        <f t="shared" si="22"/>
        <v>9.4071061072490014</v>
      </c>
      <c r="AM10" s="159">
        <f t="shared" si="23"/>
        <v>11.233453749771678</v>
      </c>
      <c r="AN10" s="159">
        <f t="shared" si="24"/>
        <v>10.54812368015696</v>
      </c>
      <c r="AO10" s="159">
        <f t="shared" si="25"/>
        <v>3.3531061222969103</v>
      </c>
      <c r="AP10" s="159">
        <f t="shared" si="26"/>
        <v>2.1728821749791032</v>
      </c>
      <c r="AQ10" s="159">
        <f t="shared" si="27"/>
        <v>4.0225895390429089</v>
      </c>
      <c r="AR10" s="159">
        <f t="shared" si="28"/>
        <v>8.8496969858943988</v>
      </c>
      <c r="AS10" s="159">
        <f t="shared" si="29"/>
        <v>2.0112947695214545</v>
      </c>
      <c r="AT10" s="159">
        <f t="shared" si="30"/>
        <v>14.530605795764842</v>
      </c>
      <c r="AU10" s="159">
        <f t="shared" si="31"/>
        <v>1.8016023706502897</v>
      </c>
      <c r="AV10" s="159">
        <f t="shared" si="32"/>
        <v>3.5173145738502676</v>
      </c>
      <c r="AW10" s="159">
        <f t="shared" si="33"/>
        <v>0.90080118532514486</v>
      </c>
      <c r="AX10" s="159">
        <f t="shared" si="34"/>
        <v>2.8158126773300363</v>
      </c>
      <c r="AY10" s="159">
        <f t="shared" si="35"/>
        <v>5.9593919096931991</v>
      </c>
      <c r="AZ10" s="159">
        <f t="shared" si="36"/>
        <v>1.4079063386650181</v>
      </c>
      <c r="BA10" s="159">
        <f t="shared" si="37"/>
        <v>15.392590885344113</v>
      </c>
      <c r="BB10" s="159">
        <f t="shared" si="38"/>
        <v>3.5061953828809482</v>
      </c>
      <c r="BC10" s="159">
        <f t="shared" si="39"/>
        <v>6.9766223556023821</v>
      </c>
      <c r="BD10" s="159">
        <f t="shared" si="40"/>
        <v>1.7530976914404741</v>
      </c>
      <c r="BE10" s="159">
        <f t="shared" si="41"/>
        <v>4.3354576143018013</v>
      </c>
      <c r="BF10" s="159">
        <f t="shared" si="42"/>
        <v>5.1846709614330821</v>
      </c>
      <c r="BG10" s="159">
        <f t="shared" si="43"/>
        <v>13.560872569988163</v>
      </c>
      <c r="BH10" s="159">
        <f t="shared" si="44"/>
        <v>13.548548519293133</v>
      </c>
      <c r="BI10" s="159">
        <f t="shared" si="45"/>
        <v>3.3398936255901521</v>
      </c>
      <c r="BJ10" s="159">
        <f t="shared" si="46"/>
        <v>7.2257626905030028</v>
      </c>
      <c r="BK10" s="159">
        <f t="shared" si="47"/>
        <v>3.9331986603975113</v>
      </c>
      <c r="BL10" s="159">
        <f t="shared" si="48"/>
        <v>5.8645771273161067</v>
      </c>
      <c r="BM10" s="159">
        <f t="shared" si="49"/>
        <v>13.552531322679641</v>
      </c>
      <c r="BN10" s="159">
        <f t="shared" si="50"/>
        <v>0.72064094826011582</v>
      </c>
      <c r="BO10" s="159">
        <f t="shared" si="51"/>
        <v>2.6817263593619391</v>
      </c>
      <c r="BP10" s="159">
        <f t="shared" si="52"/>
        <v>1.0130966246478439</v>
      </c>
      <c r="BQ10" s="159">
        <f t="shared" si="53"/>
        <v>4.6947402200299546</v>
      </c>
      <c r="BR10" s="159">
        <f t="shared" si="54"/>
        <v>19.962004989663633</v>
      </c>
      <c r="BS10" s="159">
        <f t="shared" si="55"/>
        <v>1.8708947695214546</v>
      </c>
      <c r="BT10" s="159">
        <f t="shared" si="56"/>
        <v>4.2311682558821708</v>
      </c>
      <c r="BU10" s="159">
        <f t="shared" si="57"/>
        <v>3.6352290649128509</v>
      </c>
      <c r="BV10" s="159">
        <f t="shared" si="58"/>
        <v>7.0036288528315715</v>
      </c>
      <c r="BW10" s="159">
        <f t="shared" si="59"/>
        <v>17.20415558985016</v>
      </c>
      <c r="BX10" s="159">
        <f t="shared" si="60"/>
        <v>1.6768760526821926</v>
      </c>
      <c r="BY10" s="159">
        <f t="shared" si="61"/>
        <v>4.2311682558821708</v>
      </c>
      <c r="BZ10" s="159">
        <f t="shared" si="62"/>
        <v>3.6352290649128509</v>
      </c>
      <c r="CA10" s="159">
        <f t="shared" si="63"/>
        <v>9.7127248486521349</v>
      </c>
      <c r="CB10" s="159">
        <f t="shared" si="64"/>
        <v>13.905619397938533</v>
      </c>
      <c r="CC10" s="159">
        <f t="shared" si="65"/>
        <v>2.0510550065864832</v>
      </c>
      <c r="CD10" s="159">
        <f t="shared" si="66"/>
        <v>6.2493918994497104</v>
      </c>
      <c r="CE10" s="159">
        <f t="shared" si="67"/>
        <v>7.1296479623753912</v>
      </c>
      <c r="CF10" s="159">
        <f t="shared" si="68"/>
        <v>13.774028225786353</v>
      </c>
      <c r="CG10" s="159">
        <f t="shared" si="69"/>
        <v>7.1296479623753912</v>
      </c>
      <c r="CH10" s="159">
        <f t="shared" si="70"/>
        <v>8.1603728993471574</v>
      </c>
      <c r="CI10" s="159">
        <f t="shared" si="71"/>
        <v>15.832258810924973</v>
      </c>
      <c r="CJ10" s="159">
        <f t="shared" si="72"/>
        <v>8.1603728993471574</v>
      </c>
      <c r="CK10" s="159">
        <f t="shared" si="73"/>
        <v>3.8481477213360282</v>
      </c>
    </row>
    <row r="11" spans="1:89" x14ac:dyDescent="0.25">
      <c r="A11" t="str">
        <f>PLANTILLA!D13</f>
        <v>K. Helms</v>
      </c>
      <c r="B11" s="521">
        <f>PLANTILLA!E13</f>
        <v>30</v>
      </c>
      <c r="C11" s="521">
        <f ca="1">PLANTILLA!F13</f>
        <v>23</v>
      </c>
      <c r="D11" s="521" t="str">
        <f>PLANTILLA!G13</f>
        <v>TEC</v>
      </c>
      <c r="E11" s="317">
        <v>41722</v>
      </c>
      <c r="F11" s="371">
        <f>PLANTILLA!Q13</f>
        <v>5</v>
      </c>
      <c r="G11" s="439">
        <f t="shared" ref="G11:G21" si="78">(F11/7)^0.5</f>
        <v>0.84515425472851657</v>
      </c>
      <c r="H11" s="439">
        <f t="shared" si="75"/>
        <v>0.92504826128926143</v>
      </c>
      <c r="I11" s="530">
        <v>1.5</v>
      </c>
      <c r="J11" s="531">
        <f>PLANTILLA!I13</f>
        <v>10.199999999999999</v>
      </c>
      <c r="K11" s="163">
        <f>PLANTILLA!X13</f>
        <v>0</v>
      </c>
      <c r="L11" s="163">
        <f>PLANTILLA!Y13</f>
        <v>7.11</v>
      </c>
      <c r="M11" s="163">
        <f>PLANTILLA!Z13</f>
        <v>10.350000000000003</v>
      </c>
      <c r="N11" s="163">
        <f>PLANTILLA!AA13</f>
        <v>13.305</v>
      </c>
      <c r="O11" s="163">
        <f>PLANTILLA!AB13</f>
        <v>10.359999999999998</v>
      </c>
      <c r="P11" s="163">
        <f>PLANTILLA!AC13</f>
        <v>5.4050000000000002</v>
      </c>
      <c r="Q11" s="163">
        <f>PLANTILLA!AD13</f>
        <v>17.300000000000004</v>
      </c>
      <c r="R11" s="163">
        <f t="shared" si="2"/>
        <v>3.8537499999999993</v>
      </c>
      <c r="S11" s="163">
        <f t="shared" si="3"/>
        <v>17.174308506125115</v>
      </c>
      <c r="T11" s="163">
        <f t="shared" si="4"/>
        <v>0.78925000000000023</v>
      </c>
      <c r="U11" s="163">
        <f t="shared" si="5"/>
        <v>0.80340000000000023</v>
      </c>
      <c r="V11" s="163">
        <f t="shared" ca="1" si="6"/>
        <v>16.602886496844519</v>
      </c>
      <c r="W11" s="163">
        <f t="shared" ca="1" si="7"/>
        <v>18.172388295226035</v>
      </c>
      <c r="X11" s="159">
        <f t="shared" si="8"/>
        <v>4.4458705999308723</v>
      </c>
      <c r="Y11" s="159">
        <f t="shared" si="9"/>
        <v>6.694387095659514</v>
      </c>
      <c r="Z11" s="159">
        <f t="shared" si="10"/>
        <v>4.4458705999308723</v>
      </c>
      <c r="AA11" s="159">
        <f t="shared" si="11"/>
        <v>5.1366769181721992</v>
      </c>
      <c r="AB11" s="159">
        <f t="shared" si="12"/>
        <v>9.9548002290158895</v>
      </c>
      <c r="AC11" s="159">
        <f t="shared" si="13"/>
        <v>2.5683384590860996</v>
      </c>
      <c r="AD11" s="159">
        <f t="shared" si="14"/>
        <v>3.1403624545057824</v>
      </c>
      <c r="AE11" s="159">
        <f t="shared" si="15"/>
        <v>3.7629144865680062</v>
      </c>
      <c r="AF11" s="159">
        <f t="shared" si="16"/>
        <v>7.1973205655784875</v>
      </c>
      <c r="AG11" s="159">
        <f t="shared" si="17"/>
        <v>1.8814572432840031</v>
      </c>
      <c r="AH11" s="159">
        <f t="shared" si="18"/>
        <v>5.0799980881711191</v>
      </c>
      <c r="AI11" s="159">
        <f t="shared" si="19"/>
        <v>9.1584162106946181</v>
      </c>
      <c r="AJ11" s="159">
        <f t="shared" si="20"/>
        <v>4.1212872948125776</v>
      </c>
      <c r="AK11" s="159">
        <f t="shared" si="21"/>
        <v>2.2035316382456545</v>
      </c>
      <c r="AL11" s="159">
        <f t="shared" si="22"/>
        <v>9.4960825346613422</v>
      </c>
      <c r="AM11" s="159">
        <f t="shared" si="23"/>
        <v>7.5059193726779805</v>
      </c>
      <c r="AN11" s="159">
        <f t="shared" si="24"/>
        <v>7.047998562143249</v>
      </c>
      <c r="AO11" s="159">
        <f t="shared" si="25"/>
        <v>3.3641816382456544</v>
      </c>
      <c r="AP11" s="159">
        <f t="shared" si="26"/>
        <v>1.9291824659565762</v>
      </c>
      <c r="AQ11" s="159">
        <f t="shared" si="27"/>
        <v>2.6877960618342902</v>
      </c>
      <c r="AR11" s="159">
        <f t="shared" si="28"/>
        <v>5.9131513360354377</v>
      </c>
      <c r="AS11" s="159">
        <f t="shared" si="29"/>
        <v>1.3438980309171451</v>
      </c>
      <c r="AT11" s="159">
        <f t="shared" si="30"/>
        <v>12.455891416191003</v>
      </c>
      <c r="AU11" s="159">
        <f t="shared" si="31"/>
        <v>1.7166240297720654</v>
      </c>
      <c r="AV11" s="159">
        <f t="shared" si="32"/>
        <v>3.0117914671016552</v>
      </c>
      <c r="AW11" s="159">
        <f t="shared" si="33"/>
        <v>0.8583120148860327</v>
      </c>
      <c r="AX11" s="159">
        <f t="shared" si="34"/>
        <v>1.8814572432840031</v>
      </c>
      <c r="AY11" s="159">
        <f t="shared" si="35"/>
        <v>3.981920091606356</v>
      </c>
      <c r="AZ11" s="159">
        <f t="shared" si="36"/>
        <v>0.94072862164200155</v>
      </c>
      <c r="BA11" s="159">
        <f t="shared" si="37"/>
        <v>13.194800229015893</v>
      </c>
      <c r="BB11" s="159">
        <f t="shared" si="38"/>
        <v>3.3408144579410197</v>
      </c>
      <c r="BC11" s="159">
        <f t="shared" si="39"/>
        <v>6.2352949261877546</v>
      </c>
      <c r="BD11" s="159">
        <f t="shared" si="40"/>
        <v>1.6704072289705099</v>
      </c>
      <c r="BE11" s="159">
        <f t="shared" si="41"/>
        <v>2.8968468666436236</v>
      </c>
      <c r="BF11" s="159">
        <f t="shared" si="42"/>
        <v>3.4642704796975292</v>
      </c>
      <c r="BG11" s="159">
        <f t="shared" si="43"/>
        <v>11.624619001763001</v>
      </c>
      <c r="BH11" s="159">
        <f t="shared" si="44"/>
        <v>13.429497403595125</v>
      </c>
      <c r="BI11" s="159">
        <f t="shared" si="45"/>
        <v>3.182356855192829</v>
      </c>
      <c r="BJ11" s="159">
        <f t="shared" si="46"/>
        <v>4.8280781110727062</v>
      </c>
      <c r="BK11" s="159">
        <f t="shared" si="47"/>
        <v>2.6280672604601949</v>
      </c>
      <c r="BL11" s="159">
        <f t="shared" si="48"/>
        <v>5.0272188872550556</v>
      </c>
      <c r="BM11" s="159">
        <f t="shared" si="49"/>
        <v>13.522980400159886</v>
      </c>
      <c r="BN11" s="159">
        <f t="shared" si="50"/>
        <v>0.68664961190882612</v>
      </c>
      <c r="BO11" s="159">
        <f t="shared" si="51"/>
        <v>1.7918640412228601</v>
      </c>
      <c r="BP11" s="159">
        <f t="shared" si="52"/>
        <v>0.67692641557308053</v>
      </c>
      <c r="BQ11" s="159">
        <f t="shared" si="53"/>
        <v>4.024414069849847</v>
      </c>
      <c r="BR11" s="159">
        <f t="shared" si="54"/>
        <v>19.926373094514432</v>
      </c>
      <c r="BS11" s="159">
        <f t="shared" si="55"/>
        <v>1.7826480309171449</v>
      </c>
      <c r="BT11" s="159">
        <f t="shared" si="56"/>
        <v>2.8271632650405123</v>
      </c>
      <c r="BU11" s="159">
        <f t="shared" si="57"/>
        <v>2.4289712558798771</v>
      </c>
      <c r="BV11" s="159">
        <f t="shared" si="58"/>
        <v>6.0036341042022316</v>
      </c>
      <c r="BW11" s="159">
        <f t="shared" si="59"/>
        <v>17.175398653749603</v>
      </c>
      <c r="BX11" s="159">
        <f t="shared" si="60"/>
        <v>1.5977808277109224</v>
      </c>
      <c r="BY11" s="159">
        <f t="shared" si="61"/>
        <v>2.8271632650405123</v>
      </c>
      <c r="BZ11" s="159">
        <f t="shared" si="62"/>
        <v>2.4289712558798771</v>
      </c>
      <c r="CA11" s="159">
        <f t="shared" si="63"/>
        <v>8.3259189445090289</v>
      </c>
      <c r="CB11" s="159">
        <f t="shared" si="64"/>
        <v>13.885686204969218</v>
      </c>
      <c r="CC11" s="159">
        <f t="shared" si="65"/>
        <v>1.9543104338943513</v>
      </c>
      <c r="CD11" s="159">
        <f t="shared" si="66"/>
        <v>5.3570888929804532</v>
      </c>
      <c r="CE11" s="159">
        <f t="shared" si="67"/>
        <v>7.7485499376385487</v>
      </c>
      <c r="CF11" s="159">
        <f t="shared" si="68"/>
        <v>11.97984005787189</v>
      </c>
      <c r="CG11" s="159">
        <f t="shared" si="69"/>
        <v>7.7485499376385487</v>
      </c>
      <c r="CH11" s="159">
        <f t="shared" si="70"/>
        <v>7.4591355426768988</v>
      </c>
      <c r="CI11" s="159">
        <f t="shared" si="71"/>
        <v>13.122371513522751</v>
      </c>
      <c r="CJ11" s="159">
        <f t="shared" si="72"/>
        <v>7.4591355426768988</v>
      </c>
      <c r="CK11" s="159">
        <f t="shared" si="73"/>
        <v>3.2987000572539733</v>
      </c>
    </row>
    <row r="12" spans="1:89" x14ac:dyDescent="0.25">
      <c r="A12" t="str">
        <f>PLANTILLA!D14</f>
        <v>S. Zobbe</v>
      </c>
      <c r="B12" s="521">
        <f>PLANTILLA!E14</f>
        <v>27</v>
      </c>
      <c r="C12" s="521">
        <f ca="1">PLANTILLA!F14</f>
        <v>38</v>
      </c>
      <c r="D12" s="521" t="str">
        <f>PLANTILLA!G14</f>
        <v>CAB</v>
      </c>
      <c r="E12" s="317">
        <v>41911</v>
      </c>
      <c r="F12" s="371">
        <f>PLANTILLA!Q14</f>
        <v>4</v>
      </c>
      <c r="G12" s="439">
        <f t="shared" si="78"/>
        <v>0.7559289460184544</v>
      </c>
      <c r="H12" s="439">
        <f t="shared" si="75"/>
        <v>0.84430867747355465</v>
      </c>
      <c r="I12" s="530">
        <v>1.5</v>
      </c>
      <c r="J12" s="531">
        <f>PLANTILLA!I14</f>
        <v>8.6</v>
      </c>
      <c r="K12" s="163">
        <f>PLANTILLA!X14</f>
        <v>0</v>
      </c>
      <c r="L12" s="163">
        <f>PLANTILLA!Y14</f>
        <v>8.1199999999999992</v>
      </c>
      <c r="M12" s="163">
        <f>PLANTILLA!Z14</f>
        <v>12.008412698412698</v>
      </c>
      <c r="N12" s="163">
        <f>PLANTILLA!AA14</f>
        <v>12.13</v>
      </c>
      <c r="O12" s="163">
        <f>PLANTILLA!AB14</f>
        <v>10.24</v>
      </c>
      <c r="P12" s="163">
        <f>PLANTILLA!AC14</f>
        <v>7.4766666666666666</v>
      </c>
      <c r="Q12" s="163">
        <f>PLANTILLA!AD14</f>
        <v>15.270000000000001</v>
      </c>
      <c r="R12" s="163">
        <f t="shared" si="2"/>
        <v>3.95</v>
      </c>
      <c r="S12" s="163">
        <f t="shared" si="3"/>
        <v>19.278422102997716</v>
      </c>
      <c r="T12" s="163">
        <f t="shared" si="4"/>
        <v>0.8319333333333333</v>
      </c>
      <c r="U12" s="163">
        <f t="shared" si="5"/>
        <v>0.78290000000000004</v>
      </c>
      <c r="V12" s="163">
        <f t="shared" ca="1" si="6"/>
        <v>13.240849857459493</v>
      </c>
      <c r="W12" s="163">
        <f t="shared" ca="1" si="7"/>
        <v>14.788909051122124</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3.5115497307501808</v>
      </c>
      <c r="AE12" s="159">
        <f t="shared" si="15"/>
        <v>4.1073472194267575</v>
      </c>
      <c r="AF12" s="159">
        <f t="shared" si="16"/>
        <v>7.8561165069987986</v>
      </c>
      <c r="AG12" s="159">
        <f t="shared" si="17"/>
        <v>2.0536736097133788</v>
      </c>
      <c r="AH12" s="159">
        <f t="shared" si="18"/>
        <v>5.680448093860587</v>
      </c>
      <c r="AI12" s="159">
        <f t="shared" si="19"/>
        <v>9.9967181001921102</v>
      </c>
      <c r="AJ12" s="159">
        <f t="shared" si="20"/>
        <v>4.4985231450864491</v>
      </c>
      <c r="AK12" s="159">
        <f t="shared" si="21"/>
        <v>2.4639865757784887</v>
      </c>
      <c r="AL12" s="159">
        <f t="shared" si="22"/>
        <v>8.7470867857749575</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13.928163637933491</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14.754410633404122</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12.998635768029031</v>
      </c>
      <c r="BH12" s="159">
        <f t="shared" si="44"/>
        <v>12.629412164207375</v>
      </c>
      <c r="BI12" s="159">
        <f t="shared" si="45"/>
        <v>3.1296255023329329</v>
      </c>
      <c r="BJ12" s="159">
        <f t="shared" si="46"/>
        <v>5.27000899847084</v>
      </c>
      <c r="BK12" s="159">
        <f t="shared" si="47"/>
        <v>2.8686234548377358</v>
      </c>
      <c r="BL12" s="159">
        <f t="shared" si="48"/>
        <v>5.6214304513269706</v>
      </c>
      <c r="BM12" s="159">
        <f t="shared" si="49"/>
        <v>12.621732195182506</v>
      </c>
      <c r="BN12" s="159">
        <f t="shared" si="50"/>
        <v>0.675271892619554</v>
      </c>
      <c r="BO12" s="159">
        <f t="shared" si="51"/>
        <v>1.9558796282984561</v>
      </c>
      <c r="BP12" s="159">
        <f t="shared" si="52"/>
        <v>0.73888785957941683</v>
      </c>
      <c r="BQ12" s="159">
        <f t="shared" si="53"/>
        <v>4.500095243188257</v>
      </c>
      <c r="BR12" s="159">
        <f t="shared" si="54"/>
        <v>18.589993344398973</v>
      </c>
      <c r="BS12" s="159">
        <f t="shared" si="55"/>
        <v>1.7531097212238425</v>
      </c>
      <c r="BT12" s="159">
        <f t="shared" si="56"/>
        <v>3.0859434135375641</v>
      </c>
      <c r="BU12" s="159">
        <f t="shared" si="57"/>
        <v>2.6513034961379072</v>
      </c>
      <c r="BV12" s="159">
        <f t="shared" si="58"/>
        <v>6.713256838198876</v>
      </c>
      <c r="BW12" s="159">
        <f t="shared" si="59"/>
        <v>16.0214457119705</v>
      </c>
      <c r="BX12" s="159">
        <f t="shared" si="60"/>
        <v>1.5713057501339622</v>
      </c>
      <c r="BY12" s="159">
        <f t="shared" si="61"/>
        <v>3.0859434135375641</v>
      </c>
      <c r="BZ12" s="159">
        <f t="shared" si="62"/>
        <v>2.6513034961379072</v>
      </c>
      <c r="CA12" s="159">
        <f t="shared" si="63"/>
        <v>9.3100331096780007</v>
      </c>
      <c r="CB12" s="159">
        <f t="shared" si="64"/>
        <v>12.949248151817326</v>
      </c>
      <c r="CC12" s="159">
        <f t="shared" si="65"/>
        <v>1.9219276943787307</v>
      </c>
      <c r="CD12" s="159">
        <f t="shared" si="66"/>
        <v>5.9902907171620736</v>
      </c>
      <c r="CE12" s="159">
        <f t="shared" si="67"/>
        <v>6.6869215907971986</v>
      </c>
      <c r="CF12" s="159">
        <f t="shared" si="68"/>
        <v>13.011210341467009</v>
      </c>
      <c r="CG12" s="159">
        <f t="shared" si="69"/>
        <v>6.6869215907971986</v>
      </c>
      <c r="CH12" s="159">
        <f t="shared" si="70"/>
        <v>7.6595000468329903</v>
      </c>
      <c r="CI12" s="159">
        <f t="shared" si="71"/>
        <v>15.014497839669925</v>
      </c>
      <c r="CJ12" s="159">
        <f t="shared" si="72"/>
        <v>7.6595000468329903</v>
      </c>
      <c r="CK12" s="159">
        <f t="shared" si="73"/>
        <v>3.6886026583510305</v>
      </c>
    </row>
    <row r="13" spans="1:89" x14ac:dyDescent="0.25">
      <c r="A13" t="str">
        <f>PLANTILLA!D15</f>
        <v>S. Buschelman</v>
      </c>
      <c r="B13" s="521">
        <f>PLANTILLA!E15</f>
        <v>29</v>
      </c>
      <c r="C13" s="521">
        <f ca="1">PLANTILLA!F15</f>
        <v>35</v>
      </c>
      <c r="D13" s="521" t="str">
        <f>PLANTILLA!G15</f>
        <v>TEC</v>
      </c>
      <c r="E13" s="317">
        <v>41747</v>
      </c>
      <c r="F13" s="371">
        <f>PLANTILLA!Q15</f>
        <v>6</v>
      </c>
      <c r="G13" s="439">
        <f t="shared" si="78"/>
        <v>0.92582009977255142</v>
      </c>
      <c r="H13" s="439">
        <f t="shared" si="75"/>
        <v>0.99928545900129484</v>
      </c>
      <c r="I13" s="530">
        <v>1.5</v>
      </c>
      <c r="J13" s="531">
        <f>PLANTILLA!I15</f>
        <v>10.4</v>
      </c>
      <c r="K13" s="163">
        <f>PLANTILLA!X15</f>
        <v>0</v>
      </c>
      <c r="L13" s="163">
        <f>PLANTILLA!Y15</f>
        <v>9.1936666666666653</v>
      </c>
      <c r="M13" s="163">
        <f>PLANTILLA!Z15</f>
        <v>13.599999999999998</v>
      </c>
      <c r="N13" s="163">
        <f>PLANTILLA!AA15</f>
        <v>12.725000000000001</v>
      </c>
      <c r="O13" s="163">
        <f>PLANTILLA!AB15</f>
        <v>9.6733333333333356</v>
      </c>
      <c r="P13" s="163">
        <f>PLANTILLA!AC15</f>
        <v>5.0296666666666656</v>
      </c>
      <c r="Q13" s="163">
        <f>PLANTILLA!AD15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3.9165385796708128</v>
      </c>
      <c r="AE13" s="159">
        <f t="shared" si="15"/>
        <v>4.5547908030065845</v>
      </c>
      <c r="AF13" s="159">
        <f t="shared" si="16"/>
        <v>8.7119411390840238</v>
      </c>
      <c r="AG13" s="159">
        <f t="shared" si="17"/>
        <v>2.2773954015032922</v>
      </c>
      <c r="AH13" s="159">
        <f t="shared" si="18"/>
        <v>6.3355771141733737</v>
      </c>
      <c r="AI13" s="159">
        <f t="shared" si="19"/>
        <v>11.085734229539836</v>
      </c>
      <c r="AJ13" s="159">
        <f t="shared" si="20"/>
        <v>4.988580403292926</v>
      </c>
      <c r="AK13" s="159">
        <f t="shared" si="21"/>
        <v>2.7481594235505287</v>
      </c>
      <c r="AL13" s="159">
        <f t="shared" si="22"/>
        <v>9.1616541380102436</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15.534505963064063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16.456044452398373</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14.497775162562966</v>
      </c>
      <c r="BH13" s="159">
        <f t="shared" si="44"/>
        <v>12.890273518182155</v>
      </c>
      <c r="BI13" s="159">
        <f t="shared" si="45"/>
        <v>3.0195800463613418</v>
      </c>
      <c r="BJ13" s="159">
        <f t="shared" si="46"/>
        <v>5.8441098927465438</v>
      </c>
      <c r="BK13" s="159">
        <f t="shared" si="47"/>
        <v>3.1811237354331703</v>
      </c>
      <c r="BL13" s="159">
        <f t="shared" si="48"/>
        <v>6.2697529363637807</v>
      </c>
      <c r="BM13" s="159">
        <f t="shared" si="49"/>
        <v>13.004447851396181</v>
      </c>
      <c r="BN13" s="159">
        <f t="shared" si="50"/>
        <v>0.65152764485804882</v>
      </c>
      <c r="BO13" s="159">
        <f t="shared" si="51"/>
        <v>2.1689480014317071</v>
      </c>
      <c r="BP13" s="159">
        <f t="shared" si="52"/>
        <v>0.81938035609642268</v>
      </c>
      <c r="BQ13" s="159">
        <f t="shared" si="53"/>
        <v>5.0190935579815035</v>
      </c>
      <c r="BR13" s="159">
        <f t="shared" si="54"/>
        <v>19.164446499117645</v>
      </c>
      <c r="BS13" s="159">
        <f t="shared" si="55"/>
        <v>1.6914660010737808</v>
      </c>
      <c r="BT13" s="159">
        <f t="shared" si="56"/>
        <v>3.4221179578144709</v>
      </c>
      <c r="BU13" s="159">
        <f t="shared" si="57"/>
        <v>2.9401295130518696</v>
      </c>
      <c r="BV13" s="159">
        <f t="shared" si="58"/>
        <v>7.4875002258412602</v>
      </c>
      <c r="BW13" s="159">
        <f t="shared" si="59"/>
        <v>16.519190586590732</v>
      </c>
      <c r="BX13" s="159">
        <f t="shared" si="60"/>
        <v>1.5160547120735368</v>
      </c>
      <c r="BY13" s="159">
        <f t="shared" si="61"/>
        <v>3.4221179578144709</v>
      </c>
      <c r="BZ13" s="159">
        <f t="shared" si="62"/>
        <v>2.9401295130518696</v>
      </c>
      <c r="CA13" s="159">
        <f t="shared" si="63"/>
        <v>10.383764049463373</v>
      </c>
      <c r="CB13" s="159">
        <f t="shared" si="64"/>
        <v>13.35606311822988</v>
      </c>
      <c r="CC13" s="159">
        <f t="shared" si="65"/>
        <v>1.8543479122882929</v>
      </c>
      <c r="CD13" s="159">
        <f t="shared" si="66"/>
        <v>6.6811540476737399</v>
      </c>
      <c r="CE13" s="159">
        <f t="shared" si="67"/>
        <v>7.3981603825580899</v>
      </c>
      <c r="CF13" s="159">
        <f t="shared" si="68"/>
        <v>11.400821720067237</v>
      </c>
      <c r="CG13" s="159">
        <f t="shared" si="69"/>
        <v>7.3981603825580899</v>
      </c>
      <c r="CH13" s="159">
        <f t="shared" si="70"/>
        <v>7.1428673605108539</v>
      </c>
      <c r="CI13" s="159">
        <f t="shared" si="71"/>
        <v>12.509051522000039</v>
      </c>
      <c r="CJ13" s="159">
        <f t="shared" si="72"/>
        <v>7.1428673605108539</v>
      </c>
      <c r="CK13" s="159">
        <f t="shared" si="73"/>
        <v>4.1140111130995933</v>
      </c>
    </row>
    <row r="14" spans="1:89" x14ac:dyDescent="0.25">
      <c r="A14" t="str">
        <f>PLANTILLA!D16</f>
        <v>C. Rojas</v>
      </c>
      <c r="B14" s="521">
        <f>PLANTILLA!E16</f>
        <v>31</v>
      </c>
      <c r="C14" s="521">
        <f ca="1">PLANTILLA!F16</f>
        <v>69</v>
      </c>
      <c r="D14" s="521" t="str">
        <f>PLANTILLA!G16</f>
        <v>TEC</v>
      </c>
      <c r="E14" s="317">
        <v>41653</v>
      </c>
      <c r="F14" s="371">
        <f>PLANTILLA!Q16</f>
        <v>6</v>
      </c>
      <c r="G14" s="439">
        <f t="shared" si="78"/>
        <v>0.92582009977255142</v>
      </c>
      <c r="H14" s="439">
        <f t="shared" si="75"/>
        <v>0.99928545900129484</v>
      </c>
      <c r="I14" s="530">
        <v>1.5</v>
      </c>
      <c r="J14" s="531">
        <f>PLANTILLA!I16</f>
        <v>11</v>
      </c>
      <c r="K14" s="163">
        <f>PLANTILLA!X16</f>
        <v>0</v>
      </c>
      <c r="L14" s="163">
        <f>PLANTILLA!Y16</f>
        <v>8.6075555555555585</v>
      </c>
      <c r="M14" s="163">
        <f>PLANTILLA!Z16</f>
        <v>14.142779365079358</v>
      </c>
      <c r="N14" s="163">
        <f>PLANTILLA!AA16</f>
        <v>9.99</v>
      </c>
      <c r="O14" s="163">
        <f>PLANTILLA!AB16</f>
        <v>10.09</v>
      </c>
      <c r="P14" s="163">
        <f>PLANTILLA!AC16</f>
        <v>4.3999999999999995</v>
      </c>
      <c r="Q14" s="163">
        <f>PLANTILLA!AD16</f>
        <v>16.544444444444441</v>
      </c>
      <c r="R14" s="163">
        <f t="shared" si="2"/>
        <v>3.9734444444444446</v>
      </c>
      <c r="S14" s="163">
        <f t="shared" si="3"/>
        <v>15.187081556710682</v>
      </c>
      <c r="T14" s="163">
        <f t="shared" si="4"/>
        <v>0.71633333333333327</v>
      </c>
      <c r="U14" s="163">
        <f t="shared" si="5"/>
        <v>0.84063555555555569</v>
      </c>
      <c r="V14" s="163">
        <f t="shared" ca="1" si="6"/>
        <v>17.528522345576995</v>
      </c>
      <c r="W14" s="163">
        <f t="shared" ca="1" si="7"/>
        <v>18.91943964277462</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4.0534501009790969</v>
      </c>
      <c r="AE14" s="159">
        <f t="shared" si="15"/>
        <v>4.3455179133197461</v>
      </c>
      <c r="AF14" s="159">
        <f t="shared" si="16"/>
        <v>8.3116652151591968</v>
      </c>
      <c r="AG14" s="159">
        <f t="shared" si="17"/>
        <v>2.1727589566598731</v>
      </c>
      <c r="AH14" s="159">
        <f t="shared" si="18"/>
        <v>6.5570516339367755</v>
      </c>
      <c r="AI14" s="159">
        <f t="shared" si="19"/>
        <v>10.576392804905204</v>
      </c>
      <c r="AJ14" s="159">
        <f t="shared" si="20"/>
        <v>4.7593767622073413</v>
      </c>
      <c r="AK14" s="159">
        <f t="shared" si="21"/>
        <v>2.8442275918634845</v>
      </c>
      <c r="AL14" s="159">
        <f t="shared" si="22"/>
        <v>7.5725718651640479</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16.077549980354064</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17.031302945290324</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15.004577894800775</v>
      </c>
      <c r="BH14" s="159">
        <f t="shared" si="44"/>
        <v>11.480507462807548</v>
      </c>
      <c r="BI14" s="159">
        <f t="shared" si="45"/>
        <v>3.1278241828308428</v>
      </c>
      <c r="BJ14" s="159">
        <f t="shared" si="46"/>
        <v>5.5755983808467642</v>
      </c>
      <c r="BK14" s="159">
        <f t="shared" si="47"/>
        <v>3.0349648918423626</v>
      </c>
      <c r="BL14" s="159">
        <f t="shared" si="48"/>
        <v>6.4889264221556138</v>
      </c>
      <c r="BM14" s="159">
        <f t="shared" si="49"/>
        <v>11.275929609104386</v>
      </c>
      <c r="BN14" s="159">
        <f t="shared" si="50"/>
        <v>0.67488322617097019</v>
      </c>
      <c r="BO14" s="159">
        <f t="shared" si="51"/>
        <v>2.0692942444379745</v>
      </c>
      <c r="BP14" s="159">
        <f t="shared" si="52"/>
        <v>0.78173338123212377</v>
      </c>
      <c r="BQ14" s="159">
        <f t="shared" si="53"/>
        <v>5.1945473983135484</v>
      </c>
      <c r="BR14" s="159">
        <f t="shared" si="54"/>
        <v>16.590381324151302</v>
      </c>
      <c r="BS14" s="159">
        <f t="shared" si="55"/>
        <v>1.7521006833284807</v>
      </c>
      <c r="BT14" s="159">
        <f t="shared" si="56"/>
        <v>3.2648864745576929</v>
      </c>
      <c r="BU14" s="159">
        <f t="shared" si="57"/>
        <v>2.8050433091270319</v>
      </c>
      <c r="BV14" s="159">
        <f t="shared" si="58"/>
        <v>7.7492428401070983</v>
      </c>
      <c r="BW14" s="159">
        <f t="shared" si="59"/>
        <v>14.293804126873752</v>
      </c>
      <c r="BX14" s="159">
        <f t="shared" si="60"/>
        <v>1.570401353205527</v>
      </c>
      <c r="BY14" s="159">
        <f t="shared" si="61"/>
        <v>3.2648864745576929</v>
      </c>
      <c r="BZ14" s="159">
        <f t="shared" si="62"/>
        <v>2.8050433091270319</v>
      </c>
      <c r="CA14" s="159">
        <f t="shared" si="63"/>
        <v>10.746752158478195</v>
      </c>
      <c r="CB14" s="159">
        <f t="shared" si="64"/>
        <v>11.545578604288814</v>
      </c>
      <c r="CC14" s="159">
        <f t="shared" si="65"/>
        <v>1.920821489871223</v>
      </c>
      <c r="CD14" s="159">
        <f t="shared" si="66"/>
        <v>6.9147089957878718</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4.2578257363225811</v>
      </c>
    </row>
    <row r="15" spans="1:89" x14ac:dyDescent="0.25">
      <c r="A15" t="str">
        <f>PLANTILLA!D17</f>
        <v>E. Gross</v>
      </c>
      <c r="B15" s="521">
        <f>PLANTILLA!E17</f>
        <v>30</v>
      </c>
      <c r="C15" s="521">
        <f ca="1">PLANTILLA!F17</f>
        <v>63</v>
      </c>
      <c r="D15" s="521"/>
      <c r="E15" s="317">
        <v>41552</v>
      </c>
      <c r="F15" s="371">
        <f>PLANTILLA!Q17</f>
        <v>6</v>
      </c>
      <c r="G15" s="439">
        <f t="shared" si="78"/>
        <v>0.92582009977255142</v>
      </c>
      <c r="H15" s="439">
        <f t="shared" si="75"/>
        <v>0.99928545900129484</v>
      </c>
      <c r="I15" s="530">
        <v>1.5</v>
      </c>
      <c r="J15" s="531">
        <f>PLANTILLA!I17</f>
        <v>9</v>
      </c>
      <c r="K15" s="163">
        <f>PLANTILLA!X17</f>
        <v>0</v>
      </c>
      <c r="L15" s="163">
        <f>PLANTILLA!Y17</f>
        <v>10.349999999999996</v>
      </c>
      <c r="M15" s="163">
        <f>PLANTILLA!Z17</f>
        <v>12.849777777777778</v>
      </c>
      <c r="N15" s="163">
        <f>PLANTILLA!AA17</f>
        <v>5.1199999999999983</v>
      </c>
      <c r="O15" s="163">
        <f>PLANTILLA!AB17</f>
        <v>9.24</v>
      </c>
      <c r="P15" s="163">
        <f>PLANTILLA!AC17</f>
        <v>2.98</v>
      </c>
      <c r="Q15" s="163">
        <f>PLANTILLA!AD17</f>
        <v>16.959999999999997</v>
      </c>
      <c r="R15" s="163">
        <f t="shared" si="2"/>
        <v>3.9787499999999998</v>
      </c>
      <c r="S15" s="163">
        <f t="shared" si="3"/>
        <v>12.801634594481213</v>
      </c>
      <c r="T15" s="163">
        <f t="shared" si="4"/>
        <v>0.65779999999999994</v>
      </c>
      <c r="U15" s="163">
        <f t="shared" si="5"/>
        <v>0.92279999999999984</v>
      </c>
      <c r="V15" s="163">
        <f t="shared" ca="1" si="6"/>
        <v>17.805671518976791</v>
      </c>
      <c r="W15" s="163">
        <f t="shared" ca="1" si="7"/>
        <v>19.218581062388086</v>
      </c>
      <c r="X15" s="159">
        <f t="shared" si="8"/>
        <v>5.2768382809873735</v>
      </c>
      <c r="Y15" s="159">
        <f t="shared" si="9"/>
        <v>7.9778194395815554</v>
      </c>
      <c r="Z15" s="159">
        <f t="shared" si="10"/>
        <v>5.2768382809873735</v>
      </c>
      <c r="AA15" s="159">
        <f t="shared" si="11"/>
        <v>6.7711188464942538</v>
      </c>
      <c r="AB15" s="159">
        <f t="shared" si="12"/>
        <v>13.122323345919096</v>
      </c>
      <c r="AC15" s="159">
        <f t="shared" si="13"/>
        <v>3.3855594232471269</v>
      </c>
      <c r="AD15" s="159">
        <f t="shared" si="14"/>
        <v>3.7180600674398567</v>
      </c>
      <c r="AE15" s="159">
        <f t="shared" si="15"/>
        <v>4.9602382247574184</v>
      </c>
      <c r="AF15" s="159">
        <f t="shared" si="16"/>
        <v>9.4874397790995051</v>
      </c>
      <c r="AG15" s="159">
        <f t="shared" si="17"/>
        <v>2.4801191123787092</v>
      </c>
      <c r="AH15" s="159">
        <f t="shared" si="18"/>
        <v>6.0145089326232979</v>
      </c>
      <c r="AI15" s="159">
        <f t="shared" si="19"/>
        <v>12.072537478245568</v>
      </c>
      <c r="AJ15" s="159">
        <f t="shared" si="20"/>
        <v>5.4326418652105053</v>
      </c>
      <c r="AK15" s="159">
        <f t="shared" si="21"/>
        <v>2.6088908876573789</v>
      </c>
      <c r="AL15" s="159">
        <f t="shared" si="22"/>
        <v>4.6406861274004294</v>
      </c>
      <c r="AM15" s="159">
        <f t="shared" si="23"/>
        <v>9.8942318028229987</v>
      </c>
      <c r="AN15" s="159">
        <f t="shared" si="24"/>
        <v>9.2906049289107191</v>
      </c>
      <c r="AO15" s="159">
        <f t="shared" si="25"/>
        <v>3.2952979987684898</v>
      </c>
      <c r="AP15" s="159">
        <f t="shared" si="26"/>
        <v>1.9443091236247005</v>
      </c>
      <c r="AQ15" s="159">
        <f t="shared" si="27"/>
        <v>3.5430273033981563</v>
      </c>
      <c r="AR15" s="159">
        <f t="shared" si="28"/>
        <v>7.7946600674759425</v>
      </c>
      <c r="AS15" s="159">
        <f t="shared" si="29"/>
        <v>1.7715136516990782</v>
      </c>
      <c r="AT15" s="159">
        <f t="shared" si="30"/>
        <v>14.747263460769851</v>
      </c>
      <c r="AU15" s="159">
        <f t="shared" si="31"/>
        <v>1.561602034969483</v>
      </c>
      <c r="AV15" s="159">
        <f t="shared" si="32"/>
        <v>2.4366307403542962</v>
      </c>
      <c r="AW15" s="159">
        <f t="shared" si="33"/>
        <v>0.78080101748474151</v>
      </c>
      <c r="AX15" s="159">
        <f t="shared" si="34"/>
        <v>2.4801191123787092</v>
      </c>
      <c r="AY15" s="159">
        <f t="shared" si="35"/>
        <v>5.2489293383676383</v>
      </c>
      <c r="AZ15" s="159">
        <f t="shared" si="36"/>
        <v>1.2400595561893546</v>
      </c>
      <c r="BA15" s="159">
        <f t="shared" si="37"/>
        <v>15.622101123696877</v>
      </c>
      <c r="BB15" s="159">
        <f t="shared" si="38"/>
        <v>3.0391178065175324</v>
      </c>
      <c r="BC15" s="159">
        <f t="shared" si="39"/>
        <v>5.3041901636014241</v>
      </c>
      <c r="BD15" s="159">
        <f t="shared" si="40"/>
        <v>1.5195589032587662</v>
      </c>
      <c r="BE15" s="159">
        <f t="shared" si="41"/>
        <v>3.8185960936624568</v>
      </c>
      <c r="BF15" s="159">
        <f t="shared" si="42"/>
        <v>4.5665685243798446</v>
      </c>
      <c r="BG15" s="159">
        <f t="shared" si="43"/>
        <v>13.763071089976949</v>
      </c>
      <c r="BH15" s="159">
        <f t="shared" si="44"/>
        <v>8.3140754545220776</v>
      </c>
      <c r="BI15" s="159">
        <f t="shared" si="45"/>
        <v>2.8949699263665032</v>
      </c>
      <c r="BJ15" s="159">
        <f t="shared" si="46"/>
        <v>6.364326822770761</v>
      </c>
      <c r="BK15" s="159">
        <f t="shared" si="47"/>
        <v>3.4642933633226414</v>
      </c>
      <c r="BL15" s="159">
        <f t="shared" si="48"/>
        <v>5.9520205281285108</v>
      </c>
      <c r="BM15" s="159">
        <f t="shared" si="49"/>
        <v>7.7260106043332932</v>
      </c>
      <c r="BN15" s="159">
        <f t="shared" si="50"/>
        <v>0.62464081398779314</v>
      </c>
      <c r="BO15" s="159">
        <f t="shared" si="51"/>
        <v>2.3620182022654372</v>
      </c>
      <c r="BP15" s="159">
        <f t="shared" si="52"/>
        <v>0.89231798752249858</v>
      </c>
      <c r="BQ15" s="159">
        <f t="shared" si="53"/>
        <v>4.7647408427275479</v>
      </c>
      <c r="BR15" s="159">
        <f t="shared" si="54"/>
        <v>11.327847822851961</v>
      </c>
      <c r="BS15" s="159">
        <f t="shared" si="55"/>
        <v>1.6216636516990786</v>
      </c>
      <c r="BT15" s="159">
        <f t="shared" si="56"/>
        <v>3.7267398302410228</v>
      </c>
      <c r="BU15" s="159">
        <f t="shared" si="57"/>
        <v>3.2018468964042595</v>
      </c>
      <c r="BV15" s="159">
        <f t="shared" si="58"/>
        <v>7.1080560112820796</v>
      </c>
      <c r="BW15" s="159">
        <f t="shared" si="59"/>
        <v>9.7499742672783611</v>
      </c>
      <c r="BX15" s="159">
        <f t="shared" si="60"/>
        <v>1.453491124856211</v>
      </c>
      <c r="BY15" s="159">
        <f t="shared" si="61"/>
        <v>3.7267398302410228</v>
      </c>
      <c r="BZ15" s="159">
        <f t="shared" si="62"/>
        <v>3.2018468964042595</v>
      </c>
      <c r="CA15" s="159">
        <f t="shared" si="63"/>
        <v>9.8575458090527306</v>
      </c>
      <c r="CB15" s="159">
        <f t="shared" si="64"/>
        <v>7.8587893945975926</v>
      </c>
      <c r="CC15" s="159">
        <f t="shared" si="65"/>
        <v>1.7778238551960266</v>
      </c>
      <c r="CD15" s="159">
        <f t="shared" si="66"/>
        <v>6.3425730562209326</v>
      </c>
      <c r="CE15" s="159">
        <f t="shared" si="67"/>
        <v>4.8701204632238513</v>
      </c>
      <c r="CF15" s="159">
        <f t="shared" si="68"/>
        <v>9.8762960875049082</v>
      </c>
      <c r="CG15" s="159">
        <f t="shared" si="69"/>
        <v>4.8701204632238513</v>
      </c>
      <c r="CH15" s="159">
        <f t="shared" si="70"/>
        <v>4.8155574445075988</v>
      </c>
      <c r="CI15" s="159">
        <f t="shared" si="71"/>
        <v>10.184870660563249</v>
      </c>
      <c r="CJ15" s="159">
        <f t="shared" si="72"/>
        <v>4.8155574445075988</v>
      </c>
      <c r="CK15" s="159">
        <f t="shared" si="73"/>
        <v>3.9055252809242194</v>
      </c>
    </row>
    <row r="16" spans="1:89" x14ac:dyDescent="0.25">
      <c r="A16" t="str">
        <f>PLANTILLA!D18</f>
        <v>L. Bauman</v>
      </c>
      <c r="B16" s="521">
        <f>PLANTILLA!E18</f>
        <v>30</v>
      </c>
      <c r="C16" s="521">
        <f ca="1">PLANTILLA!F18</f>
        <v>38</v>
      </c>
      <c r="D16" s="521"/>
      <c r="E16" s="317">
        <v>41686</v>
      </c>
      <c r="F16" s="371">
        <f>PLANTILLA!Q18</f>
        <v>7</v>
      </c>
      <c r="G16" s="439">
        <f t="shared" si="78"/>
        <v>1</v>
      </c>
      <c r="H16" s="439">
        <f t="shared" si="75"/>
        <v>1</v>
      </c>
      <c r="I16" s="530">
        <v>1.5</v>
      </c>
      <c r="J16" s="531">
        <f>PLANTILLA!I18</f>
        <v>8</v>
      </c>
      <c r="K16" s="163">
        <f>PLANTILLA!X18</f>
        <v>0</v>
      </c>
      <c r="L16" s="163">
        <f>PLANTILLA!Y18</f>
        <v>5.2811111111111115</v>
      </c>
      <c r="M16" s="163">
        <f>PLANTILLA!Z18</f>
        <v>14.23617089947089</v>
      </c>
      <c r="N16" s="163">
        <f>PLANTILLA!AA18</f>
        <v>3.4924999999999993</v>
      </c>
      <c r="O16" s="163">
        <f>PLANTILLA!AB18</f>
        <v>9.1400000000000041</v>
      </c>
      <c r="P16" s="163">
        <f>PLANTILLA!AC18</f>
        <v>7.4318888888888894</v>
      </c>
      <c r="Q16" s="163">
        <f>PLANTILLA!AD18</f>
        <v>16.07</v>
      </c>
      <c r="R16" s="163">
        <f t="shared" si="2"/>
        <v>3.3201388888888901</v>
      </c>
      <c r="S16" s="163">
        <f t="shared" si="3"/>
        <v>19.551540717225151</v>
      </c>
      <c r="T16" s="163">
        <f t="shared" si="4"/>
        <v>0.85369444444444442</v>
      </c>
      <c r="U16" s="163">
        <f t="shared" si="5"/>
        <v>0.69334444444444443</v>
      </c>
      <c r="V16" s="163">
        <f t="shared" ca="1" si="6"/>
        <v>18.274119982655925</v>
      </c>
      <c r="W16" s="163">
        <f t="shared" ca="1" si="7"/>
        <v>18.274119982655925</v>
      </c>
      <c r="X16" s="159">
        <f t="shared" si="8"/>
        <v>3.8182834115252895</v>
      </c>
      <c r="Y16" s="159">
        <f t="shared" si="9"/>
        <v>5.7354911198310212</v>
      </c>
      <c r="Z16" s="159">
        <f t="shared" si="10"/>
        <v>3.8182834115252895</v>
      </c>
      <c r="AA16" s="159">
        <f t="shared" si="11"/>
        <v>4.1203792443837912</v>
      </c>
      <c r="AB16" s="159">
        <f t="shared" si="12"/>
        <v>7.9852310937670365</v>
      </c>
      <c r="AC16" s="159">
        <f t="shared" si="13"/>
        <v>2.0601896221918956</v>
      </c>
      <c r="AD16" s="159">
        <f t="shared" si="14"/>
        <v>4.0317892299461811</v>
      </c>
      <c r="AE16" s="159">
        <f t="shared" si="15"/>
        <v>3.0184173534439398</v>
      </c>
      <c r="AF16" s="159">
        <f t="shared" si="16"/>
        <v>5.7733220807935668</v>
      </c>
      <c r="AG16" s="159">
        <f t="shared" si="17"/>
        <v>1.5092086767219699</v>
      </c>
      <c r="AH16" s="159">
        <f t="shared" si="18"/>
        <v>6.5220119896188233</v>
      </c>
      <c r="AI16" s="159">
        <f t="shared" si="19"/>
        <v>7.3464126062656741</v>
      </c>
      <c r="AJ16" s="159">
        <f t="shared" si="20"/>
        <v>3.3058856728195529</v>
      </c>
      <c r="AK16" s="159">
        <f t="shared" si="21"/>
        <v>2.829028577315178</v>
      </c>
      <c r="AL16" s="159">
        <f t="shared" si="22"/>
        <v>3.6436125498016834</v>
      </c>
      <c r="AM16" s="159">
        <f t="shared" si="23"/>
        <v>6.0208642447003458</v>
      </c>
      <c r="AN16" s="159">
        <f t="shared" si="24"/>
        <v>5.6535436143870612</v>
      </c>
      <c r="AO16" s="159">
        <f t="shared" si="25"/>
        <v>3.1352780371035398</v>
      </c>
      <c r="AP16" s="159">
        <f t="shared" si="26"/>
        <v>1.7349865550049064</v>
      </c>
      <c r="AQ16" s="159">
        <f t="shared" si="27"/>
        <v>2.1560123953171</v>
      </c>
      <c r="AR16" s="159">
        <f t="shared" si="28"/>
        <v>4.7432272696976199</v>
      </c>
      <c r="AS16" s="159">
        <f t="shared" si="29"/>
        <v>1.07800619765855</v>
      </c>
      <c r="AT16" s="159">
        <f t="shared" si="30"/>
        <v>15.991634592727712</v>
      </c>
      <c r="AU16" s="159">
        <f t="shared" si="31"/>
        <v>1.5397355977452709</v>
      </c>
      <c r="AV16" s="159">
        <f t="shared" si="32"/>
        <v>3.174823932695964</v>
      </c>
      <c r="AW16" s="159">
        <f t="shared" si="33"/>
        <v>0.76986779887263546</v>
      </c>
      <c r="AX16" s="159">
        <f t="shared" si="34"/>
        <v>1.5092086767219699</v>
      </c>
      <c r="AY16" s="159">
        <f t="shared" si="35"/>
        <v>3.1940924375068147</v>
      </c>
      <c r="AZ16" s="159">
        <f t="shared" si="36"/>
        <v>0.75460433836098495</v>
      </c>
      <c r="BA16" s="159">
        <f t="shared" si="37"/>
        <v>16.940290882126813</v>
      </c>
      <c r="BB16" s="159">
        <f t="shared" si="38"/>
        <v>2.9965623556119501</v>
      </c>
      <c r="BC16" s="159">
        <f t="shared" si="39"/>
        <v>6.1674067771100827</v>
      </c>
      <c r="BD16" s="159">
        <f t="shared" si="40"/>
        <v>1.498281177805975</v>
      </c>
      <c r="BE16" s="159">
        <f t="shared" si="41"/>
        <v>2.3237022482862075</v>
      </c>
      <c r="BF16" s="159">
        <f t="shared" si="42"/>
        <v>2.7788604206309286</v>
      </c>
      <c r="BG16" s="159">
        <f t="shared" si="43"/>
        <v>14.924396267153723</v>
      </c>
      <c r="BH16" s="159">
        <f t="shared" si="44"/>
        <v>7.2877576645811182</v>
      </c>
      <c r="BI16" s="159">
        <f t="shared" si="45"/>
        <v>2.854432915820079</v>
      </c>
      <c r="BJ16" s="159">
        <f t="shared" si="46"/>
        <v>3.8728370804770127</v>
      </c>
      <c r="BK16" s="159">
        <f t="shared" si="47"/>
        <v>2.1081010087544976</v>
      </c>
      <c r="BL16" s="159">
        <f t="shared" si="48"/>
        <v>6.4542508260903162</v>
      </c>
      <c r="BM16" s="159">
        <f t="shared" si="49"/>
        <v>6.550993364841279</v>
      </c>
      <c r="BN16" s="159">
        <f t="shared" si="50"/>
        <v>0.61589423909810825</v>
      </c>
      <c r="BO16" s="159">
        <f t="shared" si="51"/>
        <v>1.4373415968780665</v>
      </c>
      <c r="BP16" s="159">
        <f t="shared" si="52"/>
        <v>0.54299571437615857</v>
      </c>
      <c r="BQ16" s="159">
        <f t="shared" si="53"/>
        <v>5.1667887190486779</v>
      </c>
      <c r="BR16" s="159">
        <f t="shared" si="54"/>
        <v>9.5840382976955212</v>
      </c>
      <c r="BS16" s="159">
        <f t="shared" si="55"/>
        <v>1.5989561976585505</v>
      </c>
      <c r="BT16" s="159">
        <f t="shared" si="56"/>
        <v>2.2678056306298382</v>
      </c>
      <c r="BU16" s="159">
        <f t="shared" si="57"/>
        <v>1.9483963868791569</v>
      </c>
      <c r="BV16" s="159">
        <f t="shared" si="58"/>
        <v>7.7078323513677001</v>
      </c>
      <c r="BW16" s="159">
        <f t="shared" si="59"/>
        <v>8.2438449407827648</v>
      </c>
      <c r="BX16" s="159">
        <f t="shared" si="60"/>
        <v>1.4331385179013674</v>
      </c>
      <c r="BY16" s="159">
        <f t="shared" si="61"/>
        <v>2.2678056306298382</v>
      </c>
      <c r="BZ16" s="159">
        <f t="shared" si="62"/>
        <v>1.9483963868791569</v>
      </c>
      <c r="CA16" s="159">
        <f t="shared" si="63"/>
        <v>10.689323546622019</v>
      </c>
      <c r="CB16" s="159">
        <f t="shared" si="64"/>
        <v>6.6359423844770529</v>
      </c>
      <c r="CC16" s="159">
        <f t="shared" si="65"/>
        <v>1.7529297574330773</v>
      </c>
      <c r="CD16" s="159">
        <f t="shared" si="66"/>
        <v>6.8777580981434872</v>
      </c>
      <c r="CE16" s="159">
        <f t="shared" si="67"/>
        <v>5.1406163998526271</v>
      </c>
      <c r="CF16" s="159">
        <f t="shared" si="68"/>
        <v>12.340650322692795</v>
      </c>
      <c r="CG16" s="159">
        <f t="shared" si="69"/>
        <v>5.1406163998526271</v>
      </c>
      <c r="CH16" s="159">
        <f t="shared" si="70"/>
        <v>5.5566803603057524</v>
      </c>
      <c r="CI16" s="159">
        <f t="shared" si="71"/>
        <v>14.506489145144851</v>
      </c>
      <c r="CJ16" s="159">
        <f t="shared" si="72"/>
        <v>5.5566803603057524</v>
      </c>
      <c r="CK16" s="159">
        <f t="shared" si="73"/>
        <v>4.2350727205317034</v>
      </c>
    </row>
    <row r="17" spans="1:89" x14ac:dyDescent="0.25">
      <c r="A17" t="str">
        <f>PLANTILLA!D19</f>
        <v>W. Gelifini</v>
      </c>
      <c r="B17" s="521">
        <f>PLANTILLA!E19</f>
        <v>28</v>
      </c>
      <c r="C17" s="521">
        <f ca="1">PLANTILLA!F19</f>
        <v>100</v>
      </c>
      <c r="D17" s="521"/>
      <c r="E17" s="317">
        <v>41737</v>
      </c>
      <c r="F17" s="371">
        <f>PLANTILLA!Q19</f>
        <v>6</v>
      </c>
      <c r="G17" s="439">
        <f t="shared" si="78"/>
        <v>0.92582009977255142</v>
      </c>
      <c r="H17" s="439">
        <f t="shared" si="75"/>
        <v>0.99928545900129484</v>
      </c>
      <c r="I17" s="530">
        <v>1.5</v>
      </c>
      <c r="J17" s="531">
        <f>PLANTILLA!I19</f>
        <v>4</v>
      </c>
      <c r="K17" s="163">
        <f>PLANTILLA!X19</f>
        <v>0</v>
      </c>
      <c r="L17" s="163">
        <f>PLANTILLA!Y19</f>
        <v>5.6315555555555523</v>
      </c>
      <c r="M17" s="163">
        <f>PLANTILLA!Z19</f>
        <v>9.8423388888888876</v>
      </c>
      <c r="N17" s="163">
        <f>PLANTILLA!AA19</f>
        <v>7.0526666666666671</v>
      </c>
      <c r="O17" s="163">
        <f>PLANTILLA!AB19</f>
        <v>9.2666666666666639</v>
      </c>
      <c r="P17" s="163">
        <f>PLANTILLA!AC19</f>
        <v>3.5417777777777766</v>
      </c>
      <c r="Q17" s="163">
        <f>PLANTILLA!AD19</f>
        <v>12.450000000000001</v>
      </c>
      <c r="R17" s="163">
        <f t="shared" si="2"/>
        <v>3.3956111111111102</v>
      </c>
      <c r="S17" s="163">
        <f t="shared" si="3"/>
        <v>10.215921218890843</v>
      </c>
      <c r="T17" s="163">
        <f t="shared" si="4"/>
        <v>0.55058888888888879</v>
      </c>
      <c r="U17" s="163">
        <f t="shared" si="5"/>
        <v>0.59876222222222208</v>
      </c>
      <c r="V17" s="163">
        <f t="shared" ca="1" si="6"/>
        <v>13.195479330261239</v>
      </c>
      <c r="W17" s="163">
        <f t="shared" ca="1" si="7"/>
        <v>14.242562483274723</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2.8905303594702954</v>
      </c>
      <c r="AE17" s="159">
        <f t="shared" si="15"/>
        <v>2.9991662356292919</v>
      </c>
      <c r="AF17" s="159">
        <f t="shared" si="16"/>
        <v>5.7365004983068202</v>
      </c>
      <c r="AG17" s="159">
        <f t="shared" si="17"/>
        <v>1.4995831178146459</v>
      </c>
      <c r="AH17" s="159">
        <f t="shared" si="18"/>
        <v>4.6758579344372428</v>
      </c>
      <c r="AI17" s="159">
        <f t="shared" si="19"/>
        <v>7.2995580338067425</v>
      </c>
      <c r="AJ17" s="159">
        <f t="shared" si="20"/>
        <v>3.2848011152130336</v>
      </c>
      <c r="AK17" s="159">
        <f t="shared" si="21"/>
        <v>2.0282292858468041</v>
      </c>
      <c r="AL17" s="159">
        <f t="shared" si="22"/>
        <v>5.5009830332011225</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11.464960753529239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12.145085543992838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10.69982036425769</v>
      </c>
      <c r="BH17" s="159">
        <f t="shared" si="44"/>
        <v>9.0143724430540768</v>
      </c>
      <c r="BI17" s="159">
        <f t="shared" si="45"/>
        <v>2.7882286105467182</v>
      </c>
      <c r="BJ17" s="159">
        <f t="shared" si="46"/>
        <v>3.8481365721698584</v>
      </c>
      <c r="BK17" s="159">
        <f t="shared" si="47"/>
        <v>2.0946557836141086</v>
      </c>
      <c r="BL17" s="159">
        <f t="shared" si="48"/>
        <v>4.6272775922612714</v>
      </c>
      <c r="BM17" s="159">
        <f t="shared" si="49"/>
        <v>8.621645243227519</v>
      </c>
      <c r="BN17" s="159">
        <f t="shared" si="50"/>
        <v>0.60160949273207198</v>
      </c>
      <c r="BO17" s="159">
        <f t="shared" si="51"/>
        <v>1.4281743979187103</v>
      </c>
      <c r="BP17" s="159">
        <f t="shared" si="52"/>
        <v>0.53953255032484615</v>
      </c>
      <c r="BQ17" s="159">
        <f t="shared" si="53"/>
        <v>3.7042510909178157</v>
      </c>
      <c r="BR17" s="159">
        <f t="shared" si="54"/>
        <v>12.664265531797014</v>
      </c>
      <c r="BS17" s="159">
        <f t="shared" si="55"/>
        <v>1.561870798439033</v>
      </c>
      <c r="BT17" s="159">
        <f t="shared" si="56"/>
        <v>2.2533418278272985</v>
      </c>
      <c r="BU17" s="159">
        <f t="shared" si="57"/>
        <v>1.9359697394009185</v>
      </c>
      <c r="BV17" s="159">
        <f t="shared" si="58"/>
        <v>5.5260139225167419</v>
      </c>
      <c r="BW17" s="159">
        <f t="shared" si="59"/>
        <v>10.906013960521843</v>
      </c>
      <c r="BX17" s="159">
        <f t="shared" si="60"/>
        <v>1.3998990119342443</v>
      </c>
      <c r="BY17" s="159">
        <f t="shared" si="61"/>
        <v>2.2533418278272985</v>
      </c>
      <c r="BZ17" s="159">
        <f t="shared" si="62"/>
        <v>1.9359697394009185</v>
      </c>
      <c r="CA17" s="159">
        <f t="shared" si="63"/>
        <v>7.663548978259481</v>
      </c>
      <c r="CB17" s="159">
        <f t="shared" si="64"/>
        <v>8.800396922984703</v>
      </c>
      <c r="CC17" s="159">
        <f t="shared" si="65"/>
        <v>1.7122731716220509</v>
      </c>
      <c r="CD17" s="159">
        <f t="shared" si="66"/>
        <v>4.9309047308610925</v>
      </c>
      <c r="CE17" s="159">
        <f t="shared" si="67"/>
        <v>4.9817874517536023</v>
      </c>
      <c r="CF17" s="159">
        <f t="shared" si="68"/>
        <v>9.6895491780914895</v>
      </c>
      <c r="CG17" s="159">
        <f t="shared" si="69"/>
        <v>4.9817874517536023</v>
      </c>
      <c r="CH17" s="159">
        <f t="shared" si="70"/>
        <v>5.0999793883519828</v>
      </c>
      <c r="CI17" s="159">
        <f t="shared" si="71"/>
        <v>10.113637948615082</v>
      </c>
      <c r="CJ17" s="159">
        <f t="shared" si="72"/>
        <v>5.0999793883519828</v>
      </c>
      <c r="CK17" s="159">
        <f t="shared" si="73"/>
        <v>3.0362713859982096</v>
      </c>
    </row>
    <row r="18" spans="1:89" x14ac:dyDescent="0.25">
      <c r="A18" t="str">
        <f>PLANTILLA!D20</f>
        <v>M. Amico</v>
      </c>
      <c r="B18" s="521">
        <f>PLANTILLA!E20</f>
        <v>28</v>
      </c>
      <c r="C18" s="521">
        <f ca="1">PLANTILLA!F20</f>
        <v>107</v>
      </c>
      <c r="D18" s="521" t="str">
        <f>PLANTILLA!G20</f>
        <v>IMP</v>
      </c>
      <c r="E18" s="317">
        <v>41730</v>
      </c>
      <c r="F18" s="371">
        <f>PLANTILLA!Q20</f>
        <v>5</v>
      </c>
      <c r="G18" s="439">
        <f t="shared" si="78"/>
        <v>0.84515425472851657</v>
      </c>
      <c r="H18" s="439">
        <f t="shared" si="75"/>
        <v>0.92504826128926143</v>
      </c>
      <c r="I18" s="530">
        <v>1.5</v>
      </c>
      <c r="J18" s="531">
        <f>PLANTILLA!I20</f>
        <v>1.2</v>
      </c>
      <c r="K18" s="163">
        <f>PLANTILLA!X20</f>
        <v>0</v>
      </c>
      <c r="L18" s="163">
        <f>PLANTILLA!Y20</f>
        <v>2.47611111111111</v>
      </c>
      <c r="M18" s="163">
        <f>PLANTILLA!Z20</f>
        <v>7.3099999999999978</v>
      </c>
      <c r="N18" s="163">
        <f>PLANTILLA!AA20</f>
        <v>4.1588235294117641</v>
      </c>
      <c r="O18" s="163">
        <f>PLANTILLA!AB20</f>
        <v>7.2649999999999988</v>
      </c>
      <c r="P18" s="163">
        <f>PLANTILLA!AC20</f>
        <v>4.3299999999999983</v>
      </c>
      <c r="Q18" s="163">
        <f>PLANTILLA!AD20</f>
        <v>9.5</v>
      </c>
      <c r="R18" s="163">
        <f t="shared" si="2"/>
        <v>2.5007638888888883</v>
      </c>
      <c r="S18" s="163">
        <f t="shared" si="3"/>
        <v>8.3611207383536659</v>
      </c>
      <c r="T18" s="163">
        <f t="shared" si="4"/>
        <v>0.50149999999999983</v>
      </c>
      <c r="U18" s="163">
        <f t="shared" si="5"/>
        <v>0.38404444444444441</v>
      </c>
      <c r="V18" s="163">
        <f t="shared" ca="1" si="6"/>
        <v>8.9633468306385637</v>
      </c>
      <c r="W18" s="163">
        <f t="shared" ca="1" si="7"/>
        <v>9.8106687088480076</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2.1219068487457791</v>
      </c>
      <c r="AE18" s="159">
        <f t="shared" si="15"/>
        <v>1.5428773480080025</v>
      </c>
      <c r="AF18" s="159">
        <f t="shared" si="16"/>
        <v>2.9510590545232427</v>
      </c>
      <c r="AG18" s="159">
        <f t="shared" si="17"/>
        <v>0.77143867400400123</v>
      </c>
      <c r="AH18" s="159">
        <f t="shared" si="18"/>
        <v>3.4324963729711135</v>
      </c>
      <c r="AI18" s="159">
        <f t="shared" si="19"/>
        <v>3.7551512173739745</v>
      </c>
      <c r="AJ18" s="159">
        <f t="shared" si="20"/>
        <v>1.6898180478182885</v>
      </c>
      <c r="AK18" s="159">
        <f t="shared" si="21"/>
        <v>1.4889010241199376</v>
      </c>
      <c r="AL18" s="159">
        <f t="shared" si="22"/>
        <v>3.3894663321954552</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8.416302795025274</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8.9155749947301643</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7.854621570357275</v>
      </c>
      <c r="BH18" s="159">
        <f t="shared" si="44"/>
        <v>6.1029958761974701</v>
      </c>
      <c r="BI18" s="159">
        <f t="shared" si="45"/>
        <v>2.1378085737299695</v>
      </c>
      <c r="BJ18" s="159">
        <f t="shared" si="46"/>
        <v>1.979617761333019</v>
      </c>
      <c r="BK18" s="159">
        <f t="shared" si="47"/>
        <v>1.0775651319420971</v>
      </c>
      <c r="BL18" s="159">
        <f t="shared" si="48"/>
        <v>3.3968340729921929</v>
      </c>
      <c r="BM18" s="159">
        <f t="shared" si="49"/>
        <v>5.6624257806882827</v>
      </c>
      <c r="BN18" s="159">
        <f t="shared" si="50"/>
        <v>0.46126989972596855</v>
      </c>
      <c r="BO18" s="159">
        <f t="shared" si="51"/>
        <v>0.73470349905142973</v>
      </c>
      <c r="BP18" s="159">
        <f t="shared" si="52"/>
        <v>0.27755465519720685</v>
      </c>
      <c r="BQ18" s="159">
        <f t="shared" si="53"/>
        <v>2.7192503733927</v>
      </c>
      <c r="BR18" s="159">
        <f t="shared" si="54"/>
        <v>8.301382972634757</v>
      </c>
      <c r="BS18" s="159">
        <f t="shared" si="55"/>
        <v>1.1975276242885722</v>
      </c>
      <c r="BT18" s="159">
        <f t="shared" si="56"/>
        <v>1.1591988540589224</v>
      </c>
      <c r="BU18" s="159">
        <f t="shared" si="57"/>
        <v>0.99593140982527151</v>
      </c>
      <c r="BV18" s="159">
        <f t="shared" si="58"/>
        <v>4.0565866226022251</v>
      </c>
      <c r="BW18" s="159">
        <f t="shared" si="59"/>
        <v>7.1448606235727876</v>
      </c>
      <c r="BX18" s="159">
        <f t="shared" si="60"/>
        <v>1.0733395743623499</v>
      </c>
      <c r="BY18" s="159">
        <f t="shared" si="61"/>
        <v>1.1591988540589224</v>
      </c>
      <c r="BZ18" s="159">
        <f t="shared" si="62"/>
        <v>0.99593140982527151</v>
      </c>
      <c r="CA18" s="159">
        <f t="shared" si="63"/>
        <v>5.625727821674734</v>
      </c>
      <c r="CB18" s="159">
        <f t="shared" si="64"/>
        <v>5.7586287379305565</v>
      </c>
      <c r="CC18" s="159">
        <f t="shared" si="65"/>
        <v>1.3128450992200642</v>
      </c>
      <c r="CD18" s="159">
        <f t="shared" si="66"/>
        <v>3.619723447860447</v>
      </c>
      <c r="CE18" s="159">
        <f t="shared" si="67"/>
        <v>3.8015351604897103</v>
      </c>
      <c r="CF18" s="159">
        <f t="shared" si="68"/>
        <v>8.2771624440661657</v>
      </c>
      <c r="CG18" s="159">
        <f t="shared" si="69"/>
        <v>3.8015351604897103</v>
      </c>
      <c r="CH18" s="159">
        <f t="shared" si="70"/>
        <v>3.9468032217168929</v>
      </c>
      <c r="CI18" s="159">
        <f t="shared" si="71"/>
        <v>9.208817167785595</v>
      </c>
      <c r="CJ18" s="159">
        <f t="shared" si="72"/>
        <v>3.9468032217168929</v>
      </c>
      <c r="CK18" s="159">
        <f t="shared" si="73"/>
        <v>2.2288937486825411</v>
      </c>
    </row>
    <row r="19" spans="1:89" x14ac:dyDescent="0.25">
      <c r="A19" t="str">
        <f>PLANTILLA!D22</f>
        <v>J. Limon</v>
      </c>
      <c r="B19" s="521">
        <f>PLANTILLA!E22</f>
        <v>29</v>
      </c>
      <c r="C19" s="521">
        <f ca="1">PLANTILLA!F22</f>
        <v>75</v>
      </c>
      <c r="D19" s="521" t="str">
        <f>PLANTILLA!G22</f>
        <v>RAP</v>
      </c>
      <c r="E19" s="317">
        <v>41664</v>
      </c>
      <c r="F19" s="371">
        <f>PLANTILLA!Q22</f>
        <v>6</v>
      </c>
      <c r="G19" s="439">
        <f t="shared" si="78"/>
        <v>0.92582009977255142</v>
      </c>
      <c r="H19" s="439">
        <f t="shared" si="75"/>
        <v>0.99928545900129484</v>
      </c>
      <c r="I19" s="530">
        <v>1.5</v>
      </c>
      <c r="J19" s="531">
        <f>PLANTILLA!I22</f>
        <v>10</v>
      </c>
      <c r="K19" s="163">
        <f>PLANTILLA!X22</f>
        <v>0</v>
      </c>
      <c r="L19" s="163">
        <f>PLANTILLA!Y22</f>
        <v>6.8176190476190497</v>
      </c>
      <c r="M19" s="163">
        <f>PLANTILLA!Z22</f>
        <v>8.375</v>
      </c>
      <c r="N19" s="163">
        <f>PLANTILLA!AA22</f>
        <v>8.7199999999999971</v>
      </c>
      <c r="O19" s="163">
        <f>PLANTILLA!AB22</f>
        <v>9.6900000000000013</v>
      </c>
      <c r="P19" s="163">
        <f>PLANTILLA!AC22</f>
        <v>8.5625000000000018</v>
      </c>
      <c r="Q19" s="163">
        <f>PLANTILLA!AD22</f>
        <v>18.639999999999993</v>
      </c>
      <c r="R19" s="163">
        <f t="shared" si="2"/>
        <v>3.6497023809523816</v>
      </c>
      <c r="S19" s="163">
        <f t="shared" si="3"/>
        <v>23.127416666666669</v>
      </c>
      <c r="T19" s="163">
        <f t="shared" si="4"/>
        <v>0.9873249999999999</v>
      </c>
      <c r="U19" s="163">
        <f t="shared" si="5"/>
        <v>0.83190476190476181</v>
      </c>
      <c r="V19" s="163">
        <f t="shared" ca="1" si="6"/>
        <v>19.417533559229639</v>
      </c>
      <c r="W19" s="163">
        <f t="shared" ca="1" si="7"/>
        <v>20.958347026787148</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2.6675833333333334</v>
      </c>
      <c r="AE19" s="159">
        <f t="shared" si="15"/>
        <v>3.6480600000000014</v>
      </c>
      <c r="AF19" s="159">
        <f t="shared" si="16"/>
        <v>6.9776385714285736</v>
      </c>
      <c r="AG19" s="159">
        <f t="shared" si="17"/>
        <v>1.8240300000000007</v>
      </c>
      <c r="AH19" s="159">
        <f t="shared" si="18"/>
        <v>4.3152083333333335</v>
      </c>
      <c r="AI19" s="159">
        <f t="shared" si="19"/>
        <v>8.8788761904761948</v>
      </c>
      <c r="AJ19" s="159">
        <f t="shared" si="20"/>
        <v>3.9954942857142868</v>
      </c>
      <c r="AK19" s="159">
        <f t="shared" si="21"/>
        <v>1.871791666666667</v>
      </c>
      <c r="AL19" s="159">
        <f t="shared" si="22"/>
        <v>6.7933599999999981</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10.580666666666668</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11.208333333333334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9.8745416666666674</v>
      </c>
      <c r="BH19" s="159">
        <f t="shared" si="44"/>
        <v>10.576463333333333</v>
      </c>
      <c r="BI19" s="159">
        <f t="shared" si="45"/>
        <v>3.0181233333333335</v>
      </c>
      <c r="BJ19" s="159">
        <f t="shared" si="46"/>
        <v>4.6807119047619068</v>
      </c>
      <c r="BK19" s="159">
        <f t="shared" si="47"/>
        <v>2.5478514285714295</v>
      </c>
      <c r="BL19" s="159">
        <f t="shared" si="48"/>
        <v>4.2703750000000005</v>
      </c>
      <c r="BM19" s="159">
        <f t="shared" si="49"/>
        <v>10.292583333333333</v>
      </c>
      <c r="BN19" s="159">
        <f t="shared" si="50"/>
        <v>0.65121333333333342</v>
      </c>
      <c r="BO19" s="159">
        <f t="shared" si="51"/>
        <v>1.7371714285714293</v>
      </c>
      <c r="BP19" s="159">
        <f t="shared" si="52"/>
        <v>0.65626476190476224</v>
      </c>
      <c r="BQ19" s="159">
        <f t="shared" si="53"/>
        <v>3.4185416666666666</v>
      </c>
      <c r="BR19" s="159">
        <f t="shared" si="54"/>
        <v>15.135006666666666</v>
      </c>
      <c r="BS19" s="159">
        <f t="shared" si="55"/>
        <v>1.6906500000000004</v>
      </c>
      <c r="BT19" s="159">
        <f t="shared" si="56"/>
        <v>2.740870476190477</v>
      </c>
      <c r="BU19" s="159">
        <f t="shared" si="57"/>
        <v>2.3548323809523817</v>
      </c>
      <c r="BV19" s="159">
        <f t="shared" si="58"/>
        <v>5.0997916666666674</v>
      </c>
      <c r="BW19" s="159">
        <f t="shared" si="59"/>
        <v>13.037773333333332</v>
      </c>
      <c r="BX19" s="159">
        <f t="shared" si="60"/>
        <v>1.5153233333333336</v>
      </c>
      <c r="BY19" s="159">
        <f t="shared" si="61"/>
        <v>2.740870476190477</v>
      </c>
      <c r="BZ19" s="159">
        <f t="shared" si="62"/>
        <v>2.3548323809523817</v>
      </c>
      <c r="CA19" s="159">
        <f t="shared" si="63"/>
        <v>7.0724583333333335</v>
      </c>
      <c r="CB19" s="159">
        <f t="shared" si="64"/>
        <v>10.527443333333332</v>
      </c>
      <c r="CC19" s="159">
        <f t="shared" si="65"/>
        <v>1.8534533333333336</v>
      </c>
      <c r="CD19" s="159">
        <f t="shared" si="66"/>
        <v>4.5505833333333339</v>
      </c>
      <c r="CE19" s="159">
        <f t="shared" si="67"/>
        <v>6.2417841666666671</v>
      </c>
      <c r="CF19" s="159">
        <f t="shared" si="68"/>
        <v>13.443940833333336</v>
      </c>
      <c r="CG19" s="159">
        <f t="shared" si="69"/>
        <v>6.2417841666666671</v>
      </c>
      <c r="CH19" s="159">
        <f t="shared" si="70"/>
        <v>7.1645166666666666</v>
      </c>
      <c r="CI19" s="159">
        <f t="shared" si="71"/>
        <v>16.016943333333337</v>
      </c>
      <c r="CJ19" s="159">
        <f t="shared" si="72"/>
        <v>7.1645166666666666</v>
      </c>
      <c r="CK19" s="159">
        <f t="shared" si="73"/>
        <v>2.8020833333333335</v>
      </c>
    </row>
    <row r="20" spans="1:89" x14ac:dyDescent="0.25">
      <c r="A20" t="str">
        <f>PLANTILLA!D23</f>
        <v>L. Calosso</v>
      </c>
      <c r="B20" s="521">
        <f>PLANTILLA!E23</f>
        <v>30</v>
      </c>
      <c r="C20" s="521">
        <f ca="1">PLANTILLA!F23</f>
        <v>32</v>
      </c>
      <c r="D20" s="521" t="str">
        <f>PLANTILLA!G23</f>
        <v>TEC</v>
      </c>
      <c r="E20" s="317">
        <v>41890</v>
      </c>
      <c r="F20" s="371">
        <f>PLANTILLA!Q23</f>
        <v>6</v>
      </c>
      <c r="G20" s="439">
        <f t="shared" si="78"/>
        <v>0.92582009977255142</v>
      </c>
      <c r="H20" s="439">
        <f t="shared" si="75"/>
        <v>0.99928545900129484</v>
      </c>
      <c r="I20" s="530">
        <v>1.5</v>
      </c>
      <c r="J20" s="531">
        <f>PLANTILLA!I23</f>
        <v>10.1</v>
      </c>
      <c r="K20" s="163">
        <f>PLANTILLA!X23</f>
        <v>0</v>
      </c>
      <c r="L20" s="163">
        <f>PLANTILLA!Y23</f>
        <v>2</v>
      </c>
      <c r="M20" s="163">
        <f>PLANTILLA!Z23</f>
        <v>14.1038</v>
      </c>
      <c r="N20" s="163">
        <f>PLANTILLA!AA23</f>
        <v>3</v>
      </c>
      <c r="O20" s="163">
        <f>PLANTILLA!AB23</f>
        <v>15.02</v>
      </c>
      <c r="P20" s="163">
        <f>PLANTILLA!AC23</f>
        <v>10</v>
      </c>
      <c r="Q20" s="163">
        <f>PLANTILLA!AD23</f>
        <v>9.3000000000000007</v>
      </c>
      <c r="R20" s="163">
        <f t="shared" si="2"/>
        <v>4.38</v>
      </c>
      <c r="S20" s="163">
        <f t="shared" si="3"/>
        <v>20.38940031474619</v>
      </c>
      <c r="T20" s="163">
        <f t="shared" si="4"/>
        <v>0.77900000000000003</v>
      </c>
      <c r="U20" s="163">
        <f t="shared" si="5"/>
        <v>0.35899999999999999</v>
      </c>
      <c r="V20" s="163">
        <f t="shared" ca="1" si="6"/>
        <v>10.775708246962816</v>
      </c>
      <c r="W20" s="163">
        <f t="shared" ca="1" si="7"/>
        <v>11.630778554360271</v>
      </c>
      <c r="X20" s="159">
        <f t="shared" si="8"/>
        <v>3.0305300790829959</v>
      </c>
      <c r="Y20" s="159">
        <f t="shared" si="9"/>
        <v>4.5152718580711886</v>
      </c>
      <c r="Z20" s="159">
        <f t="shared" si="10"/>
        <v>3.0305300790829959</v>
      </c>
      <c r="AA20" s="159">
        <f t="shared" si="11"/>
        <v>2.496973105162458</v>
      </c>
      <c r="AB20" s="159">
        <f t="shared" si="12"/>
        <v>4.8390951650435232</v>
      </c>
      <c r="AC20" s="159">
        <f t="shared" si="13"/>
        <v>1.248486552581229</v>
      </c>
      <c r="AD20" s="159">
        <f t="shared" si="14"/>
        <v>4.0324090492803588</v>
      </c>
      <c r="AE20" s="159">
        <f t="shared" si="15"/>
        <v>1.8291779723864519</v>
      </c>
      <c r="AF20" s="159">
        <f t="shared" si="16"/>
        <v>3.4986658043264671</v>
      </c>
      <c r="AG20" s="159">
        <f t="shared" si="17"/>
        <v>0.91458898619322593</v>
      </c>
      <c r="AH20" s="159">
        <f t="shared" si="18"/>
        <v>6.5230146385417571</v>
      </c>
      <c r="AI20" s="159">
        <f t="shared" si="19"/>
        <v>4.4519675518400419</v>
      </c>
      <c r="AJ20" s="159">
        <f t="shared" si="20"/>
        <v>2.0033853983280183</v>
      </c>
      <c r="AK20" s="159">
        <f t="shared" si="21"/>
        <v>2.8294634925622688</v>
      </c>
      <c r="AL20" s="159">
        <f t="shared" si="22"/>
        <v>3.4333879570455914</v>
      </c>
      <c r="AM20" s="159">
        <f t="shared" si="23"/>
        <v>3.6486777544428164</v>
      </c>
      <c r="AN20" s="159">
        <f t="shared" si="24"/>
        <v>3.4260793768508142</v>
      </c>
      <c r="AO20" s="159">
        <f t="shared" si="25"/>
        <v>2.0272288925622686</v>
      </c>
      <c r="AP20" s="159">
        <f t="shared" si="26"/>
        <v>2.0790994075325346</v>
      </c>
      <c r="AQ20" s="159">
        <f t="shared" si="27"/>
        <v>1.3065556945617514</v>
      </c>
      <c r="AR20" s="159">
        <f t="shared" si="28"/>
        <v>2.8744225280358529</v>
      </c>
      <c r="AS20" s="159">
        <f t="shared" si="29"/>
        <v>0.65327784728087568</v>
      </c>
      <c r="AT20" s="159">
        <f t="shared" si="30"/>
        <v>15.994093035801086</v>
      </c>
      <c r="AU20" s="159">
        <f t="shared" si="31"/>
        <v>2.3216823714556583</v>
      </c>
      <c r="AV20" s="159">
        <f t="shared" si="32"/>
        <v>4.3642548833577521</v>
      </c>
      <c r="AW20" s="159">
        <f t="shared" si="33"/>
        <v>1.1608411857278291</v>
      </c>
      <c r="AX20" s="159">
        <f t="shared" si="34"/>
        <v>0.91458898619322593</v>
      </c>
      <c r="AY20" s="159">
        <f t="shared" si="35"/>
        <v>1.9356380660174093</v>
      </c>
      <c r="AZ20" s="159">
        <f t="shared" si="36"/>
        <v>0.45729449309661296</v>
      </c>
      <c r="BA20" s="159">
        <f t="shared" si="37"/>
        <v>16.942895165043524</v>
      </c>
      <c r="BB20" s="159">
        <f t="shared" si="38"/>
        <v>4.5183510767560113</v>
      </c>
      <c r="BC20" s="159">
        <f t="shared" si="39"/>
        <v>8.7861614359389826</v>
      </c>
      <c r="BD20" s="159">
        <f t="shared" si="40"/>
        <v>2.2591755383780057</v>
      </c>
      <c r="BE20" s="159">
        <f t="shared" si="41"/>
        <v>1.4081766930276651</v>
      </c>
      <c r="BF20" s="159">
        <f t="shared" si="42"/>
        <v>1.684005117435146</v>
      </c>
      <c r="BG20" s="159">
        <f t="shared" si="43"/>
        <v>14.926690640403345</v>
      </c>
      <c r="BH20" s="159">
        <f t="shared" si="44"/>
        <v>8.9772556017236926</v>
      </c>
      <c r="BI20" s="159">
        <f t="shared" si="45"/>
        <v>4.3040419347754888</v>
      </c>
      <c r="BJ20" s="159">
        <f t="shared" si="46"/>
        <v>2.3469611550461087</v>
      </c>
      <c r="BK20" s="159">
        <f t="shared" si="47"/>
        <v>1.2775211235714903</v>
      </c>
      <c r="BL20" s="159">
        <f t="shared" si="48"/>
        <v>6.4552430578815825</v>
      </c>
      <c r="BM20" s="159">
        <f t="shared" si="49"/>
        <v>7.5193891742480403</v>
      </c>
      <c r="BN20" s="159">
        <f t="shared" si="50"/>
        <v>0.92867294858226324</v>
      </c>
      <c r="BO20" s="159">
        <f t="shared" si="51"/>
        <v>0.8710371297078342</v>
      </c>
      <c r="BP20" s="159">
        <f t="shared" si="52"/>
        <v>0.32905847122295961</v>
      </c>
      <c r="BQ20" s="159">
        <f t="shared" si="53"/>
        <v>5.1675830253382751</v>
      </c>
      <c r="BR20" s="159">
        <f t="shared" si="54"/>
        <v>10.946796382245971</v>
      </c>
      <c r="BS20" s="159">
        <f t="shared" si="55"/>
        <v>2.4109778472808761</v>
      </c>
      <c r="BT20" s="159">
        <f t="shared" si="56"/>
        <v>1.3743030268723604</v>
      </c>
      <c r="BU20" s="159">
        <f t="shared" si="57"/>
        <v>1.1807392202706197</v>
      </c>
      <c r="BV20" s="159">
        <f t="shared" si="58"/>
        <v>7.7090173000948035</v>
      </c>
      <c r="BW20" s="159">
        <f t="shared" si="59"/>
        <v>9.402597442868224</v>
      </c>
      <c r="BX20" s="159">
        <f t="shared" si="60"/>
        <v>2.1609505149702661</v>
      </c>
      <c r="BY20" s="159">
        <f t="shared" si="61"/>
        <v>1.3743030268723604</v>
      </c>
      <c r="BZ20" s="159">
        <f t="shared" si="62"/>
        <v>1.1807392202706197</v>
      </c>
      <c r="CA20" s="159">
        <f t="shared" si="63"/>
        <v>10.690966849142464</v>
      </c>
      <c r="CB20" s="159">
        <f t="shared" si="64"/>
        <v>7.5458501727139531</v>
      </c>
      <c r="CC20" s="159">
        <f t="shared" si="65"/>
        <v>2.6431460844264412</v>
      </c>
      <c r="CD20" s="159">
        <f t="shared" si="66"/>
        <v>6.8788154370076713</v>
      </c>
      <c r="CE20" s="159">
        <f t="shared" si="67"/>
        <v>8.2927761941911591</v>
      </c>
      <c r="CF20" s="159">
        <f t="shared" si="68"/>
        <v>17.18268115583901</v>
      </c>
      <c r="CG20" s="159">
        <f t="shared" si="69"/>
        <v>8.2927761941911591</v>
      </c>
      <c r="CH20" s="159">
        <f t="shared" si="70"/>
        <v>7.0345962878221151</v>
      </c>
      <c r="CI20" s="159">
        <f t="shared" si="71"/>
        <v>19.429101280944586</v>
      </c>
      <c r="CJ20" s="159">
        <f t="shared" si="72"/>
        <v>7.0345962878221151</v>
      </c>
      <c r="CK20" s="159">
        <f t="shared" si="73"/>
        <v>4.2357237912608809</v>
      </c>
    </row>
    <row r="21" spans="1:89" x14ac:dyDescent="0.25">
      <c r="A21" t="str">
        <f>PLANTILLA!D24</f>
        <v>P .Trivadi</v>
      </c>
      <c r="B21" s="521">
        <f>PLANTILLA!E24</f>
        <v>26</v>
      </c>
      <c r="C21" s="521">
        <f ca="1">PLANTILLA!F24</f>
        <v>106</v>
      </c>
      <c r="D21" s="521"/>
      <c r="E21" s="317">
        <v>41973</v>
      </c>
      <c r="F21" s="371">
        <f>PLANTILLA!Q24</f>
        <v>3</v>
      </c>
      <c r="G21" s="439">
        <f t="shared" si="78"/>
        <v>0.65465367070797709</v>
      </c>
      <c r="H21" s="439">
        <f t="shared" si="75"/>
        <v>0.75498344352707503</v>
      </c>
      <c r="I21" s="530">
        <v>1.5</v>
      </c>
      <c r="J21" s="531">
        <f>PLANTILLA!I24</f>
        <v>5.3</v>
      </c>
      <c r="K21" s="163">
        <f>PLANTILLA!X24</f>
        <v>0</v>
      </c>
      <c r="L21" s="163">
        <f>PLANTILLA!Y24</f>
        <v>4</v>
      </c>
      <c r="M21" s="163">
        <f>PLANTILLA!Z24</f>
        <v>5.5338722222222207</v>
      </c>
      <c r="N21" s="163">
        <f>PLANTILLA!AA24</f>
        <v>5.47</v>
      </c>
      <c r="O21" s="163">
        <f>PLANTILLA!AB24</f>
        <v>10.799999999999999</v>
      </c>
      <c r="P21" s="163">
        <f>PLANTILLA!AC24</f>
        <v>8.384500000000001</v>
      </c>
      <c r="Q21" s="163">
        <f>PLANTILLA!AD24</f>
        <v>13.566666666666668</v>
      </c>
      <c r="R21" s="163">
        <f t="shared" si="2"/>
        <v>3.5749999999999997</v>
      </c>
      <c r="S21" s="163">
        <f t="shared" si="3"/>
        <v>19.229136229090329</v>
      </c>
      <c r="T21" s="163">
        <f t="shared" si="4"/>
        <v>0.82622500000000021</v>
      </c>
      <c r="U21" s="163">
        <f t="shared" si="5"/>
        <v>0.56699999999999995</v>
      </c>
      <c r="V21" s="163">
        <f t="shared" ca="1" si="6"/>
        <v>10.168321612165359</v>
      </c>
      <c r="W21" s="163">
        <f t="shared" ca="1" si="7"/>
        <v>11.726680547504088</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1.9038984648422057</v>
      </c>
      <c r="AE21" s="159">
        <f t="shared" si="15"/>
        <v>2.4440350382787974</v>
      </c>
      <c r="AF21" s="159">
        <f t="shared" si="16"/>
        <v>4.6747019382951605</v>
      </c>
      <c r="AG21" s="159">
        <f t="shared" si="17"/>
        <v>1.2220175191393987</v>
      </c>
      <c r="AH21" s="159">
        <f t="shared" si="18"/>
        <v>3.0798357519506268</v>
      </c>
      <c r="AI21" s="159">
        <f t="shared" si="19"/>
        <v>5.9484450667103008</v>
      </c>
      <c r="AJ21" s="159">
        <f t="shared" si="20"/>
        <v>2.6768002800196351</v>
      </c>
      <c r="AK21" s="159">
        <f t="shared" si="21"/>
        <v>1.3359287547422201</v>
      </c>
      <c r="AL21" s="159">
        <f t="shared" si="22"/>
        <v>4.6661922817670183</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7.5515972723153029</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7.9995733816899399</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7.0476241492688372</v>
      </c>
      <c r="BH21" s="159">
        <f t="shared" si="44"/>
        <v>8.7337883307668029</v>
      </c>
      <c r="BI21" s="159">
        <f t="shared" si="45"/>
        <v>3.19703397943172</v>
      </c>
      <c r="BJ21" s="159">
        <f t="shared" si="46"/>
        <v>3.1358650623418431</v>
      </c>
      <c r="BK21" s="159">
        <f t="shared" si="47"/>
        <v>1.7069451060994778</v>
      </c>
      <c r="BL21" s="159">
        <f t="shared" si="48"/>
        <v>3.0478374584238672</v>
      </c>
      <c r="BM21" s="159">
        <f t="shared" si="49"/>
        <v>8.0071328133747866</v>
      </c>
      <c r="BN21" s="159">
        <f t="shared" si="50"/>
        <v>0.68981646029232124</v>
      </c>
      <c r="BO21" s="159">
        <f t="shared" si="51"/>
        <v>1.1638262087041893</v>
      </c>
      <c r="BP21" s="159">
        <f t="shared" si="52"/>
        <v>0.43966767884380487</v>
      </c>
      <c r="BQ21" s="159">
        <f t="shared" si="53"/>
        <v>2.4398698814154316</v>
      </c>
      <c r="BR21" s="159">
        <f t="shared" si="54"/>
        <v>11.729691691075486</v>
      </c>
      <c r="BS21" s="159">
        <f t="shared" si="55"/>
        <v>1.7908696565281419</v>
      </c>
      <c r="BT21" s="159">
        <f t="shared" si="56"/>
        <v>1.8362591292888317</v>
      </c>
      <c r="BU21" s="159">
        <f t="shared" si="57"/>
        <v>1.5776310829101232</v>
      </c>
      <c r="BV21" s="159">
        <f t="shared" si="58"/>
        <v>3.6398058886689229</v>
      </c>
      <c r="BW21" s="159">
        <f t="shared" si="59"/>
        <v>10.093276884690232</v>
      </c>
      <c r="BX21" s="159">
        <f t="shared" si="60"/>
        <v>1.6051498402955937</v>
      </c>
      <c r="BY21" s="159">
        <f t="shared" si="61"/>
        <v>1.8362591292888317</v>
      </c>
      <c r="BZ21" s="159">
        <f t="shared" si="62"/>
        <v>1.5776310829101232</v>
      </c>
      <c r="CA21" s="159">
        <f t="shared" si="63"/>
        <v>5.0477308038463518</v>
      </c>
      <c r="CB21" s="159">
        <f t="shared" si="64"/>
        <v>8.1311425377236084</v>
      </c>
      <c r="CC21" s="159">
        <f t="shared" si="65"/>
        <v>1.963323771601222</v>
      </c>
      <c r="CD21" s="159">
        <f t="shared" si="66"/>
        <v>3.2478267929661158</v>
      </c>
      <c r="CE21" s="159">
        <f t="shared" si="67"/>
        <v>5.8371418040826821</v>
      </c>
      <c r="CF21" s="159">
        <f t="shared" si="68"/>
        <v>13.528943005560652</v>
      </c>
      <c r="CG21" s="159">
        <f t="shared" si="69"/>
        <v>5.8371418040826821</v>
      </c>
      <c r="CH21" s="159">
        <f t="shared" si="70"/>
        <v>6.3285718223483887</v>
      </c>
      <c r="CI21" s="159">
        <f t="shared" si="71"/>
        <v>15.745244887311307</v>
      </c>
      <c r="CJ21" s="159">
        <f t="shared" si="72"/>
        <v>6.3285718223483887</v>
      </c>
      <c r="CK21" s="159">
        <f t="shared" si="73"/>
        <v>1.999893345422485</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0.22949311822461418</v>
      </c>
      <c r="M29" s="47">
        <f>(L25-M27)/M27</f>
        <v>0.11403170953465099</v>
      </c>
    </row>
    <row r="30" spans="1:89" x14ac:dyDescent="0.25">
      <c r="D30" s="521"/>
    </row>
    <row r="31" spans="1:89" ht="18.75" x14ac:dyDescent="0.3">
      <c r="A31" s="471" t="s">
        <v>739</v>
      </c>
      <c r="B31" s="471" t="s">
        <v>178</v>
      </c>
      <c r="C31" s="471"/>
      <c r="D31" s="472"/>
      <c r="L31" s="47"/>
      <c r="M31" s="47"/>
    </row>
    <row r="32" spans="1:89" x14ac:dyDescent="0.25">
      <c r="A32" s="275" t="s">
        <v>744</v>
      </c>
      <c r="B32" s="473">
        <v>1</v>
      </c>
      <c r="C32" s="532">
        <v>0.624</v>
      </c>
      <c r="D32" s="533">
        <v>0.245</v>
      </c>
    </row>
    <row r="33" spans="1:4" x14ac:dyDescent="0.25">
      <c r="A33" s="275" t="s">
        <v>745</v>
      </c>
      <c r="B33" s="473">
        <v>1</v>
      </c>
      <c r="C33" s="532">
        <v>1.002</v>
      </c>
      <c r="D33" s="533">
        <v>0.34</v>
      </c>
    </row>
    <row r="34" spans="1:4" x14ac:dyDescent="0.25">
      <c r="A34" s="275" t="s">
        <v>746</v>
      </c>
      <c r="B34" s="473">
        <v>1</v>
      </c>
      <c r="C34" s="532">
        <v>0.46800000000000003</v>
      </c>
      <c r="D34" s="533">
        <v>0.125</v>
      </c>
    </row>
    <row r="35" spans="1:4" x14ac:dyDescent="0.25">
      <c r="A35" s="275" t="s">
        <v>747</v>
      </c>
      <c r="B35" s="473">
        <v>1</v>
      </c>
      <c r="C35" s="532">
        <v>0.877</v>
      </c>
      <c r="D35" s="533">
        <v>0.25</v>
      </c>
    </row>
    <row r="36" spans="1:4" x14ac:dyDescent="0.25">
      <c r="A36" s="275" t="s">
        <v>748</v>
      </c>
      <c r="B36" s="473">
        <v>1</v>
      </c>
      <c r="C36" s="532">
        <v>0.59299999999999997</v>
      </c>
      <c r="D36" s="533">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TablasEntreno</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2017-11-30T12:07:24Z</dcterms:modified>
</cp:coreProperties>
</file>