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OBIWAN-Orinteers" sheetId="468" r:id="rId1"/>
    <sheet name="Palencia-VADER" sheetId="470" r:id="rId2"/>
    <sheet name="SIMULADOR" sheetId="285" r:id="rId3"/>
    <sheet name="SIMULADOR&gt;22-12-17" sheetId="435" r:id="rId4"/>
    <sheet name="SIMULADOR_sinJC" sheetId="273" r:id="rId5"/>
  </sheets>
  <calcPr calcId="152511"/>
  <fileRecoveryPr autoRecover="0"/>
</workbook>
</file>

<file path=xl/calcChain.xml><?xml version="1.0" encoding="utf-8"?>
<calcChain xmlns="http://schemas.openxmlformats.org/spreadsheetml/2006/main">
  <c r="BF48" i="470" l="1"/>
  <c r="BF47" i="470"/>
  <c r="BF46" i="470"/>
  <c r="BF45" i="470"/>
  <c r="BE45" i="470"/>
  <c r="BE44" i="470"/>
  <c r="BD44" i="470"/>
  <c r="BE43" i="470"/>
  <c r="BF44" i="470" s="1"/>
  <c r="BD43" i="470"/>
  <c r="BC43" i="470"/>
  <c r="BF42" i="470"/>
  <c r="BE42" i="470"/>
  <c r="BD42" i="470"/>
  <c r="BC42" i="470"/>
  <c r="BH41" i="470"/>
  <c r="BH46" i="470" s="1"/>
  <c r="BH51" i="470" s="1"/>
  <c r="BH54" i="470" s="1"/>
  <c r="BF41" i="470"/>
  <c r="BE41" i="470"/>
  <c r="BD41" i="470"/>
  <c r="BC41" i="470"/>
  <c r="BH40" i="470"/>
  <c r="BH45" i="470" s="1"/>
  <c r="BH50" i="470" s="1"/>
  <c r="BL11" i="470" s="1"/>
  <c r="BP38" i="470" s="1"/>
  <c r="BP46" i="470" s="1"/>
  <c r="BF40" i="470"/>
  <c r="BE40" i="470"/>
  <c r="BD40" i="470"/>
  <c r="BC40" i="470"/>
  <c r="BC39" i="470"/>
  <c r="AS38" i="470"/>
  <c r="AR38" i="470"/>
  <c r="AQ38" i="470"/>
  <c r="AP38" i="470"/>
  <c r="AO38" i="470"/>
  <c r="AN38" i="470"/>
  <c r="AM38" i="470"/>
  <c r="AL38" i="470"/>
  <c r="AK38" i="470"/>
  <c r="AJ38" i="470"/>
  <c r="AI38" i="470"/>
  <c r="AH38" i="470"/>
  <c r="AG38" i="470"/>
  <c r="AF38" i="470"/>
  <c r="AE38" i="470"/>
  <c r="AD38" i="470"/>
  <c r="AC38" i="470"/>
  <c r="AB38" i="470"/>
  <c r="AA38" i="470"/>
  <c r="Z38" i="470"/>
  <c r="Y38" i="470"/>
  <c r="X38" i="470"/>
  <c r="W38" i="470"/>
  <c r="V38" i="470"/>
  <c r="U38" i="470"/>
  <c r="T38" i="470"/>
  <c r="S38" i="470"/>
  <c r="R38" i="470"/>
  <c r="Q38" i="470"/>
  <c r="P38" i="470"/>
  <c r="O38" i="470"/>
  <c r="N38" i="470"/>
  <c r="M38" i="470"/>
  <c r="L38" i="470"/>
  <c r="K38" i="470"/>
  <c r="J38" i="470"/>
  <c r="I38" i="470"/>
  <c r="H38" i="470"/>
  <c r="G38" i="470"/>
  <c r="BH37" i="470"/>
  <c r="BH43" i="470" s="1"/>
  <c r="BH48" i="470" s="1"/>
  <c r="BH53" i="470" s="1"/>
  <c r="BH56" i="470" s="1"/>
  <c r="BH58" i="470" s="1"/>
  <c r="BH59" i="470" s="1"/>
  <c r="BF34" i="470"/>
  <c r="BH33" i="470"/>
  <c r="BH39" i="470" s="1"/>
  <c r="BH44" i="470" s="1"/>
  <c r="BF33" i="470"/>
  <c r="C33" i="470"/>
  <c r="B33" i="470"/>
  <c r="BF32" i="470"/>
  <c r="C32" i="470"/>
  <c r="B32" i="470"/>
  <c r="BH31" i="470"/>
  <c r="BL8" i="470" s="1"/>
  <c r="BP18" i="470" s="1"/>
  <c r="BP22" i="470" s="1"/>
  <c r="BP28" i="470" s="1"/>
  <c r="BP35" i="470" s="1"/>
  <c r="BP43" i="470" s="1"/>
  <c r="BE31" i="470"/>
  <c r="BH30" i="470"/>
  <c r="BE30" i="470"/>
  <c r="BF31" i="470" s="1"/>
  <c r="BD30" i="470"/>
  <c r="E30" i="470"/>
  <c r="D30" i="470"/>
  <c r="BH29" i="470"/>
  <c r="BH36" i="470" s="1"/>
  <c r="BH42" i="470" s="1"/>
  <c r="BH47" i="470" s="1"/>
  <c r="BH52" i="470" s="1"/>
  <c r="BH55" i="470" s="1"/>
  <c r="BH57" i="470" s="1"/>
  <c r="BL13" i="470" s="1"/>
  <c r="BE29" i="470"/>
  <c r="BD29" i="470"/>
  <c r="BC29" i="470"/>
  <c r="C29" i="470"/>
  <c r="B29" i="470"/>
  <c r="BH28" i="470"/>
  <c r="BH35" i="470" s="1"/>
  <c r="BE28" i="470"/>
  <c r="BF29" i="470" s="1"/>
  <c r="BD28" i="470"/>
  <c r="BC28" i="470"/>
  <c r="BH27" i="470"/>
  <c r="BH34" i="470" s="1"/>
  <c r="BF27" i="470"/>
  <c r="BE27" i="470"/>
  <c r="BD27" i="470"/>
  <c r="BC27" i="470"/>
  <c r="C27" i="470"/>
  <c r="B27" i="470"/>
  <c r="BH26" i="470"/>
  <c r="BF26" i="470"/>
  <c r="BE26" i="470"/>
  <c r="BD26" i="470"/>
  <c r="BC26" i="470"/>
  <c r="E26" i="470"/>
  <c r="E27" i="470" s="1"/>
  <c r="D26" i="470"/>
  <c r="D27" i="470" s="1"/>
  <c r="C26" i="470"/>
  <c r="B26" i="470"/>
  <c r="BH25" i="470"/>
  <c r="BH32" i="470" s="1"/>
  <c r="BH38" i="470" s="1"/>
  <c r="BL9" i="470" s="1"/>
  <c r="BP23" i="470" s="1"/>
  <c r="BP29" i="470" s="1"/>
  <c r="BP36" i="470" s="1"/>
  <c r="BP44" i="470" s="1"/>
  <c r="BC25" i="470"/>
  <c r="E25" i="470"/>
  <c r="D25" i="470"/>
  <c r="C25" i="470"/>
  <c r="B25" i="470"/>
  <c r="BH24" i="470"/>
  <c r="BH23" i="470"/>
  <c r="BL7" i="470" s="1"/>
  <c r="BP13" i="470" s="1"/>
  <c r="BP17" i="470" s="1"/>
  <c r="BP21" i="470" s="1"/>
  <c r="BP27" i="470" s="1"/>
  <c r="BP34" i="470" s="1"/>
  <c r="BP42" i="470" s="1"/>
  <c r="D23" i="470"/>
  <c r="B22" i="470"/>
  <c r="C22" i="470" s="1"/>
  <c r="B20" i="470"/>
  <c r="B21" i="470" s="1"/>
  <c r="Z19" i="470"/>
  <c r="Y19" i="470"/>
  <c r="AA19" i="470" s="1"/>
  <c r="P19" i="470"/>
  <c r="O19" i="470"/>
  <c r="AA18" i="470"/>
  <c r="Q18" i="470"/>
  <c r="Z17" i="470"/>
  <c r="Y17" i="470"/>
  <c r="P17" i="470"/>
  <c r="O17" i="470"/>
  <c r="Q17" i="470" s="1"/>
  <c r="Y16" i="470"/>
  <c r="AA16" i="470" s="1"/>
  <c r="Q16" i="470"/>
  <c r="O16" i="470"/>
  <c r="C16" i="470"/>
  <c r="B16" i="470"/>
  <c r="AA15" i="470"/>
  <c r="Q15" i="470"/>
  <c r="BP14" i="470"/>
  <c r="BH49" i="470" s="1"/>
  <c r="BP24" i="470" s="1"/>
  <c r="BP31" i="470" s="1"/>
  <c r="BP39" i="470" s="1"/>
  <c r="BL14" i="470" s="1"/>
  <c r="Y14" i="470"/>
  <c r="AA14" i="470" s="1"/>
  <c r="O14" i="470"/>
  <c r="Q14" i="470" s="1"/>
  <c r="AA13" i="470"/>
  <c r="Z13" i="470"/>
  <c r="P13" i="470"/>
  <c r="Q13" i="470" s="1"/>
  <c r="BP12" i="470"/>
  <c r="BP16" i="470" s="1"/>
  <c r="BP20" i="470" s="1"/>
  <c r="BP26" i="470" s="1"/>
  <c r="BP33" i="470" s="1"/>
  <c r="BP41" i="470" s="1"/>
  <c r="BL12" i="470"/>
  <c r="BP47" i="470" s="1"/>
  <c r="AA12" i="470"/>
  <c r="Q12" i="470"/>
  <c r="Z11" i="470"/>
  <c r="Y11" i="470"/>
  <c r="P11" i="470"/>
  <c r="Q11" i="470" s="1"/>
  <c r="O11" i="470"/>
  <c r="BL10" i="470"/>
  <c r="BP30" i="470" s="1"/>
  <c r="BP37" i="470" s="1"/>
  <c r="BP45" i="470" s="1"/>
  <c r="Z10" i="470"/>
  <c r="Y10" i="470"/>
  <c r="AA10" i="470" s="1"/>
  <c r="P10" i="470"/>
  <c r="O10" i="470"/>
  <c r="Y9" i="470"/>
  <c r="AA9" i="470" s="1"/>
  <c r="O9" i="470"/>
  <c r="Q9" i="470" s="1"/>
  <c r="Z8" i="470"/>
  <c r="Y8" i="470"/>
  <c r="P8" i="470"/>
  <c r="O8" i="470"/>
  <c r="AA7" i="470"/>
  <c r="Q7" i="470"/>
  <c r="BP6" i="470"/>
  <c r="BP8" i="470" s="1"/>
  <c r="BP11" i="470" s="1"/>
  <c r="BP15" i="470" s="1"/>
  <c r="BP19" i="470" s="1"/>
  <c r="BP25" i="470" s="1"/>
  <c r="BP32" i="470" s="1"/>
  <c r="BP40" i="470" s="1"/>
  <c r="BL6" i="470"/>
  <c r="BP9" i="470" s="1"/>
  <c r="Z6" i="470"/>
  <c r="Y6" i="470"/>
  <c r="AA6" i="470" s="1"/>
  <c r="P6" i="470"/>
  <c r="O6" i="470"/>
  <c r="Q6" i="470" s="1"/>
  <c r="BP5" i="470"/>
  <c r="BP7" i="470" s="1"/>
  <c r="BP10" i="470" s="1"/>
  <c r="Z5" i="470"/>
  <c r="Y5" i="470"/>
  <c r="P5" i="470"/>
  <c r="O5" i="470"/>
  <c r="D3" i="470"/>
  <c r="G3" i="470" s="1"/>
  <c r="S2" i="470"/>
  <c r="AF1" i="470"/>
  <c r="V1" i="470"/>
  <c r="S1" i="470"/>
  <c r="B23" i="470" l="1"/>
  <c r="B24" i="470" s="1"/>
  <c r="AA11" i="470"/>
  <c r="AA17" i="470"/>
  <c r="AA8" i="470"/>
  <c r="AA5" i="470"/>
  <c r="Q19" i="470"/>
  <c r="B31" i="470"/>
  <c r="W25" i="470" s="1"/>
  <c r="K3" i="470"/>
  <c r="K2" i="470"/>
  <c r="G1" i="470"/>
  <c r="K1" i="470"/>
  <c r="G2" i="470"/>
  <c r="T48" i="470"/>
  <c r="C31" i="470"/>
  <c r="W39" i="470" s="1"/>
  <c r="E23" i="470"/>
  <c r="BF28" i="470"/>
  <c r="Q5" i="470"/>
  <c r="BF43" i="470"/>
  <c r="Q10" i="470"/>
  <c r="C23" i="470"/>
  <c r="T49" i="470"/>
  <c r="Q8" i="470"/>
  <c r="BF30" i="470"/>
  <c r="T39" i="470"/>
  <c r="T42" i="470"/>
  <c r="BF48" i="468"/>
  <c r="BF47" i="468"/>
  <c r="BF46" i="468"/>
  <c r="BE45" i="468"/>
  <c r="BE44" i="468"/>
  <c r="BF45" i="468" s="1"/>
  <c r="BD44" i="468"/>
  <c r="BE43" i="468"/>
  <c r="BF44" i="468" s="1"/>
  <c r="BD43" i="468"/>
  <c r="BC43" i="468"/>
  <c r="BF42" i="468"/>
  <c r="BE42" i="468"/>
  <c r="BF43" i="468" s="1"/>
  <c r="BD42" i="468"/>
  <c r="BC42" i="468"/>
  <c r="BF41" i="468"/>
  <c r="BE41" i="468"/>
  <c r="BD41" i="468"/>
  <c r="BC41" i="468"/>
  <c r="BH40" i="468"/>
  <c r="BH45" i="468" s="1"/>
  <c r="BH50" i="468" s="1"/>
  <c r="BF40" i="468"/>
  <c r="BE40" i="468"/>
  <c r="BD40" i="468"/>
  <c r="BC40" i="468"/>
  <c r="BC39" i="468"/>
  <c r="AS38" i="468"/>
  <c r="AR38" i="468"/>
  <c r="AQ38" i="468"/>
  <c r="AP38" i="468"/>
  <c r="AO38" i="468"/>
  <c r="AN38" i="468"/>
  <c r="AM38" i="468"/>
  <c r="AL38" i="468"/>
  <c r="AK38" i="468"/>
  <c r="AJ38" i="468"/>
  <c r="AI38" i="468"/>
  <c r="AH38" i="468"/>
  <c r="AG38" i="468"/>
  <c r="AF38" i="468"/>
  <c r="AE38" i="468"/>
  <c r="AD38" i="468"/>
  <c r="AC38" i="468"/>
  <c r="AB38" i="468"/>
  <c r="AA38" i="468"/>
  <c r="Z38" i="468"/>
  <c r="Y38" i="468"/>
  <c r="X38" i="468"/>
  <c r="W38" i="468"/>
  <c r="V38" i="468"/>
  <c r="U38" i="468"/>
  <c r="T38" i="468"/>
  <c r="S38" i="468"/>
  <c r="R38" i="468"/>
  <c r="Q38" i="468"/>
  <c r="P38" i="468"/>
  <c r="O38" i="468"/>
  <c r="N38" i="468"/>
  <c r="M38" i="468"/>
  <c r="L38" i="468"/>
  <c r="K38" i="468"/>
  <c r="J38" i="468"/>
  <c r="I38" i="468"/>
  <c r="H38" i="468"/>
  <c r="G38" i="468"/>
  <c r="BH36" i="468"/>
  <c r="BH42" i="468" s="1"/>
  <c r="BH47" i="468" s="1"/>
  <c r="BH52" i="468" s="1"/>
  <c r="BH55" i="468" s="1"/>
  <c r="BH57" i="468" s="1"/>
  <c r="BL13" i="468" s="1"/>
  <c r="BF34" i="468"/>
  <c r="BF33" i="468"/>
  <c r="C33" i="468"/>
  <c r="B33" i="468"/>
  <c r="BH32" i="468"/>
  <c r="BH38" i="468" s="1"/>
  <c r="BL9" i="468" s="1"/>
  <c r="BP23" i="468" s="1"/>
  <c r="BP29" i="468" s="1"/>
  <c r="BP36" i="468" s="1"/>
  <c r="BP44" i="468" s="1"/>
  <c r="C32" i="468"/>
  <c r="B32" i="468"/>
  <c r="BH31" i="468"/>
  <c r="BL8" i="468" s="1"/>
  <c r="BP18" i="468" s="1"/>
  <c r="BP22" i="468" s="1"/>
  <c r="BP28" i="468" s="1"/>
  <c r="BP35" i="468" s="1"/>
  <c r="BP43" i="468" s="1"/>
  <c r="BE31" i="468"/>
  <c r="BF32" i="468" s="1"/>
  <c r="BP30" i="468"/>
  <c r="BP37" i="468" s="1"/>
  <c r="BP45" i="468" s="1"/>
  <c r="BH30" i="468"/>
  <c r="BH37" i="468" s="1"/>
  <c r="BH43" i="468" s="1"/>
  <c r="BH48" i="468" s="1"/>
  <c r="BH53" i="468" s="1"/>
  <c r="BH56" i="468" s="1"/>
  <c r="BH58" i="468" s="1"/>
  <c r="BH59" i="468" s="1"/>
  <c r="BE30" i="468"/>
  <c r="BD30" i="468"/>
  <c r="E30" i="468"/>
  <c r="D30" i="468"/>
  <c r="BH29" i="468"/>
  <c r="BE29" i="468"/>
  <c r="BF30" i="468" s="1"/>
  <c r="BD29" i="468"/>
  <c r="BC29" i="468"/>
  <c r="C29" i="468"/>
  <c r="B29" i="468"/>
  <c r="BH28" i="468"/>
  <c r="BH35" i="468" s="1"/>
  <c r="BH41" i="468" s="1"/>
  <c r="BH46" i="468" s="1"/>
  <c r="BH51" i="468" s="1"/>
  <c r="BH54" i="468" s="1"/>
  <c r="BF28" i="468"/>
  <c r="BE28" i="468"/>
  <c r="BD28" i="468"/>
  <c r="BC28" i="468"/>
  <c r="BH27" i="468"/>
  <c r="BH34" i="468" s="1"/>
  <c r="BF27" i="468"/>
  <c r="BE27" i="468"/>
  <c r="BD27" i="468"/>
  <c r="BC27" i="468"/>
  <c r="C27" i="468"/>
  <c r="B27" i="468"/>
  <c r="BH26" i="468"/>
  <c r="BH33" i="468" s="1"/>
  <c r="BH39" i="468" s="1"/>
  <c r="BH44" i="468" s="1"/>
  <c r="BF26" i="468"/>
  <c r="BE26" i="468"/>
  <c r="BD26" i="468"/>
  <c r="BC26" i="468"/>
  <c r="E26" i="468"/>
  <c r="E27" i="468" s="1"/>
  <c r="D26" i="468"/>
  <c r="D27" i="468" s="1"/>
  <c r="C26" i="468"/>
  <c r="B26" i="468"/>
  <c r="BH25" i="468"/>
  <c r="BC25" i="468"/>
  <c r="E25" i="468"/>
  <c r="E23" i="468" s="1"/>
  <c r="D25" i="468"/>
  <c r="C25" i="468"/>
  <c r="B25" i="468"/>
  <c r="BH24" i="468"/>
  <c r="BH23" i="468"/>
  <c r="B22" i="468"/>
  <c r="C22" i="468" s="1"/>
  <c r="B20" i="468"/>
  <c r="B21" i="468" s="1"/>
  <c r="Z19" i="468"/>
  <c r="Y19" i="468"/>
  <c r="AA19" i="468" s="1"/>
  <c r="P19" i="468"/>
  <c r="O19" i="468"/>
  <c r="Q19" i="468" s="1"/>
  <c r="AA18" i="468"/>
  <c r="Q18" i="468"/>
  <c r="Z17" i="468"/>
  <c r="Y17" i="468"/>
  <c r="Q17" i="468"/>
  <c r="P17" i="468"/>
  <c r="O17" i="468"/>
  <c r="AA16" i="468"/>
  <c r="Y16" i="468"/>
  <c r="Q16" i="468"/>
  <c r="O16" i="468"/>
  <c r="C16" i="468"/>
  <c r="B16" i="468"/>
  <c r="AA15" i="468"/>
  <c r="Q15" i="468"/>
  <c r="Y14" i="468"/>
  <c r="AA14" i="468" s="1"/>
  <c r="O14" i="468"/>
  <c r="Q14" i="468" s="1"/>
  <c r="Z13" i="468"/>
  <c r="AA13" i="468" s="1"/>
  <c r="P13" i="468"/>
  <c r="Q13" i="468" s="1"/>
  <c r="BL12" i="468"/>
  <c r="BP47" i="468" s="1"/>
  <c r="AA12" i="468"/>
  <c r="Q12" i="468"/>
  <c r="BL11" i="468"/>
  <c r="BP38" i="468" s="1"/>
  <c r="BP46" i="468" s="1"/>
  <c r="Z11" i="468"/>
  <c r="Y11" i="468"/>
  <c r="P11" i="468"/>
  <c r="O11" i="468"/>
  <c r="Q11" i="468" s="1"/>
  <c r="BL10" i="468"/>
  <c r="Z10" i="468"/>
  <c r="Y10" i="468"/>
  <c r="AA10" i="468" s="1"/>
  <c r="P10" i="468"/>
  <c r="O10" i="468"/>
  <c r="Q10" i="468" s="1"/>
  <c r="BP9" i="468"/>
  <c r="BP12" i="468" s="1"/>
  <c r="BP16" i="468" s="1"/>
  <c r="BP20" i="468" s="1"/>
  <c r="BP26" i="468" s="1"/>
  <c r="BP33" i="468" s="1"/>
  <c r="BP41" i="468" s="1"/>
  <c r="Y9" i="468"/>
  <c r="AA9" i="468" s="1"/>
  <c r="O9" i="468"/>
  <c r="Q9" i="468" s="1"/>
  <c r="BP8" i="468"/>
  <c r="BP11" i="468" s="1"/>
  <c r="BP15" i="468" s="1"/>
  <c r="BP19" i="468" s="1"/>
  <c r="BP25" i="468" s="1"/>
  <c r="BP32" i="468" s="1"/>
  <c r="BP40" i="468" s="1"/>
  <c r="Z8" i="468"/>
  <c r="Y8" i="468"/>
  <c r="AA8" i="468" s="1"/>
  <c r="P8" i="468"/>
  <c r="O8" i="468"/>
  <c r="Q8" i="468" s="1"/>
  <c r="BP7" i="468"/>
  <c r="BP10" i="468" s="1"/>
  <c r="BP14" i="468" s="1"/>
  <c r="BH49" i="468" s="1"/>
  <c r="BP24" i="468" s="1"/>
  <c r="BP31" i="468" s="1"/>
  <c r="BP39" i="468" s="1"/>
  <c r="BL14" i="468" s="1"/>
  <c r="BL7" i="468"/>
  <c r="BP13" i="468" s="1"/>
  <c r="BP17" i="468" s="1"/>
  <c r="BP21" i="468" s="1"/>
  <c r="BP27" i="468" s="1"/>
  <c r="BP34" i="468" s="1"/>
  <c r="BP42" i="468" s="1"/>
  <c r="AA7" i="468"/>
  <c r="Q7" i="468"/>
  <c r="BP6" i="468"/>
  <c r="BL6" i="468"/>
  <c r="Z6" i="468"/>
  <c r="Y6" i="468"/>
  <c r="P6" i="468"/>
  <c r="O6" i="468"/>
  <c r="BP5" i="468"/>
  <c r="Z5" i="468"/>
  <c r="Y5" i="468"/>
  <c r="AA5" i="468" s="1"/>
  <c r="P5" i="468"/>
  <c r="O5" i="468"/>
  <c r="Q5" i="468" s="1"/>
  <c r="D3" i="468"/>
  <c r="G2" i="468" s="1"/>
  <c r="S2" i="468"/>
  <c r="AF1" i="468"/>
  <c r="V1" i="468"/>
  <c r="S1" i="468"/>
  <c r="B34" i="470" l="1"/>
  <c r="T47" i="470"/>
  <c r="T40" i="470"/>
  <c r="L1" i="470"/>
  <c r="T44" i="470"/>
  <c r="T41" i="470"/>
  <c r="T46" i="470"/>
  <c r="H1" i="470"/>
  <c r="T43" i="470"/>
  <c r="T45" i="470"/>
  <c r="T33" i="470"/>
  <c r="M1" i="470"/>
  <c r="M2" i="470" s="1"/>
  <c r="T31" i="470"/>
  <c r="C34" i="470"/>
  <c r="T27" i="470"/>
  <c r="T26" i="470"/>
  <c r="T25" i="470"/>
  <c r="T30" i="470"/>
  <c r="T29" i="470"/>
  <c r="C24" i="470"/>
  <c r="T34" i="470"/>
  <c r="T32" i="470"/>
  <c r="N29" i="470"/>
  <c r="P29" i="470" s="1"/>
  <c r="N26" i="470"/>
  <c r="N27" i="470"/>
  <c r="P27" i="470" s="1"/>
  <c r="N25" i="470"/>
  <c r="N30" i="470"/>
  <c r="P30" i="470" s="1"/>
  <c r="R35" i="470" s="1"/>
  <c r="N28" i="470"/>
  <c r="P28" i="470" s="1"/>
  <c r="T28" i="470"/>
  <c r="T35" i="470"/>
  <c r="Q6" i="468"/>
  <c r="D23" i="468"/>
  <c r="AA6" i="468"/>
  <c r="AA11" i="468"/>
  <c r="AA17" i="468"/>
  <c r="B31" i="468"/>
  <c r="W25" i="468" s="1"/>
  <c r="C31" i="468"/>
  <c r="W39" i="468" s="1"/>
  <c r="G1" i="468"/>
  <c r="K3" i="468"/>
  <c r="K1" i="468"/>
  <c r="G3" i="468"/>
  <c r="K2" i="468"/>
  <c r="B23" i="468"/>
  <c r="C23" i="468" s="1"/>
  <c r="BF29" i="468"/>
  <c r="BF31" i="468"/>
  <c r="T37" i="470" l="1"/>
  <c r="T23" i="470"/>
  <c r="R34" i="470"/>
  <c r="R33" i="470"/>
  <c r="R12" i="470"/>
  <c r="S12" i="470" s="1"/>
  <c r="R18" i="470"/>
  <c r="R19" i="470"/>
  <c r="AB10" i="470"/>
  <c r="AC10" i="470" s="1"/>
  <c r="R16" i="470"/>
  <c r="S16" i="470" s="1"/>
  <c r="R15" i="470"/>
  <c r="AB19" i="470"/>
  <c r="AB11" i="470"/>
  <c r="AC11" i="470" s="1"/>
  <c r="AB12" i="470"/>
  <c r="AC12" i="470" s="1"/>
  <c r="R11" i="470"/>
  <c r="R9" i="470"/>
  <c r="AB16" i="470"/>
  <c r="AB8" i="470"/>
  <c r="AB7" i="470"/>
  <c r="AC7" i="470" s="1"/>
  <c r="R14" i="470"/>
  <c r="S14" i="470" s="1"/>
  <c r="AB17" i="470"/>
  <c r="AC17" i="470" s="1"/>
  <c r="AB18" i="470"/>
  <c r="AC18" i="470" s="1"/>
  <c r="R13" i="470"/>
  <c r="S13" i="470" s="1"/>
  <c r="AB5" i="470"/>
  <c r="AB15" i="470"/>
  <c r="AC15" i="470" s="1"/>
  <c r="AB14" i="470"/>
  <c r="R7" i="470"/>
  <c r="AB6" i="470"/>
  <c r="AC6" i="470" s="1"/>
  <c r="AB9" i="470"/>
  <c r="AC9" i="470" s="1"/>
  <c r="AB13" i="470"/>
  <c r="AC13" i="470" s="1"/>
  <c r="R17" i="470"/>
  <c r="R6" i="470"/>
  <c r="R8" i="470"/>
  <c r="S8" i="470" s="1"/>
  <c r="R10" i="470"/>
  <c r="S10" i="470" s="1"/>
  <c r="R5" i="470"/>
  <c r="S5" i="470" s="1"/>
  <c r="R32" i="470"/>
  <c r="P26" i="470"/>
  <c r="R31" i="470" s="1"/>
  <c r="P25" i="470"/>
  <c r="N23" i="470"/>
  <c r="N43" i="470"/>
  <c r="P43" i="470" s="1"/>
  <c r="N41" i="470"/>
  <c r="P41" i="470" s="1"/>
  <c r="N39" i="470"/>
  <c r="N44" i="470"/>
  <c r="P44" i="470" s="1"/>
  <c r="N42" i="470"/>
  <c r="P42" i="470" s="1"/>
  <c r="N40" i="470"/>
  <c r="P40" i="470" s="1"/>
  <c r="L1" i="468"/>
  <c r="T42" i="468"/>
  <c r="T41" i="468"/>
  <c r="T39" i="468"/>
  <c r="T48" i="468"/>
  <c r="T46" i="468"/>
  <c r="T43" i="468"/>
  <c r="T49" i="468"/>
  <c r="T45" i="468"/>
  <c r="C34" i="468"/>
  <c r="T32" i="468"/>
  <c r="T26" i="468"/>
  <c r="C24" i="468"/>
  <c r="T28" i="468"/>
  <c r="T25" i="468"/>
  <c r="T27" i="468"/>
  <c r="T33" i="468"/>
  <c r="T29" i="468"/>
  <c r="T34" i="468"/>
  <c r="T31" i="468"/>
  <c r="T30" i="468"/>
  <c r="T35" i="468"/>
  <c r="B34" i="468"/>
  <c r="T47" i="468"/>
  <c r="T40" i="468"/>
  <c r="B24" i="468"/>
  <c r="T44" i="468"/>
  <c r="H1" i="468"/>
  <c r="M1" i="468" s="1"/>
  <c r="M2" i="468" s="1"/>
  <c r="AC16" i="470" l="1"/>
  <c r="S6" i="470"/>
  <c r="AC5" i="470"/>
  <c r="S9" i="470"/>
  <c r="AC19" i="470"/>
  <c r="S19" i="470"/>
  <c r="S17" i="470"/>
  <c r="S7" i="470"/>
  <c r="S11" i="470"/>
  <c r="S15" i="470"/>
  <c r="S18" i="470"/>
  <c r="AC14" i="470"/>
  <c r="AC8" i="470"/>
  <c r="R27" i="470"/>
  <c r="R30" i="470"/>
  <c r="R29" i="470"/>
  <c r="R28" i="470"/>
  <c r="P23" i="470"/>
  <c r="R25" i="470"/>
  <c r="R47" i="470"/>
  <c r="R49" i="470"/>
  <c r="R48" i="470"/>
  <c r="R45" i="470"/>
  <c r="R46" i="470"/>
  <c r="P39" i="470"/>
  <c r="R44" i="470" s="1"/>
  <c r="N37" i="470"/>
  <c r="R26" i="470"/>
  <c r="V26" i="470" s="1"/>
  <c r="T37" i="468"/>
  <c r="T23" i="468"/>
  <c r="R19" i="468"/>
  <c r="AB16" i="468"/>
  <c r="AB14" i="468"/>
  <c r="AB19" i="468"/>
  <c r="AB18" i="468"/>
  <c r="R17" i="468"/>
  <c r="R16" i="468"/>
  <c r="R15" i="468"/>
  <c r="R14" i="468"/>
  <c r="AB12" i="468"/>
  <c r="AB13" i="468"/>
  <c r="AB11" i="468"/>
  <c r="R9" i="468"/>
  <c r="R6" i="468"/>
  <c r="AB15" i="468"/>
  <c r="AB6" i="468"/>
  <c r="R5" i="468"/>
  <c r="AB17" i="468"/>
  <c r="R13" i="468"/>
  <c r="R12" i="468"/>
  <c r="R11" i="468"/>
  <c r="AB10" i="468"/>
  <c r="R18" i="468"/>
  <c r="R10" i="468"/>
  <c r="AB9" i="468"/>
  <c r="R8" i="468"/>
  <c r="AB7" i="468"/>
  <c r="R7" i="468"/>
  <c r="AB5" i="468"/>
  <c r="AB8" i="468"/>
  <c r="N43" i="468"/>
  <c r="P43" i="468" s="1"/>
  <c r="N41" i="468"/>
  <c r="P41" i="468" s="1"/>
  <c r="N44" i="468"/>
  <c r="P44" i="468" s="1"/>
  <c r="N40" i="468"/>
  <c r="P40" i="468" s="1"/>
  <c r="N42" i="468"/>
  <c r="P42" i="468" s="1"/>
  <c r="N39" i="468"/>
  <c r="N30" i="468"/>
  <c r="P30" i="468" s="1"/>
  <c r="R35" i="468" s="1"/>
  <c r="N26" i="468"/>
  <c r="N28" i="468"/>
  <c r="P28" i="468" s="1"/>
  <c r="N25" i="468"/>
  <c r="N29" i="468"/>
  <c r="P29" i="468" s="1"/>
  <c r="R34" i="468" s="1"/>
  <c r="N27" i="468"/>
  <c r="P27" i="468" s="1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40" i="470" l="1"/>
  <c r="R42" i="470"/>
  <c r="U18" i="470"/>
  <c r="AE5" i="470"/>
  <c r="AD10" i="470"/>
  <c r="AD19" i="470"/>
  <c r="AE12" i="470"/>
  <c r="U15" i="470"/>
  <c r="T7" i="470"/>
  <c r="AE8" i="470"/>
  <c r="T13" i="470"/>
  <c r="AE10" i="470"/>
  <c r="U17" i="470"/>
  <c r="R41" i="470"/>
  <c r="AD8" i="470"/>
  <c r="AD11" i="470"/>
  <c r="U16" i="470"/>
  <c r="T11" i="470"/>
  <c r="AD15" i="470"/>
  <c r="AE17" i="470"/>
  <c r="AD5" i="470"/>
  <c r="AD14" i="470"/>
  <c r="AD17" i="470"/>
  <c r="T15" i="470"/>
  <c r="T16" i="470"/>
  <c r="T18" i="470"/>
  <c r="U6" i="470"/>
  <c r="T5" i="470"/>
  <c r="S20" i="470"/>
  <c r="R43" i="470"/>
  <c r="AE13" i="470"/>
  <c r="T8" i="470"/>
  <c r="U11" i="470"/>
  <c r="T19" i="470"/>
  <c r="T9" i="470"/>
  <c r="T12" i="470"/>
  <c r="U8" i="470"/>
  <c r="U5" i="470"/>
  <c r="T17" i="470"/>
  <c r="AE11" i="470"/>
  <c r="T6" i="470"/>
  <c r="AE14" i="470"/>
  <c r="U14" i="470"/>
  <c r="U13" i="470"/>
  <c r="U12" i="470"/>
  <c r="T14" i="470"/>
  <c r="U7" i="470"/>
  <c r="AC20" i="470"/>
  <c r="AD12" i="470"/>
  <c r="AD6" i="470"/>
  <c r="AD18" i="470"/>
  <c r="AE9" i="470"/>
  <c r="AD9" i="470"/>
  <c r="AD13" i="470"/>
  <c r="AD7" i="470"/>
  <c r="AE18" i="470"/>
  <c r="AE15" i="470"/>
  <c r="AD16" i="470"/>
  <c r="AE7" i="470"/>
  <c r="AE6" i="470"/>
  <c r="U10" i="470"/>
  <c r="T10" i="470"/>
  <c r="U9" i="470"/>
  <c r="AE16" i="470"/>
  <c r="V28" i="470"/>
  <c r="AA26" i="470"/>
  <c r="AA25" i="470"/>
  <c r="R23" i="470"/>
  <c r="V25" i="470"/>
  <c r="V33" i="470"/>
  <c r="V29" i="470"/>
  <c r="V31" i="470"/>
  <c r="V32" i="470"/>
  <c r="V30" i="470"/>
  <c r="V34" i="470"/>
  <c r="P37" i="470"/>
  <c r="R39" i="470"/>
  <c r="V40" i="470" s="1"/>
  <c r="V27" i="470"/>
  <c r="S7" i="468"/>
  <c r="S12" i="468"/>
  <c r="AC19" i="468"/>
  <c r="P25" i="468"/>
  <c r="N23" i="468"/>
  <c r="AC7" i="468"/>
  <c r="S18" i="468"/>
  <c r="S13" i="468"/>
  <c r="AC15" i="468"/>
  <c r="AC13" i="468"/>
  <c r="S16" i="468"/>
  <c r="AC14" i="468"/>
  <c r="P39" i="468"/>
  <c r="R43" i="468" s="1"/>
  <c r="N37" i="468"/>
  <c r="S10" i="468"/>
  <c r="AC11" i="468"/>
  <c r="R33" i="468"/>
  <c r="AC8" i="468"/>
  <c r="S8" i="468"/>
  <c r="AC10" i="468"/>
  <c r="AC17" i="468"/>
  <c r="S6" i="468"/>
  <c r="AC12" i="468"/>
  <c r="S17" i="468"/>
  <c r="AC16" i="468"/>
  <c r="AC6" i="468"/>
  <c r="S15" i="468"/>
  <c r="R32" i="468"/>
  <c r="P26" i="468"/>
  <c r="R31" i="468" s="1"/>
  <c r="R47" i="468"/>
  <c r="R49" i="468"/>
  <c r="R46" i="468"/>
  <c r="R45" i="468"/>
  <c r="R48" i="468"/>
  <c r="AC5" i="468"/>
  <c r="AC9" i="468"/>
  <c r="S11" i="468"/>
  <c r="S5" i="468"/>
  <c r="S9" i="468"/>
  <c r="S14" i="468"/>
  <c r="AC18" i="468"/>
  <c r="S19" i="468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AE20" i="470" l="1"/>
  <c r="AE21" i="470" s="1"/>
  <c r="L41" i="470" s="1"/>
  <c r="AA23" i="470"/>
  <c r="T20" i="470"/>
  <c r="U20" i="470"/>
  <c r="U21" i="470" s="1"/>
  <c r="L27" i="470" s="1"/>
  <c r="AD20" i="470"/>
  <c r="AD21" i="470" s="1"/>
  <c r="AA39" i="470"/>
  <c r="AA40" i="470"/>
  <c r="AO28" i="470"/>
  <c r="AO31" i="470"/>
  <c r="AO26" i="470"/>
  <c r="AO27" i="470"/>
  <c r="AO33" i="470"/>
  <c r="AO25" i="470"/>
  <c r="AO29" i="470"/>
  <c r="AO30" i="470"/>
  <c r="AO32" i="470"/>
  <c r="V42" i="470"/>
  <c r="AM28" i="470"/>
  <c r="AM31" i="470"/>
  <c r="AM27" i="470"/>
  <c r="AM25" i="470"/>
  <c r="AM29" i="470"/>
  <c r="AM26" i="470"/>
  <c r="AM30" i="470"/>
  <c r="AM32" i="470"/>
  <c r="Y25" i="470"/>
  <c r="V23" i="470"/>
  <c r="V35" i="470" s="1"/>
  <c r="V22" i="470"/>
  <c r="AC26" i="470"/>
  <c r="AC27" i="470"/>
  <c r="AC25" i="470"/>
  <c r="AQ30" i="470"/>
  <c r="AQ33" i="470"/>
  <c r="AQ29" i="470"/>
  <c r="AQ34" i="470"/>
  <c r="AQ28" i="470"/>
  <c r="AQ26" i="470"/>
  <c r="AQ32" i="470"/>
  <c r="AQ25" i="470"/>
  <c r="AQ31" i="470"/>
  <c r="AQ27" i="470"/>
  <c r="AK29" i="470"/>
  <c r="AK28" i="470"/>
  <c r="AK30" i="470"/>
  <c r="AK27" i="470"/>
  <c r="AK25" i="470"/>
  <c r="AK31" i="470"/>
  <c r="AK26" i="470"/>
  <c r="V39" i="470"/>
  <c r="R37" i="470"/>
  <c r="V44" i="470"/>
  <c r="V43" i="470"/>
  <c r="V45" i="470"/>
  <c r="V47" i="470"/>
  <c r="V46" i="470"/>
  <c r="V48" i="470"/>
  <c r="AI28" i="470"/>
  <c r="AI26" i="470"/>
  <c r="AI30" i="470"/>
  <c r="AI25" i="470"/>
  <c r="AI29" i="470"/>
  <c r="AI27" i="470"/>
  <c r="AG27" i="470"/>
  <c r="AG26" i="470"/>
  <c r="AG25" i="470"/>
  <c r="AG28" i="470"/>
  <c r="AG29" i="470"/>
  <c r="V41" i="470"/>
  <c r="AE27" i="470"/>
  <c r="AE25" i="470"/>
  <c r="AE26" i="470"/>
  <c r="AE28" i="470"/>
  <c r="R26" i="468"/>
  <c r="R44" i="468"/>
  <c r="R41" i="468"/>
  <c r="R40" i="468"/>
  <c r="AD5" i="468"/>
  <c r="T11" i="468"/>
  <c r="U5" i="468"/>
  <c r="U10" i="468"/>
  <c r="U14" i="468"/>
  <c r="T19" i="468"/>
  <c r="T9" i="468"/>
  <c r="S20" i="468"/>
  <c r="T14" i="468"/>
  <c r="U16" i="468"/>
  <c r="R42" i="468"/>
  <c r="U13" i="468"/>
  <c r="T5" i="468"/>
  <c r="AC20" i="468"/>
  <c r="AE18" i="468"/>
  <c r="AD6" i="468"/>
  <c r="AE17" i="468"/>
  <c r="AE7" i="468"/>
  <c r="AD12" i="468"/>
  <c r="AD10" i="468"/>
  <c r="U17" i="468"/>
  <c r="AD18" i="468"/>
  <c r="U7" i="468"/>
  <c r="AD9" i="468"/>
  <c r="AE15" i="468"/>
  <c r="AE10" i="468"/>
  <c r="AE13" i="468"/>
  <c r="U12" i="468"/>
  <c r="U9" i="468"/>
  <c r="AE5" i="468"/>
  <c r="T15" i="468"/>
  <c r="U6" i="468"/>
  <c r="AE8" i="468"/>
  <c r="T10" i="468"/>
  <c r="AE14" i="468"/>
  <c r="T16" i="468"/>
  <c r="AD15" i="468"/>
  <c r="U18" i="468"/>
  <c r="AD17" i="468"/>
  <c r="T8" i="468"/>
  <c r="AE11" i="468"/>
  <c r="AD14" i="468"/>
  <c r="AD13" i="468"/>
  <c r="AD19" i="468"/>
  <c r="U11" i="468"/>
  <c r="U15" i="468"/>
  <c r="AE6" i="468"/>
  <c r="AE16" i="468"/>
  <c r="T17" i="468"/>
  <c r="R39" i="468"/>
  <c r="P37" i="468"/>
  <c r="T18" i="468"/>
  <c r="T12" i="468"/>
  <c r="T7" i="468"/>
  <c r="AE9" i="468"/>
  <c r="AD16" i="468"/>
  <c r="AE12" i="468"/>
  <c r="T6" i="468"/>
  <c r="U8" i="468"/>
  <c r="AD8" i="468"/>
  <c r="AD11" i="468"/>
  <c r="T13" i="468"/>
  <c r="AD7" i="468"/>
  <c r="R29" i="468"/>
  <c r="R27" i="468"/>
  <c r="P23" i="468"/>
  <c r="R30" i="468"/>
  <c r="R28" i="468"/>
  <c r="R25" i="468"/>
  <c r="Z13" i="435"/>
  <c r="AI23" i="470" l="1"/>
  <c r="AQ23" i="470"/>
  <c r="AK23" i="470"/>
  <c r="AM23" i="470"/>
  <c r="AO23" i="470"/>
  <c r="AA37" i="470"/>
  <c r="AE23" i="470"/>
  <c r="AG23" i="470"/>
  <c r="AC23" i="470"/>
  <c r="L40" i="470"/>
  <c r="AF20" i="470"/>
  <c r="AF21" i="470" s="1"/>
  <c r="L42" i="470" s="1"/>
  <c r="T21" i="470"/>
  <c r="V20" i="470"/>
  <c r="V21" i="470" s="1"/>
  <c r="L28" i="470" s="1"/>
  <c r="AQ47" i="470"/>
  <c r="AQ41" i="470"/>
  <c r="AQ39" i="470"/>
  <c r="AQ43" i="470"/>
  <c r="AQ40" i="470"/>
  <c r="AQ45" i="470"/>
  <c r="AQ42" i="470"/>
  <c r="AQ46" i="470"/>
  <c r="AQ48" i="470"/>
  <c r="AQ44" i="470"/>
  <c r="AG39" i="470"/>
  <c r="AG43" i="470"/>
  <c r="AG41" i="470"/>
  <c r="AG40" i="470"/>
  <c r="AG42" i="470"/>
  <c r="AE41" i="470"/>
  <c r="AE42" i="470"/>
  <c r="AE39" i="470"/>
  <c r="AE40" i="470"/>
  <c r="AM44" i="470"/>
  <c r="AM43" i="470"/>
  <c r="AM39" i="470"/>
  <c r="AM46" i="470"/>
  <c r="AM41" i="470"/>
  <c r="AM42" i="470"/>
  <c r="AM40" i="470"/>
  <c r="AM45" i="470"/>
  <c r="AI44" i="470"/>
  <c r="AI43" i="470"/>
  <c r="AI40" i="470"/>
  <c r="AI41" i="470"/>
  <c r="AI39" i="470"/>
  <c r="AI42" i="470"/>
  <c r="AO41" i="470"/>
  <c r="AO39" i="470"/>
  <c r="AO44" i="470"/>
  <c r="AO43" i="470"/>
  <c r="AO42" i="470"/>
  <c r="AO40" i="470"/>
  <c r="AO47" i="470"/>
  <c r="AO45" i="470"/>
  <c r="AO46" i="470"/>
  <c r="AS33" i="470"/>
  <c r="J33" i="470" s="1"/>
  <c r="AS32" i="470"/>
  <c r="J32" i="470" s="1"/>
  <c r="AS34" i="470"/>
  <c r="J34" i="470" s="1"/>
  <c r="AS25" i="470"/>
  <c r="AS27" i="470"/>
  <c r="J27" i="470" s="1"/>
  <c r="AS31" i="470"/>
  <c r="J31" i="470" s="1"/>
  <c r="AS30" i="470"/>
  <c r="J30" i="470" s="1"/>
  <c r="AS35" i="470"/>
  <c r="J35" i="470" s="1"/>
  <c r="AS28" i="470"/>
  <c r="J28" i="470" s="1"/>
  <c r="AS26" i="470"/>
  <c r="J26" i="470" s="1"/>
  <c r="AS29" i="470"/>
  <c r="J29" i="470" s="1"/>
  <c r="AC40" i="470"/>
  <c r="AC41" i="470"/>
  <c r="AC39" i="470"/>
  <c r="AK44" i="470"/>
  <c r="AK42" i="470"/>
  <c r="AK43" i="470"/>
  <c r="AK40" i="470"/>
  <c r="AK45" i="470"/>
  <c r="AK41" i="470"/>
  <c r="AK39" i="470"/>
  <c r="Y39" i="470"/>
  <c r="V37" i="470"/>
  <c r="V49" i="470" s="1"/>
  <c r="V36" i="470" s="1"/>
  <c r="Y23" i="470"/>
  <c r="AD20" i="468"/>
  <c r="AD21" i="468" s="1"/>
  <c r="L40" i="468" s="1"/>
  <c r="V28" i="468"/>
  <c r="AE25" i="468" s="1"/>
  <c r="T20" i="468"/>
  <c r="AE20" i="468"/>
  <c r="AE21" i="468" s="1"/>
  <c r="L41" i="468" s="1"/>
  <c r="U20" i="468"/>
  <c r="U21" i="468" s="1"/>
  <c r="L27" i="468" s="1"/>
  <c r="AE27" i="468"/>
  <c r="AE26" i="468"/>
  <c r="R37" i="468"/>
  <c r="V39" i="468"/>
  <c r="V48" i="468"/>
  <c r="V46" i="468"/>
  <c r="V43" i="468"/>
  <c r="V45" i="468"/>
  <c r="V47" i="468"/>
  <c r="V44" i="468"/>
  <c r="R23" i="468"/>
  <c r="V25" i="468"/>
  <c r="V34" i="468"/>
  <c r="V31" i="468"/>
  <c r="V32" i="468"/>
  <c r="V33" i="468"/>
  <c r="V30" i="468"/>
  <c r="V29" i="468"/>
  <c r="V27" i="468"/>
  <c r="V42" i="468"/>
  <c r="V40" i="468"/>
  <c r="V26" i="468"/>
  <c r="V41" i="468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S23" i="470" l="1"/>
  <c r="AE37" i="470"/>
  <c r="AS22" i="470"/>
  <c r="AC37" i="470"/>
  <c r="AI37" i="470"/>
  <c r="AM37" i="470"/>
  <c r="J25" i="470"/>
  <c r="AK37" i="470"/>
  <c r="AO37" i="470"/>
  <c r="AG37" i="470"/>
  <c r="AQ37" i="470"/>
  <c r="L26" i="470"/>
  <c r="S21" i="470"/>
  <c r="L25" i="470" s="1"/>
  <c r="AC21" i="470"/>
  <c r="L39" i="470" s="1"/>
  <c r="L37" i="470" s="1"/>
  <c r="AS49" i="470"/>
  <c r="J49" i="470" s="1"/>
  <c r="AS39" i="470"/>
  <c r="J39" i="470" s="1"/>
  <c r="AS48" i="470"/>
  <c r="J48" i="470" s="1"/>
  <c r="AS46" i="470"/>
  <c r="J46" i="470" s="1"/>
  <c r="AS47" i="470"/>
  <c r="J47" i="470" s="1"/>
  <c r="AS40" i="470"/>
  <c r="J40" i="470" s="1"/>
  <c r="AS42" i="470"/>
  <c r="J42" i="470" s="1"/>
  <c r="AS44" i="470"/>
  <c r="J44" i="470" s="1"/>
  <c r="AS45" i="470"/>
  <c r="J45" i="470" s="1"/>
  <c r="AS43" i="470"/>
  <c r="J43" i="470" s="1"/>
  <c r="AS41" i="470"/>
  <c r="J41" i="470" s="1"/>
  <c r="Y37" i="470"/>
  <c r="J23" i="470"/>
  <c r="AE28" i="468"/>
  <c r="AE23" i="468" s="1"/>
  <c r="AF20" i="468"/>
  <c r="AF21" i="468" s="1"/>
  <c r="L42" i="468" s="1"/>
  <c r="T21" i="468"/>
  <c r="V20" i="468"/>
  <c r="V21" i="468" s="1"/>
  <c r="L28" i="468" s="1"/>
  <c r="AC40" i="468"/>
  <c r="AC41" i="468"/>
  <c r="AC39" i="468"/>
  <c r="AC21" i="468"/>
  <c r="L39" i="468" s="1"/>
  <c r="AO29" i="468"/>
  <c r="AO31" i="468"/>
  <c r="AO25" i="468"/>
  <c r="AO30" i="468"/>
  <c r="AO26" i="468"/>
  <c r="AO32" i="468"/>
  <c r="AO27" i="468"/>
  <c r="AO28" i="468"/>
  <c r="AO33" i="468"/>
  <c r="AQ33" i="468"/>
  <c r="AQ29" i="468"/>
  <c r="AQ27" i="468"/>
  <c r="AQ30" i="468"/>
  <c r="AQ25" i="468"/>
  <c r="AQ26" i="468"/>
  <c r="AQ32" i="468"/>
  <c r="AQ34" i="468"/>
  <c r="AQ31" i="468"/>
  <c r="AQ28" i="468"/>
  <c r="AO41" i="468"/>
  <c r="AO46" i="468"/>
  <c r="AO45" i="468"/>
  <c r="AO39" i="468"/>
  <c r="AO40" i="468"/>
  <c r="AO43" i="468"/>
  <c r="AO42" i="468"/>
  <c r="AO44" i="468"/>
  <c r="AO47" i="468"/>
  <c r="AQ39" i="468"/>
  <c r="AQ46" i="468"/>
  <c r="AQ45" i="468"/>
  <c r="AQ42" i="468"/>
  <c r="AQ47" i="468"/>
  <c r="AQ41" i="468"/>
  <c r="AQ48" i="468"/>
  <c r="AQ44" i="468"/>
  <c r="AQ40" i="468"/>
  <c r="AQ43" i="468"/>
  <c r="AA26" i="468"/>
  <c r="AA25" i="468"/>
  <c r="AC25" i="468"/>
  <c r="AC26" i="468"/>
  <c r="AC27" i="468"/>
  <c r="V23" i="468"/>
  <c r="V35" i="468" s="1"/>
  <c r="V22" i="468" s="1"/>
  <c r="Y25" i="468"/>
  <c r="AK45" i="468"/>
  <c r="AK41" i="468"/>
  <c r="AK39" i="468"/>
  <c r="AK43" i="468"/>
  <c r="AK44" i="468"/>
  <c r="AK40" i="468"/>
  <c r="AK42" i="468"/>
  <c r="AA40" i="468"/>
  <c r="AA39" i="468"/>
  <c r="AG28" i="468"/>
  <c r="AG27" i="468"/>
  <c r="AG29" i="468"/>
  <c r="AG25" i="468"/>
  <c r="AG26" i="468"/>
  <c r="AM29" i="468"/>
  <c r="AM26" i="468"/>
  <c r="AM32" i="468"/>
  <c r="AM27" i="468"/>
  <c r="AM31" i="468"/>
  <c r="AM30" i="468"/>
  <c r="AM28" i="468"/>
  <c r="AM25" i="468"/>
  <c r="AG41" i="468"/>
  <c r="AG43" i="468"/>
  <c r="AG39" i="468"/>
  <c r="AG40" i="468"/>
  <c r="AG42" i="468"/>
  <c r="Y39" i="468"/>
  <c r="V37" i="468"/>
  <c r="V49" i="468" s="1"/>
  <c r="V36" i="468" s="1"/>
  <c r="AE41" i="468"/>
  <c r="AE39" i="468"/>
  <c r="AE42" i="468"/>
  <c r="AE40" i="468"/>
  <c r="AI26" i="468"/>
  <c r="AI27" i="468"/>
  <c r="AI29" i="468"/>
  <c r="AI25" i="468"/>
  <c r="AI30" i="468"/>
  <c r="AI28" i="468"/>
  <c r="AK30" i="468"/>
  <c r="AK28" i="468"/>
  <c r="AK31" i="468"/>
  <c r="AK29" i="468"/>
  <c r="AK25" i="468"/>
  <c r="AK26" i="468"/>
  <c r="AK27" i="468"/>
  <c r="AI41" i="468"/>
  <c r="AI43" i="468"/>
  <c r="AI39" i="468"/>
  <c r="AI44" i="468"/>
  <c r="AI40" i="468"/>
  <c r="AI42" i="468"/>
  <c r="AM43" i="468"/>
  <c r="AM44" i="468"/>
  <c r="AM46" i="468"/>
  <c r="AM45" i="468"/>
  <c r="AM42" i="468"/>
  <c r="AM41" i="468"/>
  <c r="AM40" i="468"/>
  <c r="AM39" i="468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L23" i="470" l="1"/>
  <c r="H30" i="470"/>
  <c r="H28" i="470"/>
  <c r="H33" i="470"/>
  <c r="H35" i="470"/>
  <c r="H27" i="470"/>
  <c r="H32" i="470"/>
  <c r="H25" i="470"/>
  <c r="H34" i="470"/>
  <c r="AS37" i="470"/>
  <c r="AS36" i="470" s="1"/>
  <c r="H41" i="470"/>
  <c r="BR9" i="470" s="1"/>
  <c r="H48" i="470"/>
  <c r="H26" i="470"/>
  <c r="H29" i="470"/>
  <c r="H31" i="470"/>
  <c r="H44" i="470"/>
  <c r="H42" i="470"/>
  <c r="BJ15" i="470" s="1"/>
  <c r="J37" i="470"/>
  <c r="H39" i="470"/>
  <c r="H47" i="470"/>
  <c r="BN12" i="470" s="1"/>
  <c r="H43" i="470"/>
  <c r="H49" i="470"/>
  <c r="BN6" i="470"/>
  <c r="H45" i="470"/>
  <c r="H46" i="470"/>
  <c r="H40" i="470"/>
  <c r="BR16" i="470"/>
  <c r="AA23" i="468"/>
  <c r="AA37" i="468"/>
  <c r="AO37" i="468"/>
  <c r="AK37" i="468"/>
  <c r="AI37" i="468"/>
  <c r="AM37" i="468"/>
  <c r="AQ37" i="468"/>
  <c r="AI23" i="468"/>
  <c r="AM23" i="468"/>
  <c r="AK23" i="468"/>
  <c r="AG37" i="468"/>
  <c r="AG23" i="468"/>
  <c r="AO23" i="468"/>
  <c r="AE37" i="468"/>
  <c r="AQ23" i="468"/>
  <c r="AC37" i="468"/>
  <c r="AC23" i="468"/>
  <c r="L26" i="468"/>
  <c r="S21" i="468"/>
  <c r="L25" i="468" s="1"/>
  <c r="Y37" i="468"/>
  <c r="Y23" i="468"/>
  <c r="AS46" i="468"/>
  <c r="J46" i="468" s="1"/>
  <c r="AS43" i="468"/>
  <c r="J43" i="468" s="1"/>
  <c r="AS45" i="468"/>
  <c r="J45" i="468" s="1"/>
  <c r="AS39" i="468"/>
  <c r="AS49" i="468"/>
  <c r="J49" i="468" s="1"/>
  <c r="AS40" i="468"/>
  <c r="J40" i="468" s="1"/>
  <c r="AS48" i="468"/>
  <c r="J48" i="468" s="1"/>
  <c r="AS41" i="468"/>
  <c r="J41" i="468" s="1"/>
  <c r="AS44" i="468"/>
  <c r="J44" i="468" s="1"/>
  <c r="AS47" i="468"/>
  <c r="J47" i="468" s="1"/>
  <c r="AS42" i="468"/>
  <c r="J42" i="468" s="1"/>
  <c r="AS32" i="468"/>
  <c r="J32" i="468" s="1"/>
  <c r="AS31" i="468"/>
  <c r="J31" i="468" s="1"/>
  <c r="AS28" i="468"/>
  <c r="J28" i="468" s="1"/>
  <c r="AS34" i="468"/>
  <c r="J34" i="468" s="1"/>
  <c r="AS35" i="468"/>
  <c r="J35" i="468" s="1"/>
  <c r="AS27" i="468"/>
  <c r="AS29" i="468"/>
  <c r="J29" i="468" s="1"/>
  <c r="AS30" i="468"/>
  <c r="J30" i="468" s="1"/>
  <c r="AS25" i="468"/>
  <c r="AS26" i="468"/>
  <c r="J26" i="468" s="1"/>
  <c r="AS33" i="468"/>
  <c r="J33" i="468" s="1"/>
  <c r="J27" i="468"/>
  <c r="L37" i="468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R20" i="470" l="1"/>
  <c r="H23" i="470"/>
  <c r="BR26" i="470"/>
  <c r="BN4" i="470"/>
  <c r="BR25" i="470"/>
  <c r="BN9" i="470"/>
  <c r="BJ36" i="470"/>
  <c r="BJ54" i="470"/>
  <c r="BR33" i="470"/>
  <c r="BR47" i="470"/>
  <c r="BJ46" i="470"/>
  <c r="BR41" i="470"/>
  <c r="BJ47" i="470"/>
  <c r="BR5" i="470"/>
  <c r="BJ5" i="470"/>
  <c r="BR27" i="470"/>
  <c r="BJ18" i="470"/>
  <c r="BJ55" i="470"/>
  <c r="BJ52" i="470"/>
  <c r="BJ12" i="470"/>
  <c r="BJ32" i="470"/>
  <c r="BR44" i="470"/>
  <c r="BJ25" i="470"/>
  <c r="BN13" i="470"/>
  <c r="BR36" i="470"/>
  <c r="BR23" i="470"/>
  <c r="BJ8" i="470"/>
  <c r="BJ42" i="470"/>
  <c r="BR29" i="470"/>
  <c r="BJ57" i="470"/>
  <c r="BJ29" i="470"/>
  <c r="BJ23" i="470"/>
  <c r="BJ22" i="470"/>
  <c r="BR42" i="470"/>
  <c r="BJ19" i="470"/>
  <c r="BJ16" i="470"/>
  <c r="BN5" i="470"/>
  <c r="BR34" i="470"/>
  <c r="BJ20" i="470"/>
  <c r="BJ17" i="470"/>
  <c r="BJ21" i="470"/>
  <c r="BR17" i="470"/>
  <c r="BN7" i="470"/>
  <c r="BR21" i="470"/>
  <c r="BN11" i="470"/>
  <c r="BJ59" i="470"/>
  <c r="BJ58" i="470"/>
  <c r="BJ28" i="470"/>
  <c r="BJ56" i="470"/>
  <c r="BJ48" i="470"/>
  <c r="BJ45" i="470"/>
  <c r="BR12" i="470"/>
  <c r="BR43" i="470"/>
  <c r="BR13" i="470"/>
  <c r="BJ38" i="470"/>
  <c r="BJ35" i="470"/>
  <c r="BJ14" i="470"/>
  <c r="BR14" i="470"/>
  <c r="BR39" i="470"/>
  <c r="BR31" i="470"/>
  <c r="BR28" i="470"/>
  <c r="BR30" i="470"/>
  <c r="BR18" i="470"/>
  <c r="BJ24" i="470"/>
  <c r="BR45" i="470"/>
  <c r="BR24" i="470"/>
  <c r="BR7" i="470"/>
  <c r="BJ26" i="470"/>
  <c r="BJ33" i="470"/>
  <c r="BR8" i="470"/>
  <c r="BR22" i="470"/>
  <c r="BJ50" i="470"/>
  <c r="BJ40" i="470"/>
  <c r="BJ43" i="470"/>
  <c r="BJ6" i="470"/>
  <c r="BJ10" i="470"/>
  <c r="BR46" i="470"/>
  <c r="BR40" i="470"/>
  <c r="BR35" i="470"/>
  <c r="BR37" i="470"/>
  <c r="BR6" i="470"/>
  <c r="BJ27" i="470"/>
  <c r="BJ30" i="470"/>
  <c r="BJ34" i="470"/>
  <c r="BJ37" i="470"/>
  <c r="BJ49" i="470"/>
  <c r="BN8" i="470"/>
  <c r="BJ41" i="470"/>
  <c r="BR10" i="470"/>
  <c r="BJ13" i="470"/>
  <c r="BJ7" i="470"/>
  <c r="BN14" i="470"/>
  <c r="BR15" i="470"/>
  <c r="BJ44" i="470"/>
  <c r="BR32" i="470"/>
  <c r="BR38" i="470"/>
  <c r="BJ31" i="470"/>
  <c r="BN10" i="470"/>
  <c r="BJ51" i="470"/>
  <c r="BR11" i="470"/>
  <c r="BJ39" i="470"/>
  <c r="BJ9" i="470"/>
  <c r="BR19" i="470"/>
  <c r="BJ53" i="470"/>
  <c r="H37" i="470"/>
  <c r="BR4" i="470"/>
  <c r="BJ4" i="470"/>
  <c r="BJ11" i="470"/>
  <c r="AS37" i="468"/>
  <c r="L23" i="468"/>
  <c r="AS23" i="468"/>
  <c r="H48" i="468"/>
  <c r="H33" i="468"/>
  <c r="H29" i="468"/>
  <c r="H44" i="468"/>
  <c r="H46" i="468"/>
  <c r="H43" i="468"/>
  <c r="BR35" i="468" s="1"/>
  <c r="H31" i="468"/>
  <c r="H30" i="468"/>
  <c r="H47" i="468"/>
  <c r="H32" i="468"/>
  <c r="H34" i="468"/>
  <c r="AS22" i="468"/>
  <c r="AS36" i="468"/>
  <c r="J39" i="468"/>
  <c r="H49" i="468"/>
  <c r="H45" i="468"/>
  <c r="H35" i="468"/>
  <c r="J25" i="468"/>
  <c r="H26" i="468" s="1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39" i="470" l="1"/>
  <c r="B37" i="470"/>
  <c r="B38" i="470"/>
  <c r="BN12" i="468"/>
  <c r="BR38" i="468"/>
  <c r="BJ43" i="468"/>
  <c r="BJ57" i="468"/>
  <c r="BR36" i="468"/>
  <c r="BJ40" i="468"/>
  <c r="BJ38" i="468"/>
  <c r="BJ42" i="468"/>
  <c r="BJ39" i="468"/>
  <c r="BN14" i="468"/>
  <c r="BJ22" i="468"/>
  <c r="BJ16" i="468"/>
  <c r="BJ18" i="468"/>
  <c r="BJ20" i="468"/>
  <c r="BJ19" i="468"/>
  <c r="BJ17" i="468"/>
  <c r="BJ21" i="468"/>
  <c r="J37" i="468"/>
  <c r="H39" i="468"/>
  <c r="BR14" i="468" s="1"/>
  <c r="BJ48" i="468"/>
  <c r="BJ47" i="468"/>
  <c r="BJ46" i="468"/>
  <c r="BR18" i="468"/>
  <c r="BJ45" i="468"/>
  <c r="BN9" i="468"/>
  <c r="BJ44" i="468"/>
  <c r="BJ53" i="468"/>
  <c r="BJ51" i="468"/>
  <c r="BJ52" i="468"/>
  <c r="BJ50" i="468"/>
  <c r="BR22" i="468"/>
  <c r="BN10" i="468"/>
  <c r="BR23" i="468"/>
  <c r="H28" i="468"/>
  <c r="H42" i="468"/>
  <c r="BR21" i="468" s="1"/>
  <c r="BJ59" i="468"/>
  <c r="BR45" i="468"/>
  <c r="BR44" i="468"/>
  <c r="BR43" i="468"/>
  <c r="BR47" i="468"/>
  <c r="BR46" i="468"/>
  <c r="BN13" i="468"/>
  <c r="BR37" i="468"/>
  <c r="BJ41" i="468"/>
  <c r="BJ55" i="468"/>
  <c r="BJ56" i="468"/>
  <c r="BJ54" i="468"/>
  <c r="BR29" i="468"/>
  <c r="BR28" i="468"/>
  <c r="BR30" i="468"/>
  <c r="BN11" i="468"/>
  <c r="BJ58" i="468"/>
  <c r="H41" i="468"/>
  <c r="BR16" i="468" s="1"/>
  <c r="BN8" i="468"/>
  <c r="J23" i="468"/>
  <c r="H25" i="468"/>
  <c r="H27" i="468"/>
  <c r="H40" i="468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36" i="470" l="1"/>
  <c r="BR24" i="468"/>
  <c r="BR39" i="468"/>
  <c r="BJ49" i="468"/>
  <c r="BR27" i="468"/>
  <c r="BR42" i="468"/>
  <c r="BR11" i="468"/>
  <c r="BR32" i="468"/>
  <c r="BR26" i="468"/>
  <c r="BR25" i="468"/>
  <c r="BJ35" i="468"/>
  <c r="BJ33" i="468"/>
  <c r="BJ37" i="468"/>
  <c r="BJ36" i="468"/>
  <c r="BJ32" i="468"/>
  <c r="BJ31" i="468"/>
  <c r="BN7" i="468"/>
  <c r="BJ34" i="468"/>
  <c r="BR9" i="468"/>
  <c r="BR7" i="468"/>
  <c r="BR8" i="468"/>
  <c r="BR19" i="468"/>
  <c r="BR15" i="468"/>
  <c r="BR4" i="468"/>
  <c r="BJ30" i="468"/>
  <c r="BJ26" i="468"/>
  <c r="BJ29" i="468"/>
  <c r="BJ23" i="468"/>
  <c r="BJ25" i="468"/>
  <c r="BJ28" i="468"/>
  <c r="BR5" i="468"/>
  <c r="BJ24" i="468"/>
  <c r="BR6" i="468"/>
  <c r="BJ27" i="468"/>
  <c r="BN6" i="468"/>
  <c r="BR12" i="468"/>
  <c r="BR33" i="468"/>
  <c r="BR40" i="468"/>
  <c r="BR20" i="468"/>
  <c r="BN5" i="468"/>
  <c r="BJ14" i="468"/>
  <c r="H23" i="468"/>
  <c r="BJ12" i="468"/>
  <c r="BJ11" i="468"/>
  <c r="BJ4" i="468"/>
  <c r="BJ6" i="468"/>
  <c r="BJ10" i="468"/>
  <c r="BJ13" i="468"/>
  <c r="BJ9" i="468"/>
  <c r="BJ7" i="468"/>
  <c r="BJ8" i="468"/>
  <c r="BJ5" i="468"/>
  <c r="BN4" i="468"/>
  <c r="BR41" i="468"/>
  <c r="BR34" i="468"/>
  <c r="BR13" i="468"/>
  <c r="BR17" i="468"/>
  <c r="H37" i="468"/>
  <c r="BR10" i="468"/>
  <c r="BR31" i="468"/>
  <c r="BJ15" i="468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7" i="468" l="1"/>
  <c r="B39" i="468"/>
  <c r="B38" i="468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68" l="1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T10" i="285" l="1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<sst xmlns="http://schemas.openxmlformats.org/spreadsheetml/2006/main" count="1113" uniqueCount="155">
  <si>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</si>
  <si>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</si>
  <si>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</si>
  <si>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</si>
  <si>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</si>
  <si>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</si>
  <si>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</si>
  <si>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</si>
  <si>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</si>
  <si>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</si>
  <si>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</si>
  <si>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</si>
  <si>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</si>
  <si>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</si>
  <si>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</si>
  <si>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</si>
  <si>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</si>
  <si>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</si>
  <si>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</si>
  <si>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</si>
  <si>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</si>
  <si>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</si>
  <si>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</si>
  <si>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</si>
  <si>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</si>
  <si>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</si>
  <si>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</si>
  <si>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</si>
  <si>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</si>
  <si>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</si>
  <si>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</si>
  <si>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</si>
  <si>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</si>
  <si>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</si>
  <si>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</si>
  <si>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</si>
  <si>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</si>
  <si>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</si>
  <si>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</si>
  <si>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</si>
  <si>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</si>
  <si>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</si>
  <si>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</si>
  <si>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</si>
  <si>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</si>
  <si>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</si>
  <si>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</si>
  <si>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</si>
  <si>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</si>
  <si>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</si>
  <si>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</si>
  <si>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</si>
  <si>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</si>
  <si>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</si>
  <si>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</si>
  <si>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</si>
  <si>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</si>
  <si>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</si>
  <si>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</si>
  <si>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</si>
  <si>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</si>
  <si>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</si>
  <si>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</si>
  <si>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</si>
  <si>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</si>
  <si>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</si>
  <si>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</si>
  <si>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</si>
  <si>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</si>
  <si>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</si>
  <si>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</si>
  <si>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</si>
  <si>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</si>
  <si>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</si>
  <si>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</si>
  <si>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</si>
  <si>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</si>
  <si>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</si>
  <si>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</si>
  <si>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</si>
  <si>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</si>
  <si>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</si>
  <si>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</si>
  <si>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</si>
  <si>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</si>
  <si>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</si>
  <si>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</si>
  <si>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</si>
  <si>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</si>
  <si>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</si>
  <si>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</si>
  <si>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</si>
  <si>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</si>
  <si>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</si>
  <si>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</si>
  <si>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</si>
  <si>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</si>
  <si>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</si>
  <si>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</si>
  <si>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</si>
  <si>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</si>
  <si>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</si>
  <si>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</si>
  <si>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</si>
  <si>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</si>
  <si>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</si>
  <si>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</si>
  <si>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</si>
  <si>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</si>
  <si>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</si>
  <si>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</si>
  <si>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</si>
  <si>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</si>
  <si>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</si>
  <si>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</si>
  <si>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</si>
  <si>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</si>
  <si>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</si>
  <si>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</si>
  <si>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</si>
  <si>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</si>
  <si>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</si>
  <si>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</si>
  <si>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</si>
  <si>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</si>
  <si>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</si>
  <si>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</si>
  <si>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</si>
  <si>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</si>
  <si>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</si>
  <si>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</si>
  <si>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</si>
  <si>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</si>
  <si>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</si>
  <si>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</si>
  <si>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</si>
  <si>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</si>
  <si>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</si>
  <si>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</si>
  <si>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</si>
  <si>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</si>
  <si>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</si>
  <si>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</si>
  <si>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</si>
  <si>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</si>
  <si>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</si>
  <si>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</si>
  <si>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</si>
  <si>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</si>
  <si>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</si>
  <si>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TL</t>
  </si>
  <si>
    <t>Orienteers</t>
  </si>
  <si>
    <t>AOW</t>
  </si>
  <si>
    <t>Palencia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</si>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</sst>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'OBIWAN-Orinteers'!$G$25:$G$35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'OBIWAN-Orinteers'!$H$25:$H$35</c:f>
              <c:numCache>
                <c:formatCode>0.0%</c:formatCode>
                <c:ptCount val="11"/>
                <c:pt idx="0">
                  <c:v>0.1211083740886893</c:v>
                </c:pt>
                <c:pt idx="1">
                  <c:v>0.27716273762468996</c:v>
                </c:pt>
                <c:pt idx="2">
                  <c:v>0.29298994742192286</c:v>
                </c:pt>
                <c:pt idx="3">
                  <c:v>0.18971269640384864</c:v>
                </c:pt>
                <c:pt idx="4">
                  <c:v>8.411536271310556E-2</c:v>
                </c:pt>
                <c:pt idx="5">
                  <c:v>2.7036380294892363E-2</c:v>
                </c:pt>
                <c:pt idx="6">
                  <c:v>6.501203698527783E-3</c:v>
                </c:pt>
                <c:pt idx="7">
                  <c:v>1.1884720745820791E-3</c:v>
                </c:pt>
                <c:pt idx="8">
                  <c:v>1.6585055016220515E-4</c:v>
                </c:pt>
                <c:pt idx="9">
                  <c:v>1.7527108812462658E-5</c:v>
                </c:pt>
                <c:pt idx="10">
                  <c:v>1.3699259260558894E-6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'OBIWAN-Orinteers'!$H$39:$H$49</c:f>
              <c:numCache>
                <c:formatCode>0.0%</c:formatCode>
                <c:ptCount val="11"/>
                <c:pt idx="0">
                  <c:v>4.1984437600272977E-2</c:v>
                </c:pt>
                <c:pt idx="1">
                  <c:v>0.16701674497253305</c:v>
                </c:pt>
                <c:pt idx="2">
                  <c:v>0.2747672795063606</c:v>
                </c:pt>
                <c:pt idx="3">
                  <c:v>0.25936034217879606</c:v>
                </c:pt>
                <c:pt idx="4">
                  <c:v>0.16014719318434101</c:v>
                </c:pt>
                <c:pt idx="5">
                  <c:v>6.9132531485514695E-2</c:v>
                </c:pt>
                <c:pt idx="6">
                  <c:v>2.1628146334126443E-2</c:v>
                </c:pt>
                <c:pt idx="7">
                  <c:v>4.991986007759925E-3</c:v>
                </c:pt>
                <c:pt idx="8">
                  <c:v>8.5376650956513547E-4</c:v>
                </c:pt>
                <c:pt idx="9">
                  <c:v>1.0728753768780315E-4</c:v>
                </c:pt>
                <c:pt idx="10">
                  <c:v>9.6676777792887202E-6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830576"/>
        <c:axId val="293830968"/>
      </c:lineChart>
      <c:catAx>
        <c:axId val="29383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830968"/>
        <c:crosses val="autoZero"/>
        <c:auto val="1"/>
        <c:lblAlgn val="ctr"/>
        <c:lblOffset val="100"/>
        <c:noMultiLvlLbl val="0"/>
      </c:catAx>
      <c:valAx>
        <c:axId val="293830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83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'OBIWAN-Orinteers'!$B$37:$B$39</c:f>
              <c:numCache>
                <c:formatCode>0.0%</c:formatCode>
                <c:ptCount val="3"/>
                <c:pt idx="0">
                  <c:v>0.19657010383776058</c:v>
                </c:pt>
                <c:pt idx="1">
                  <c:v>0.54443570645269335</c:v>
                </c:pt>
                <c:pt idx="2">
                  <c:v>0.25899212469765381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'Palencia-VADER'!$G$25:$G$35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'Palencia-VADER'!$H$25:$H$35</c:f>
              <c:numCache>
                <c:formatCode>0.0%</c:formatCode>
                <c:ptCount val="11"/>
                <c:pt idx="0">
                  <c:v>0.12420246670182408</c:v>
                </c:pt>
                <c:pt idx="1">
                  <c:v>0.29027041710547752</c:v>
                </c:pt>
                <c:pt idx="2">
                  <c:v>0.2990101778404804</c:v>
                </c:pt>
                <c:pt idx="3">
                  <c:v>0.18342343341886611</c:v>
                </c:pt>
                <c:pt idx="4">
                  <c:v>7.5442359769863465E-2</c:v>
                </c:pt>
                <c:pt idx="5">
                  <c:v>2.2066129853625788E-2</c:v>
                </c:pt>
                <c:pt idx="6">
                  <c:v>4.7325581111455602E-3</c:v>
                </c:pt>
                <c:pt idx="7">
                  <c:v>7.5458403847068907E-4</c:v>
                </c:pt>
                <c:pt idx="8">
                  <c:v>8.9543037627753675E-5</c:v>
                </c:pt>
                <c:pt idx="9">
                  <c:v>7.8195586082606331E-6</c:v>
                </c:pt>
                <c:pt idx="10">
                  <c:v>4.8920663954558192E-7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'Palencia-VADER'!$H$39:$H$49</c:f>
              <c:numCache>
                <c:formatCode>0.0%</c:formatCode>
                <c:ptCount val="11"/>
                <c:pt idx="0">
                  <c:v>0.12953895247734246</c:v>
                </c:pt>
                <c:pt idx="1">
                  <c:v>0.2874157275779155</c:v>
                </c:pt>
                <c:pt idx="2">
                  <c:v>0.29275453210326086</c:v>
                </c:pt>
                <c:pt idx="3">
                  <c:v>0.18232925556722224</c:v>
                </c:pt>
                <c:pt idx="4">
                  <c:v>7.7618905641963068E-2</c:v>
                </c:pt>
                <c:pt idx="5">
                  <c:v>2.384754709746183E-2</c:v>
                </c:pt>
                <c:pt idx="6">
                  <c:v>5.4347400501060742E-3</c:v>
                </c:pt>
                <c:pt idx="7">
                  <c:v>9.2914662751771059E-4</c:v>
                </c:pt>
                <c:pt idx="8">
                  <c:v>1.1908264147218766E-4</c:v>
                </c:pt>
                <c:pt idx="9">
                  <c:v>1.1300345878589818E-5</c:v>
                </c:pt>
                <c:pt idx="10">
                  <c:v>7.726600147764186E-7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47544"/>
        <c:axId val="305048328"/>
      </c:lineChart>
      <c:catAx>
        <c:axId val="30504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48328"/>
        <c:crosses val="autoZero"/>
        <c:auto val="1"/>
        <c:lblAlgn val="ctr"/>
        <c:lblOffset val="100"/>
        <c:noMultiLvlLbl val="0"/>
      </c:catAx>
      <c:valAx>
        <c:axId val="305048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504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'Palencia-VADER'!$B$37:$B$39</c:f>
              <c:numCache>
                <c:formatCode>0.0%</c:formatCode>
                <c:ptCount val="3"/>
                <c:pt idx="0">
                  <c:v>0.22690579190443144</c:v>
                </c:pt>
                <c:pt idx="1">
                  <c:v>0.38700736474536085</c:v>
                </c:pt>
                <c:pt idx="2">
                  <c:v>0.38608629557675006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826264"/>
        <c:axId val="293832928"/>
      </c:lineChart>
      <c:catAx>
        <c:axId val="29382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832928"/>
        <c:crosses val="autoZero"/>
        <c:auto val="1"/>
        <c:lblAlgn val="ctr"/>
        <c:lblOffset val="100"/>
        <c:noMultiLvlLbl val="0"/>
      </c:catAx>
      <c:valAx>
        <c:axId val="293832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8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833712"/>
        <c:axId val="293833320"/>
      </c:lineChart>
      <c:catAx>
        <c:axId val="29383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833320"/>
        <c:crosses val="autoZero"/>
        <c:auto val="1"/>
        <c:lblAlgn val="ctr"/>
        <c:lblOffset val="100"/>
        <c:noMultiLvlLbl val="0"/>
      </c:catAx>
      <c:valAx>
        <c:axId val="2938333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83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57936"/>
        <c:axId val="291858328"/>
      </c:lineChart>
      <c:catAx>
        <c:axId val="29185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58328"/>
        <c:crosses val="autoZero"/>
        <c:auto val="1"/>
        <c:lblAlgn val="ctr"/>
        <c:lblOffset val="100"/>
        <c:noMultiLvlLbl val="0"/>
      </c:catAx>
      <c:valAx>
        <c:axId val="291858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85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H12" sqref="H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143</v>
      </c>
      <c r="B1" t="s">
        <v>146</v>
      </c>
      <c r="F1" s="10" t="s">
        <v>123</v>
      </c>
      <c r="G1" s="70">
        <f>IF(D3="SI",COUNTIF($F$6:$F$18,"RAP"),0)</f>
        <v>1</v>
      </c>
      <c r="H1" s="70">
        <f>G1+G2+G3</f>
        <v>5</v>
      </c>
      <c r="J1" s="11" t="s">
        <v>123</v>
      </c>
      <c r="K1" s="70">
        <f>IF(D3="SI",COUNTIF($J$6:$J$18,"RAP"),0)</f>
        <v>1</v>
      </c>
      <c r="L1" s="70">
        <f>K1+K2+K3</f>
        <v>2</v>
      </c>
      <c r="M1" s="150">
        <f>L1+H1</f>
        <v>7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151</v>
      </c>
      <c r="B2" t="s">
        <v>146</v>
      </c>
      <c r="F2" s="10" t="s">
        <v>21</v>
      </c>
      <c r="G2" s="70">
        <f>IF(D3="SI",COUNTIF($F$6:$F$18,"TEC"),0)</f>
        <v>4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112</v>
      </c>
      <c r="C3" s="200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1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2.022712642920875E-2</v>
      </c>
      <c r="BL4">
        <v>0</v>
      </c>
      <c r="BM4">
        <v>0</v>
      </c>
      <c r="BN4" s="107">
        <f>H25*H39</f>
        <v>5.0846669747970927E-3</v>
      </c>
      <c r="BP4">
        <v>1</v>
      </c>
      <c r="BQ4">
        <v>0</v>
      </c>
      <c r="BR4" s="107">
        <f>$H$26*H39</f>
        <v>1.1636521662924627E-2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8.2358091022742413E-3</v>
      </c>
      <c r="S5" s="176">
        <f>(1-R5)</f>
        <v>0.99176419089772572</v>
      </c>
      <c r="T5" s="177">
        <f>R5*PRODUCT(S6:S19)</f>
        <v>6.0356087643114384E-3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1.9271256951114472E-3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3.3276618473787774E-2</v>
      </c>
      <c r="BL5">
        <v>1</v>
      </c>
      <c r="BM5">
        <v>1</v>
      </c>
      <c r="BN5" s="107">
        <f>$H$26*H40</f>
        <v>4.6290818265751932E-2</v>
      </c>
      <c r="BP5">
        <f>BP4+1</f>
        <v>2</v>
      </c>
      <c r="BQ5">
        <v>0</v>
      </c>
      <c r="BR5" s="107">
        <f>$H$27*H39</f>
        <v>1.2301018165042981E-2</v>
      </c>
    </row>
    <row r="6" spans="1:70" x14ac:dyDescent="0.25">
      <c r="A6" s="2" t="s">
        <v>1</v>
      </c>
      <c r="B6" s="168">
        <v>10.25</v>
      </c>
      <c r="C6" s="169">
        <v>12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8.2358091022742413E-3</v>
      </c>
      <c r="S6" s="176">
        <f t="shared" ref="S6:S19" si="2">(1-R6)</f>
        <v>0.99176419089772572</v>
      </c>
      <c r="T6" s="177">
        <f>R6*S5*PRODUCT(S7:S19)</f>
        <v>6.0356087643114367E-3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1.8770047872836623E-3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3.1410709344360091E-2</v>
      </c>
      <c r="BL6">
        <f>BH14+1</f>
        <v>2</v>
      </c>
      <c r="BM6">
        <v>2</v>
      </c>
      <c r="BN6" s="107">
        <f>$H$27*H41</f>
        <v>8.0504050775833377E-2</v>
      </c>
      <c r="BP6">
        <f>BL5+1</f>
        <v>2</v>
      </c>
      <c r="BQ6">
        <v>1</v>
      </c>
      <c r="BR6" s="107">
        <f>$H$27*H40</f>
        <v>4.8934227328083155E-2</v>
      </c>
    </row>
    <row r="7" spans="1:70" x14ac:dyDescent="0.25">
      <c r="A7" s="5" t="s">
        <v>2</v>
      </c>
      <c r="B7" s="168">
        <v>15</v>
      </c>
      <c r="C7" s="169">
        <v>12.25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1.9395166181422764E-2</v>
      </c>
      <c r="BL7">
        <f>BH23+1</f>
        <v>3</v>
      </c>
      <c r="BM7">
        <v>3</v>
      </c>
      <c r="BN7" s="107">
        <f>$H$28*H42</f>
        <v>4.9203949854964235E-2</v>
      </c>
      <c r="BP7">
        <f>BP5+1</f>
        <v>3</v>
      </c>
      <c r="BQ7">
        <v>0</v>
      </c>
      <c r="BR7" s="107">
        <f>$H$28*H39</f>
        <v>7.9649808641469137E-3</v>
      </c>
    </row>
    <row r="8" spans="1:70" x14ac:dyDescent="0.25">
      <c r="A8" s="5" t="s">
        <v>3</v>
      </c>
      <c r="B8" s="168">
        <v>11.75</v>
      </c>
      <c r="C8" s="169">
        <v>14.25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4.8445935895730825E-3</v>
      </c>
      <c r="S8" s="176">
        <f t="shared" si="2"/>
        <v>0.99515540641042688</v>
      </c>
      <c r="T8" s="177">
        <f>R8*PRODUCT(S5:S7)*PRODUCT(S9:S19)</f>
        <v>3.5382594541950715E-3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1.0831330480994014E-3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8.3725284848458047E-3</v>
      </c>
      <c r="BL8">
        <f>BH31+1</f>
        <v>4</v>
      </c>
      <c r="BM8">
        <v>4</v>
      </c>
      <c r="BN8" s="107">
        <f>$H$29*H43</f>
        <v>1.347083924218663E-2</v>
      </c>
      <c r="BP8">
        <f>BP6+1</f>
        <v>3</v>
      </c>
      <c r="BQ8">
        <v>1</v>
      </c>
      <c r="BR8" s="107">
        <f>$H$28*H40</f>
        <v>3.1685197033333175E-2</v>
      </c>
    </row>
    <row r="9" spans="1:70" x14ac:dyDescent="0.25">
      <c r="A9" s="5" t="s">
        <v>4</v>
      </c>
      <c r="B9" s="168">
        <v>15.5</v>
      </c>
      <c r="C9" s="169">
        <v>16</v>
      </c>
      <c r="E9" s="192" t="s">
        <v>18</v>
      </c>
      <c r="F9" s="167"/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2.6193496370782994E-3</v>
      </c>
      <c r="BL9">
        <f>BH38+1</f>
        <v>5</v>
      </c>
      <c r="BM9">
        <v>5</v>
      </c>
      <c r="BN9" s="107">
        <f>$H$30*H44</f>
        <v>1.8690934119909954E-3</v>
      </c>
      <c r="BP9">
        <f>BL6+1</f>
        <v>3</v>
      </c>
      <c r="BQ9">
        <v>2</v>
      </c>
      <c r="BR9" s="107">
        <f>$H$28*H41</f>
        <v>5.2126841478701606E-2</v>
      </c>
    </row>
    <row r="10" spans="1:70" x14ac:dyDescent="0.25">
      <c r="A10" s="6" t="s">
        <v>5</v>
      </c>
      <c r="B10" s="168">
        <v>14.25</v>
      </c>
      <c r="C10" s="169">
        <v>12.25</v>
      </c>
      <c r="E10" s="192" t="s">
        <v>17</v>
      </c>
      <c r="F10" s="167" t="s">
        <v>144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4.9414854613645441E-2</v>
      </c>
      <c r="S10" s="176">
        <f t="shared" si="2"/>
        <v>0.95058514538635452</v>
      </c>
      <c r="T10" s="177">
        <f>R10*PRODUCT(S5:S9)*PRODUCT(S11:S19)</f>
        <v>3.7782416473253345E-2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9.6018980054933152E-3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5.7851537108658077E-2</v>
      </c>
      <c r="AC10" s="176">
        <f t="shared" si="5"/>
        <v>0.94214846289134191</v>
      </c>
      <c r="AD10" s="177">
        <f>AB10*PRODUCT(AC5:AC9)*PRODUCT(AC11:AC19)</f>
        <v>2.0443077456260419E-2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3.3051432942899528E-2</v>
      </c>
      <c r="BH10">
        <v>0</v>
      </c>
      <c r="BI10">
        <v>7</v>
      </c>
      <c r="BJ10" s="107">
        <f t="shared" si="0"/>
        <v>6.0457130887329167E-4</v>
      </c>
      <c r="BL10">
        <f>BH44+1</f>
        <v>6</v>
      </c>
      <c r="BM10">
        <v>6</v>
      </c>
      <c r="BN10" s="107">
        <f>$H$31*H45</f>
        <v>1.4060898493972295E-4</v>
      </c>
      <c r="BP10">
        <f>BP7+1</f>
        <v>4</v>
      </c>
      <c r="BQ10">
        <v>0</v>
      </c>
      <c r="BR10" s="107">
        <f>$H$29*H39</f>
        <v>3.5315361970527084E-3</v>
      </c>
    </row>
    <row r="11" spans="1:70" x14ac:dyDescent="0.25">
      <c r="A11" s="6" t="s">
        <v>6</v>
      </c>
      <c r="B11" s="168">
        <v>8.75</v>
      </c>
      <c r="C11" s="169">
        <v>9.5</v>
      </c>
      <c r="E11" s="192" t="s">
        <v>19</v>
      </c>
      <c r="F11" s="167" t="s">
        <v>21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4.9414854613645441E-2</v>
      </c>
      <c r="S11" s="176">
        <f t="shared" si="2"/>
        <v>0.95058514538635452</v>
      </c>
      <c r="T11" s="177">
        <f>R11*PRODUCT(S5:S10)*PRODUCT(S12:S19)</f>
        <v>3.7782416473253345E-2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7.6378313187377683E-3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5.7851537108658077E-2</v>
      </c>
      <c r="AC11" s="176">
        <f t="shared" si="5"/>
        <v>0.94214846289134191</v>
      </c>
      <c r="AD11" s="177">
        <f>AB11*PRODUCT(AC5:AC10)*PRODUCT(AC12:AC19)</f>
        <v>2.0443077456260415E-2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3.1796149406750067E-2</v>
      </c>
      <c r="BH11">
        <v>0</v>
      </c>
      <c r="BI11">
        <v>8</v>
      </c>
      <c r="BJ11" s="107">
        <f t="shared" si="0"/>
        <v>1.0339827382480895E-4</v>
      </c>
      <c r="BL11">
        <f>BH50+1</f>
        <v>7</v>
      </c>
      <c r="BM11">
        <v>7</v>
      </c>
      <c r="BN11" s="107">
        <f>$H$32*H46</f>
        <v>5.9328359669271491E-6</v>
      </c>
      <c r="BP11">
        <f>BP8+1</f>
        <v>4</v>
      </c>
      <c r="BQ11">
        <v>1</v>
      </c>
      <c r="BR11" s="107">
        <f>$H$29*H40</f>
        <v>1.4048674082526866E-2</v>
      </c>
    </row>
    <row r="12" spans="1:70" x14ac:dyDescent="0.25">
      <c r="A12" s="6" t="s">
        <v>7</v>
      </c>
      <c r="B12" s="168">
        <v>15.5</v>
      </c>
      <c r="C12" s="169">
        <v>11</v>
      </c>
      <c r="E12" s="192" t="s">
        <v>19</v>
      </c>
      <c r="F12" s="167" t="s">
        <v>16</v>
      </c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1.2993419249348816E-5</v>
      </c>
      <c r="BL12">
        <f>BH54+1</f>
        <v>8</v>
      </c>
      <c r="BM12">
        <v>8</v>
      </c>
      <c r="BN12" s="107">
        <f>$H$33*H47</f>
        <v>1.4159764532144329E-7</v>
      </c>
      <c r="BP12">
        <f>BP9+1</f>
        <v>4</v>
      </c>
      <c r="BQ12">
        <v>2</v>
      </c>
      <c r="BR12" s="107">
        <f>$H$29*H41</f>
        <v>2.3112149377370779E-2</v>
      </c>
    </row>
    <row r="13" spans="1:70" x14ac:dyDescent="0.25">
      <c r="A13" s="7" t="s">
        <v>8</v>
      </c>
      <c r="B13" s="168">
        <v>13</v>
      </c>
      <c r="C13" s="169">
        <v>10.25</v>
      </c>
      <c r="E13" s="192" t="s">
        <v>19</v>
      </c>
      <c r="F13" s="167" t="s">
        <v>21</v>
      </c>
      <c r="G13" s="167"/>
      <c r="H13" s="10"/>
      <c r="I13" s="10"/>
      <c r="J13" s="166" t="s">
        <v>131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4.0371613246442353E-2</v>
      </c>
      <c r="S13" s="176">
        <f t="shared" si="2"/>
        <v>0.95962838675355766</v>
      </c>
      <c r="T13" s="177">
        <f>R13*PRODUCT(S5:S12)*PRODUCT(S14:S19)</f>
        <v>3.057709694128791E-2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4.8948739197672651E-3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4.7264327703152025E-2</v>
      </c>
      <c r="AC13" s="176">
        <f t="shared" si="5"/>
        <v>0.95273567229684797</v>
      </c>
      <c r="AD13" s="177">
        <f>AB13*PRODUCT(AC5:AC12)*PRODUCT(AC14:AC19)</f>
        <v>1.6516262392894838E-2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2.4869219525281306E-2</v>
      </c>
      <c r="BH13">
        <v>0</v>
      </c>
      <c r="BI13">
        <v>10</v>
      </c>
      <c r="BJ13" s="107">
        <f t="shared" si="0"/>
        <v>1.1708367370630072E-6</v>
      </c>
      <c r="BL13">
        <f>BH57+1</f>
        <v>9</v>
      </c>
      <c r="BM13">
        <v>9</v>
      </c>
      <c r="BN13" s="107">
        <f>$H$34*H48</f>
        <v>1.8804403472753141E-9</v>
      </c>
      <c r="BP13">
        <f>BL7+1</f>
        <v>4</v>
      </c>
      <c r="BQ13">
        <v>3</v>
      </c>
      <c r="BR13" s="107">
        <f>$H$29*H42</f>
        <v>2.18161892557646E-2</v>
      </c>
    </row>
    <row r="14" spans="1:70" x14ac:dyDescent="0.25">
      <c r="A14" s="7" t="s">
        <v>9</v>
      </c>
      <c r="B14" s="168">
        <v>11</v>
      </c>
      <c r="C14" s="169">
        <v>8.5</v>
      </c>
      <c r="E14" s="192" t="s">
        <v>20</v>
      </c>
      <c r="F14" s="167" t="s">
        <v>147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9.5000000000000001E-2</v>
      </c>
      <c r="P14" s="144">
        <v>0.95</v>
      </c>
      <c r="Q14" s="16">
        <f t="shared" si="1"/>
        <v>9.0249999999999997E-2</v>
      </c>
      <c r="R14" s="157">
        <f t="shared" si="6"/>
        <v>7.2870761909828441E-2</v>
      </c>
      <c r="S14" s="176">
        <f t="shared" si="2"/>
        <v>0.92712923809017156</v>
      </c>
      <c r="T14" s="177">
        <f>R14*PRODUCT(S5:S13)*PRODUCT(S15:S19)</f>
        <v>5.7126322255809575E-2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4.654923421676135E-3</v>
      </c>
      <c r="W14" s="186" t="s">
        <v>54</v>
      </c>
      <c r="X14" s="15" t="s">
        <v>55</v>
      </c>
      <c r="Y14" s="69">
        <f>COUNTIF(J6:J18,"CAB")*0.095</f>
        <v>0.66500000000000004</v>
      </c>
      <c r="Z14" s="147">
        <v>0.95</v>
      </c>
      <c r="AA14" s="19">
        <f t="shared" si="3"/>
        <v>0.63175000000000003</v>
      </c>
      <c r="AB14" s="157">
        <f t="shared" si="4"/>
        <v>0.59718478052932578</v>
      </c>
      <c r="AC14" s="176">
        <f t="shared" si="5"/>
        <v>0.40281521947067422</v>
      </c>
      <c r="AD14" s="177">
        <f>AB14*PRODUCT(AC5:AC13)*PRODUCT(AC15:AC19)</f>
        <v>0.49357547875977187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1.14576240342707E-2</v>
      </c>
      <c r="BH14">
        <v>1</v>
      </c>
      <c r="BI14">
        <v>2</v>
      </c>
      <c r="BJ14" s="107">
        <f t="shared" ref="BJ14:BJ22" si="7">$H$26*H41</f>
        <v>7.6155251397671278E-2</v>
      </c>
      <c r="BL14">
        <f>BP39+1</f>
        <v>10</v>
      </c>
      <c r="BM14">
        <v>10</v>
      </c>
      <c r="BN14" s="107">
        <f>$H$35*H49</f>
        <v>1.3244002434602044E-11</v>
      </c>
      <c r="BP14">
        <f>BP10+1</f>
        <v>5</v>
      </c>
      <c r="BQ14">
        <v>0</v>
      </c>
      <c r="BR14" s="107">
        <f>$H$30*H39</f>
        <v>1.1351072214281584E-3</v>
      </c>
    </row>
    <row r="15" spans="1:70" x14ac:dyDescent="0.25">
      <c r="A15" s="189" t="s">
        <v>71</v>
      </c>
      <c r="B15" s="170">
        <v>10</v>
      </c>
      <c r="C15" s="171">
        <v>11.25</v>
      </c>
      <c r="E15" s="192" t="s">
        <v>20</v>
      </c>
      <c r="F15" s="167" t="s">
        <v>21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7.188502246955146E-2</v>
      </c>
      <c r="BP15">
        <f>BP11+1</f>
        <v>5</v>
      </c>
      <c r="BQ15">
        <v>1</v>
      </c>
      <c r="BR15" s="107">
        <f>$H$30*H40</f>
        <v>4.515528232692456E-3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16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4.4386834485882043E-2</v>
      </c>
      <c r="BP16">
        <f>BP12+1</f>
        <v>5</v>
      </c>
      <c r="BQ16">
        <v>2</v>
      </c>
      <c r="BR16" s="107">
        <f>$H$30*H41</f>
        <v>7.4287126613269494E-3</v>
      </c>
    </row>
    <row r="17" spans="1:70" x14ac:dyDescent="0.25">
      <c r="A17" s="188" t="s">
        <v>10</v>
      </c>
      <c r="B17" s="172" t="s">
        <v>152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1.937837435829233E-2</v>
      </c>
      <c r="S17" s="176">
        <f t="shared" si="2"/>
        <v>0.98062162564170763</v>
      </c>
      <c r="T17" s="177">
        <f>R17*PRODUCT(S5:S16)*PRODUCT(S18:S19)</f>
        <v>1.4362799812092058E-2</v>
      </c>
      <c r="U17" s="177">
        <f>R17*R18*PRODUCT(S5:S16)*S19+R17*R19*PRODUCT(S5:S16)*S18</f>
        <v>8.86521150997514E-4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2.268687729751297E-2</v>
      </c>
      <c r="AC17" s="176">
        <f t="shared" si="5"/>
        <v>0.97731312270248705</v>
      </c>
      <c r="AD17" s="177">
        <f>AB17*PRODUCT(AC5:AC16)*PRODUCT(AC18:AC19)</f>
        <v>7.7284376468642786E-3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1.9160961685450326E-2</v>
      </c>
      <c r="BP17">
        <f>BP13+1</f>
        <v>5</v>
      </c>
      <c r="BQ17">
        <v>3</v>
      </c>
      <c r="BR17" s="107">
        <f>$H$30*H42</f>
        <v>7.0121648445593422E-3</v>
      </c>
    </row>
    <row r="18" spans="1:70" x14ac:dyDescent="0.25">
      <c r="A18" s="188" t="s">
        <v>12</v>
      </c>
      <c r="B18" s="172">
        <v>20</v>
      </c>
      <c r="C18" s="173">
        <v>17</v>
      </c>
      <c r="E18" s="192" t="s">
        <v>22</v>
      </c>
      <c r="F18" s="167" t="s">
        <v>123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5.9945162477138868E-3</v>
      </c>
      <c r="BP18">
        <f>BL8+1</f>
        <v>5</v>
      </c>
      <c r="BQ18">
        <v>4</v>
      </c>
      <c r="BR18" s="107">
        <f>$H$30*H43</f>
        <v>4.3298004180914373E-3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5.8135123074876983E-2</v>
      </c>
      <c r="S19" s="178">
        <f t="shared" si="2"/>
        <v>0.941864876925123</v>
      </c>
      <c r="T19" s="179">
        <f>R19*PRODUCT(S5:S18)</f>
        <v>4.4861441738271196E-2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1.3835925080948877E-3</v>
      </c>
      <c r="BP19">
        <f>BP15+1</f>
        <v>6</v>
      </c>
      <c r="BQ19">
        <v>1</v>
      </c>
      <c r="BR19" s="107">
        <f>$H$31*H40</f>
        <v>1.0858098801315033E-3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0.7268139132874758</v>
      </c>
      <c r="T20" s="181">
        <f>SUM(T5:T19)</f>
        <v>0.23810197067678537</v>
      </c>
      <c r="U20" s="181">
        <f>SUM(U5:U19)</f>
        <v>3.2563311347166508E-2</v>
      </c>
      <c r="V20" s="181">
        <f>1-S20-T20-U20</f>
        <v>2.5208046885723187E-3</v>
      </c>
      <c r="W20" s="21"/>
      <c r="X20" s="22"/>
      <c r="Y20" s="22"/>
      <c r="Z20" s="22"/>
      <c r="AA20" s="22"/>
      <c r="AB20" s="23"/>
      <c r="AC20" s="184">
        <f>PRODUCT(AC5:AC19)</f>
        <v>0.33292830173222615</v>
      </c>
      <c r="AD20" s="181">
        <f>SUM(AD5:AD19)</f>
        <v>0.55870633371205181</v>
      </c>
      <c r="AE20" s="181">
        <f>SUM(AE5:AE19)</f>
        <v>0.1011744259092016</v>
      </c>
      <c r="AF20" s="181">
        <f>1-AC20-AD20-AE20</f>
        <v>7.1909386465203867E-3</v>
      </c>
      <c r="BH20">
        <v>1</v>
      </c>
      <c r="BI20">
        <v>8</v>
      </c>
      <c r="BJ20" s="107">
        <f t="shared" si="7"/>
        <v>2.3663226308334899E-4</v>
      </c>
      <c r="BP20">
        <f>BP16+1</f>
        <v>6</v>
      </c>
      <c r="BQ20">
        <v>2</v>
      </c>
      <c r="BR20" s="107">
        <f>$H$31*H41</f>
        <v>1.7863180537611685E-3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0.7268139132874758</v>
      </c>
      <c r="T21" s="183">
        <f>T20*V1</f>
        <v>0.23810197067678537</v>
      </c>
      <c r="U21" s="183">
        <f>U20*V1</f>
        <v>3.2563311347166508E-2</v>
      </c>
      <c r="V21" s="183">
        <f>V20*V1</f>
        <v>2.5208046885723187E-3</v>
      </c>
      <c r="W21" s="21"/>
      <c r="X21" s="22"/>
      <c r="Y21" s="22"/>
      <c r="Z21" s="22"/>
      <c r="AA21" s="22"/>
      <c r="AB21" s="23"/>
      <c r="AC21" s="185">
        <f>1-AD21-AE21-AF21</f>
        <v>0.33292830173222621</v>
      </c>
      <c r="AD21" s="183">
        <f>AD20*V1</f>
        <v>0.55870633371205181</v>
      </c>
      <c r="AE21" s="183">
        <f>AE20*V1</f>
        <v>0.1011744259092016</v>
      </c>
      <c r="AF21" s="183">
        <f>AF20*V1</f>
        <v>7.1909386465203867E-3</v>
      </c>
      <c r="BH21" s="18">
        <v>1</v>
      </c>
      <c r="BI21">
        <v>9</v>
      </c>
      <c r="BJ21" s="107">
        <f t="shared" si="7"/>
        <v>2.9736107658563621E-5</v>
      </c>
      <c r="BP21">
        <f>BP17+1</f>
        <v>6</v>
      </c>
      <c r="BQ21">
        <v>3</v>
      </c>
      <c r="BR21" s="107">
        <f>$H$31*H42</f>
        <v>1.6861544158242204E-3</v>
      </c>
    </row>
    <row r="22" spans="1:70" x14ac:dyDescent="0.25">
      <c r="A22" s="26" t="s">
        <v>77</v>
      </c>
      <c r="B22" s="196">
        <f>(B6)/((B6)+(C6))</f>
        <v>0.4606741573033708</v>
      </c>
      <c r="C22" s="197">
        <f>1-B22</f>
        <v>0.5393258426966292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2.6795200397810447E-6</v>
      </c>
      <c r="BP22">
        <f>BP18+1</f>
        <v>6</v>
      </c>
      <c r="BQ22">
        <v>4</v>
      </c>
      <c r="BR22" s="107">
        <f>$H$31*H43</f>
        <v>1.0411495246388811E-3</v>
      </c>
    </row>
    <row r="23" spans="1:70" ht="15.75" thickBot="1" x14ac:dyDescent="0.3">
      <c r="A23" s="40" t="s">
        <v>67</v>
      </c>
      <c r="B23" s="56">
        <f>((B22^2.8)/((B22^2.8)+(C22^2.8)))*B21</f>
        <v>1.9570835379829266</v>
      </c>
      <c r="C23" s="57">
        <f>B21-B23</f>
        <v>3.0429164620170734</v>
      </c>
      <c r="D23" s="151">
        <f>SUM(D25:D30)</f>
        <v>0.99999999999999989</v>
      </c>
      <c r="E23" s="151">
        <f>SUM(E25:E30)</f>
        <v>1</v>
      </c>
      <c r="H23" s="59">
        <f>SUM(H25:H35)</f>
        <v>0.99999992190515929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0.99999999999999989</v>
      </c>
      <c r="T23" s="59">
        <f>SUM(T25:T35)</f>
        <v>1</v>
      </c>
      <c r="V23" s="59">
        <f>SUM(V25:V34)</f>
        <v>0.99988815052152891</v>
      </c>
      <c r="Y23" s="80">
        <f>SUM(Y25:Y35)</f>
        <v>6.831130417971211E-3</v>
      </c>
      <c r="Z23" s="81"/>
      <c r="AA23" s="80">
        <f>SUM(AA25:AA35)</f>
        <v>4.4072438671171908E-2</v>
      </c>
      <c r="AB23" s="81"/>
      <c r="AC23" s="80">
        <f>SUM(AC25:AC35)</f>
        <v>0.12804217379624222</v>
      </c>
      <c r="AD23" s="81"/>
      <c r="AE23" s="80">
        <f>SUM(AE25:AE35)</f>
        <v>0.22065062817711509</v>
      </c>
      <c r="AF23" s="81"/>
      <c r="AG23" s="80">
        <f>SUM(AG25:AG35)</f>
        <v>0.24986775908256359</v>
      </c>
      <c r="AH23" s="81"/>
      <c r="AI23" s="80">
        <f>SUM(AI25:AI35)</f>
        <v>0.19441496994066376</v>
      </c>
      <c r="AJ23" s="81"/>
      <c r="AK23" s="80">
        <f>SUM(AK25:AK35)</f>
        <v>0.105383129130536</v>
      </c>
      <c r="AL23" s="81"/>
      <c r="AM23" s="80">
        <f>SUM(AM25:AM35)</f>
        <v>3.9386999249958816E-2</v>
      </c>
      <c r="AN23" s="81"/>
      <c r="AO23" s="80">
        <f>SUM(AO25:AO35)</f>
        <v>9.7659326888206669E-3</v>
      </c>
      <c r="AP23" s="81"/>
      <c r="AQ23" s="80">
        <f>SUM(AQ25:AQ35)</f>
        <v>1.4729893664856943E-3</v>
      </c>
      <c r="AR23" s="81"/>
      <c r="AS23" s="80">
        <f>SUM(AS25:AS35)</f>
        <v>1.1184947847109329E-4</v>
      </c>
      <c r="BH23">
        <f t="shared" ref="BH23:BH30" si="8">BH15+1</f>
        <v>2</v>
      </c>
      <c r="BI23">
        <v>3</v>
      </c>
      <c r="BJ23" s="107">
        <f t="shared" ref="BJ23:BJ30" si="9">$H$27*H42</f>
        <v>7.598997301829738E-2</v>
      </c>
      <c r="BP23">
        <f>BL9+1</f>
        <v>6</v>
      </c>
      <c r="BQ23">
        <v>5</v>
      </c>
      <c r="BR23" s="107">
        <f>$H$31*H44</f>
        <v>4.4944466938221656E-4</v>
      </c>
    </row>
    <row r="24" spans="1:70" ht="15.75" thickBot="1" x14ac:dyDescent="0.3">
      <c r="A24" s="26" t="s">
        <v>76</v>
      </c>
      <c r="B24" s="64">
        <f>B23/B21</f>
        <v>0.39141670759658531</v>
      </c>
      <c r="C24" s="65">
        <f>C23/B21</f>
        <v>0.60858329240341469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4.6921517710848591E-2</v>
      </c>
      <c r="BP24">
        <f>BH49+1</f>
        <v>7</v>
      </c>
      <c r="BQ24">
        <v>0</v>
      </c>
      <c r="BR24" s="107">
        <f t="shared" ref="BR24:BR30" si="10">$H$32*H39</f>
        <v>4.9897331654958271E-5</v>
      </c>
    </row>
    <row r="25" spans="1:70" x14ac:dyDescent="0.25">
      <c r="A25" s="26" t="s">
        <v>69</v>
      </c>
      <c r="B25" s="117">
        <f>1/(1+EXP(-3.1416*4*((B11/(B11+C8))-(3.1416/6))))</f>
        <v>0.14196414184697126</v>
      </c>
      <c r="C25" s="118">
        <f>1/(1+EXP(-3.1416*4*((C11/(C11+B8))-(3.1416/6))))</f>
        <v>0.27650853914150708</v>
      </c>
      <c r="D25" s="153">
        <f>IF(B17="AOW", 0.36-0.08, IF(B17="AIM", 0.36+0.08, IF(B17="TL",(0.361)-(0.36*B32),0.36)))</f>
        <v>0.27999999999999997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0.1211083740886893</v>
      </c>
      <c r="I25" s="97">
        <v>0</v>
      </c>
      <c r="J25" s="98">
        <f t="shared" ref="J25:J35" si="11">Y25+AA25+AC25+AE25+AG25+AI25+AK25+AM25+AO25+AQ25+AS25</f>
        <v>0.16662913556635156</v>
      </c>
      <c r="K25" s="97">
        <v>0</v>
      </c>
      <c r="L25" s="98">
        <f>S21</f>
        <v>0.7268139132874758</v>
      </c>
      <c r="M25" s="84">
        <v>0</v>
      </c>
      <c r="N25" s="71">
        <f>(1-$B$24)^$B$21</f>
        <v>8.3483399771431377E-2</v>
      </c>
      <c r="O25" s="70">
        <v>0</v>
      </c>
      <c r="P25" s="71">
        <f>N25</f>
        <v>8.3483399771431377E-2</v>
      </c>
      <c r="Q25" s="12">
        <v>0</v>
      </c>
      <c r="R25" s="73">
        <f>P25*N25</f>
        <v>6.9694780373966286E-3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6.831130417971211E-3</v>
      </c>
      <c r="W25" s="136">
        <f>B31</f>
        <v>0.41735886132672617</v>
      </c>
      <c r="X25" s="12">
        <v>0</v>
      </c>
      <c r="Y25" s="79">
        <f>V25</f>
        <v>6.831130417971211E-3</v>
      </c>
      <c r="Z25" s="12">
        <v>0</v>
      </c>
      <c r="AA25" s="78">
        <f>((1-W25)^Z26)*V26</f>
        <v>2.5678415851479629E-2</v>
      </c>
      <c r="AB25" s="12">
        <v>0</v>
      </c>
      <c r="AC25" s="79">
        <f>(((1-$W$25)^AB27))*V27</f>
        <v>4.3466565916717929E-2</v>
      </c>
      <c r="AD25" s="12">
        <v>0</v>
      </c>
      <c r="AE25" s="79">
        <f>(((1-$W$25)^AB28))*V28</f>
        <v>4.3642397973260326E-2</v>
      </c>
      <c r="AF25" s="12">
        <v>0</v>
      </c>
      <c r="AG25" s="79">
        <f>(((1-$W$25)^AB29))*V29</f>
        <v>2.8794848951111118E-2</v>
      </c>
      <c r="AH25" s="12">
        <v>0</v>
      </c>
      <c r="AI25" s="79">
        <f>(((1-$W$25)^AB30))*V30</f>
        <v>1.3053754208745799E-2</v>
      </c>
      <c r="AJ25" s="12">
        <v>0</v>
      </c>
      <c r="AK25" s="79">
        <f>(((1-$W$25)^AB31))*V31</f>
        <v>4.1226642198736304E-3</v>
      </c>
      <c r="AL25" s="12">
        <v>0</v>
      </c>
      <c r="AM25" s="79">
        <f>(((1-$W$25)^AB32))*V32</f>
        <v>8.9776137121752684E-4</v>
      </c>
      <c r="AN25" s="12">
        <v>0</v>
      </c>
      <c r="AO25" s="79">
        <f>(((1-$W$25)^AB33))*V33</f>
        <v>1.2969489808545588E-4</v>
      </c>
      <c r="AP25" s="12">
        <v>0</v>
      </c>
      <c r="AQ25" s="79">
        <f>(((1-$W$25)^AB34))*V34</f>
        <v>1.1397508453742168E-5</v>
      </c>
      <c r="AR25" s="12">
        <v>0</v>
      </c>
      <c r="AS25" s="79">
        <f>(((1-$W$25)^AB35))*V35</f>
        <v>5.042494351991106E-7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2.0255136765085377E-2</v>
      </c>
      <c r="BP25">
        <f>BP19+1</f>
        <v>7</v>
      </c>
      <c r="BQ25">
        <v>1</v>
      </c>
      <c r="BR25" s="107">
        <f t="shared" si="10"/>
        <v>1.9849473738745238E-4</v>
      </c>
    </row>
    <row r="26" spans="1:70" x14ac:dyDescent="0.25">
      <c r="A26" s="40" t="s">
        <v>24</v>
      </c>
      <c r="B26" s="119">
        <f>1/(1+EXP(-3.1416*4*((B10/(B10+C9))-(3.1416/6))))</f>
        <v>0.3407265942093135</v>
      </c>
      <c r="C26" s="120">
        <f>1/(1+EXP(-3.1416*4*((C10/(C10+B9))-(3.1416/6))))</f>
        <v>0.26261185366149137</v>
      </c>
      <c r="D26" s="153">
        <f>IF(B17="AOW", 0.257+0.04, IF(B17="AIM", 0.257-0.04, IF(B17="TL",(0.257)-(0.257*B32),0.257)))</f>
        <v>0.29699999999999999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0.27716273762468996</v>
      </c>
      <c r="I26" s="93">
        <v>1</v>
      </c>
      <c r="J26" s="86">
        <f t="shared" si="11"/>
        <v>0.32675215448199474</v>
      </c>
      <c r="K26" s="93">
        <v>1</v>
      </c>
      <c r="L26" s="86">
        <f>T21</f>
        <v>0.23810197067678537</v>
      </c>
      <c r="M26" s="85">
        <v>1</v>
      </c>
      <c r="N26" s="71">
        <f>(($B$24)^M26)*((1-($B$24))^($B$21-M26))*HLOOKUP($B$21,$AV$24:$BF$34,M26+1)</f>
        <v>0.26846610714908153</v>
      </c>
      <c r="O26" s="72">
        <v>1</v>
      </c>
      <c r="P26" s="71">
        <f t="shared" ref="P26:P30" si="12">N26</f>
        <v>0.26846610714908153</v>
      </c>
      <c r="Q26" s="28">
        <v>1</v>
      </c>
      <c r="R26" s="37">
        <f>N26*P25+P26*N25</f>
        <v>4.4824926696413407E-2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4.4072438671171908E-2</v>
      </c>
      <c r="W26" s="137"/>
      <c r="X26" s="28">
        <v>1</v>
      </c>
      <c r="Y26" s="73"/>
      <c r="Z26" s="28">
        <v>1</v>
      </c>
      <c r="AA26" s="79">
        <f>(1-((1-W25)^Z26))*V26</f>
        <v>1.8394022819692279E-2</v>
      </c>
      <c r="AB26" s="28">
        <v>1</v>
      </c>
      <c r="AC26" s="79">
        <f>((($W$25)^M26)*((1-($W$25))^($U$27-M26))*HLOOKUP($U$27,$AV$24:$BF$34,M26+1))*V27</f>
        <v>6.2272144044251736E-2</v>
      </c>
      <c r="AD26" s="28">
        <v>1</v>
      </c>
      <c r="AE26" s="79">
        <f>((($W$25)^M26)*((1-($W$25))^($U$28-M26))*HLOOKUP($U$28,$AV$24:$BF$34,M26+1))*V28</f>
        <v>9.3786073354675412E-2</v>
      </c>
      <c r="AF26" s="28">
        <v>1</v>
      </c>
      <c r="AG26" s="79">
        <f>((($W$25)^M26)*((1-($W$25))^($U$29-M26))*HLOOKUP($U$29,$AV$24:$BF$34,M26+1))*V29</f>
        <v>8.2505573826636314E-2</v>
      </c>
      <c r="AH26" s="28">
        <v>1</v>
      </c>
      <c r="AI26" s="79">
        <f>((($W$25)^M26)*((1-($W$25))^($U$30-M26))*HLOOKUP($U$30,$AV$24:$BF$34,M26+1))*V30</f>
        <v>4.6753478522018881E-2</v>
      </c>
      <c r="AJ26" s="28">
        <v>1</v>
      </c>
      <c r="AK26" s="79">
        <f>((($W$25)^M26)*((1-($W$25))^($U$31-M26))*HLOOKUP($U$31,$AV$24:$BF$34,M26+1))*V31</f>
        <v>1.7718938779608909E-2</v>
      </c>
      <c r="AL26" s="28">
        <v>1</v>
      </c>
      <c r="AM26" s="79">
        <f>((($W$25)^Q26)*((1-($W$25))^($U$32-Q26))*HLOOKUP($U$32,$AV$24:$BF$34,Q26+1))*V32</f>
        <v>4.5016056562941454E-3</v>
      </c>
      <c r="AN26" s="28">
        <v>1</v>
      </c>
      <c r="AO26" s="79">
        <f>((($W$25)^Q26)*((1-($W$25))^($U$33-Q26))*HLOOKUP($U$33,$AV$24:$BF$34,Q26+1))*V33</f>
        <v>7.4322681859491011E-4</v>
      </c>
      <c r="AP26" s="28">
        <v>1</v>
      </c>
      <c r="AQ26" s="79">
        <f>((($W$25)^Q26)*((1-($W$25))^($U$34-Q26))*HLOOKUP($U$34,$AV$24:$BF$34,Q26+1))*V34</f>
        <v>7.3478608890244326E-5</v>
      </c>
      <c r="AR26" s="28">
        <v>1</v>
      </c>
      <c r="AS26" s="79">
        <f>((($W$25)^Q26)*((1-($W$25))^($U$35-Q26))*HLOOKUP($U$35,$AV$24:$BF$34,Q26+1))*V35</f>
        <v>3.6120513319496428E-6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6.3368294572693599E-3</v>
      </c>
      <c r="BP26">
        <f>BP20+1</f>
        <v>7</v>
      </c>
      <c r="BQ26">
        <v>2</v>
      </c>
      <c r="BR26" s="107">
        <f t="shared" si="10"/>
        <v>3.2655323870219835E-4</v>
      </c>
    </row>
    <row r="27" spans="1:70" x14ac:dyDescent="0.25">
      <c r="A27" s="26" t="s">
        <v>25</v>
      </c>
      <c r="B27" s="119">
        <f>1/(1+EXP(-3.1416*4*((B12/(B12+C7))-(3.1416/6))))</f>
        <v>0.6080929919498167</v>
      </c>
      <c r="C27" s="120">
        <f>1/(1+EXP(-3.1416*4*((C12/(C12+B7))-(3.1416/6))))</f>
        <v>0.22042125474416366</v>
      </c>
      <c r="D27" s="153">
        <f>D26</f>
        <v>0.29699999999999999</v>
      </c>
      <c r="E27" s="153">
        <f>E26</f>
        <v>0.25700000000000001</v>
      </c>
      <c r="G27" s="87">
        <v>2</v>
      </c>
      <c r="H27" s="128">
        <f>L25*J27+J26*L26+J25*L27</f>
        <v>0.29298994742192286</v>
      </c>
      <c r="I27" s="93">
        <v>2</v>
      </c>
      <c r="J27" s="86">
        <f t="shared" si="11"/>
        <v>0.2886070495639379</v>
      </c>
      <c r="K27" s="93">
        <v>2</v>
      </c>
      <c r="L27" s="86">
        <f>U21</f>
        <v>3.2563311347166508E-2</v>
      </c>
      <c r="M27" s="85">
        <v>2</v>
      </c>
      <c r="N27" s="71">
        <f>(($B$24)^M27)*((1-($B$24))^($B$21-M27))*HLOOKUP($B$21,$AV$24:$BF$34,M27+1)</f>
        <v>0.3453335675600811</v>
      </c>
      <c r="O27" s="72">
        <v>2</v>
      </c>
      <c r="P27" s="71">
        <f t="shared" si="12"/>
        <v>0.3453335675600811</v>
      </c>
      <c r="Q27" s="28">
        <v>2</v>
      </c>
      <c r="R27" s="37">
        <f>P25*N27+P26*N26+P27*N25</f>
        <v>0.12973329123800784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0.12804217379624222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2.2303463835272562E-2</v>
      </c>
      <c r="AD27" s="28">
        <v>2</v>
      </c>
      <c r="AE27" s="79">
        <f>((($W$25)^M27)*((1-($W$25))^($U$28-M27))*HLOOKUP($U$28,$AV$24:$BF$34,M27+1))*V28</f>
        <v>6.7181059121130718E-2</v>
      </c>
      <c r="AF27" s="28">
        <v>2</v>
      </c>
      <c r="AG27" s="79">
        <f>((($W$25)^M27)*((1-($W$25))^($U$29-M27))*HLOOKUP($U$29,$AV$24:$BF$34,M27+1))*V29</f>
        <v>8.8650878027090652E-2</v>
      </c>
      <c r="AH27" s="28">
        <v>2</v>
      </c>
      <c r="AI27" s="79">
        <f>((($W$25)^M27)*((1-($W$25))^($U$30-M27))*HLOOKUP($U$30,$AV$24:$BF$34,M27+1))*V30</f>
        <v>6.6981121873564073E-2</v>
      </c>
      <c r="AJ27" s="28">
        <v>2</v>
      </c>
      <c r="AK27" s="79">
        <f>((($W$25)^M27)*((1-($W$25))^($U$31-M27))*HLOOKUP($U$31,$AV$24:$BF$34,M27+1))*V31</f>
        <v>3.1731179031637642E-2</v>
      </c>
      <c r="AL27" s="28">
        <v>2</v>
      </c>
      <c r="AM27" s="79">
        <f>((($W$25)^Q27)*((1-($W$25))^($U$32-Q27))*HLOOKUP($U$32,$AV$24:$BF$34,Q27+1))*V32</f>
        <v>9.6738020342901111E-3</v>
      </c>
      <c r="AN27" s="28">
        <v>2</v>
      </c>
      <c r="AO27" s="79">
        <f>((($W$25)^Q27)*((1-($W$25))^($U$33-Q27))*HLOOKUP($U$33,$AV$24:$BF$34,Q27+1))*V33</f>
        <v>1.8633648972660507E-3</v>
      </c>
      <c r="AP27" s="28">
        <v>2</v>
      </c>
      <c r="AQ27" s="79">
        <f>((($W$25)^Q27)*((1-($W$25))^($U$34-Q27))*HLOOKUP($U$34,$AV$24:$BF$34,Q27+1))*V34</f>
        <v>2.1053747497566422E-4</v>
      </c>
      <c r="AR27" s="28">
        <v>2</v>
      </c>
      <c r="AS27" s="79">
        <f>((($W$25)^Q27)*((1-($W$25))^($U$35-Q27))*HLOOKUP($U$35,$AV$24:$BF$34,Q27+1))*V35</f>
        <v>1.1643268710393975E-5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1.4626017179445549E-3</v>
      </c>
      <c r="BP27">
        <f>BP21+1</f>
        <v>7</v>
      </c>
      <c r="BQ27">
        <v>3</v>
      </c>
      <c r="BR27" s="107">
        <f t="shared" si="10"/>
        <v>3.0824252393355168E-4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0.18971269640384864</v>
      </c>
      <c r="I28" s="93">
        <v>3</v>
      </c>
      <c r="J28" s="86">
        <f t="shared" si="11"/>
        <v>0.15125552152444416</v>
      </c>
      <c r="K28" s="93">
        <v>3</v>
      </c>
      <c r="L28" s="86">
        <f>V21</f>
        <v>2.5208046885723187E-3</v>
      </c>
      <c r="M28" s="85">
        <v>3</v>
      </c>
      <c r="N28" s="71">
        <f>(($B$24)^M28)*((1-($B$24))^($B$21-M28))*HLOOKUP($B$21,$AV$24:$BF$34,M28+1)</f>
        <v>0.22210489463675503</v>
      </c>
      <c r="O28" s="72">
        <v>3</v>
      </c>
      <c r="P28" s="71">
        <f t="shared" si="12"/>
        <v>0.22210489463675503</v>
      </c>
      <c r="Q28" s="28">
        <v>3</v>
      </c>
      <c r="R28" s="37">
        <f>P25*N28+P26*N27+P27*N26+P28*N25</f>
        <v>0.22250486052182239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0.22065062817711509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1.604109772804865E-2</v>
      </c>
      <c r="AF28" s="28">
        <v>3</v>
      </c>
      <c r="AG28" s="79">
        <f>((($W$25)^M28)*((1-($W$25))^($U$29-M28))*HLOOKUP($U$29,$AV$24:$BF$34,M28+1))*V29</f>
        <v>4.2335069339881737E-2</v>
      </c>
      <c r="AH28" s="28">
        <v>3</v>
      </c>
      <c r="AI28" s="79">
        <f>((($W$25)^M28)*((1-($W$25))^($U$30-M28))*HLOOKUP($U$30,$AV$24:$BF$34,M28+1))*V30</f>
        <v>4.7980073667976471E-2</v>
      </c>
      <c r="AJ28" s="28">
        <v>3</v>
      </c>
      <c r="AK28" s="79">
        <f>((($W$25)^M28)*((1-($W$25))^($U$31-M28))*HLOOKUP($U$31,$AV$24:$BF$34,M28+1))*V31</f>
        <v>3.0306336371086401E-2</v>
      </c>
      <c r="AL28" s="28">
        <v>3</v>
      </c>
      <c r="AM28" s="79">
        <f>((($W$25)^Q28)*((1-($W$25))^($U$32-Q28))*HLOOKUP($U$32,$AV$24:$BF$34,Q28+1))*V32</f>
        <v>1.1549267447097647E-2</v>
      </c>
      <c r="AN28" s="28">
        <v>3</v>
      </c>
      <c r="AO28" s="79">
        <f>((($W$25)^Q28)*((1-($W$25))^($U$33-Q28))*HLOOKUP($U$33,$AV$24:$BF$34,Q28+1))*V33</f>
        <v>2.6695397909252509E-3</v>
      </c>
      <c r="AP28" s="28">
        <v>3</v>
      </c>
      <c r="AQ28" s="79">
        <f>((($W$25)^Q28)*((1-($W$25))^($U$34-Q28))*HLOOKUP($U$34,$AV$24:$BF$34,Q28+1))*V34</f>
        <v>3.5189629026066916E-4</v>
      </c>
      <c r="AR28" s="28">
        <v>3</v>
      </c>
      <c r="AS28" s="79">
        <f>((($W$25)^Q28)*((1-($W$25))^($U$35-Q28))*HLOOKUP($U$35,$AV$24:$BF$34,Q28+1))*V35</f>
        <v>2.2240889167359364E-5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2.5014500474808762E-4</v>
      </c>
      <c r="BP28">
        <f>BP22+1</f>
        <v>7</v>
      </c>
      <c r="BQ28">
        <v>4</v>
      </c>
      <c r="BR28" s="107">
        <f t="shared" si="10"/>
        <v>1.9033046692229076E-4</v>
      </c>
    </row>
    <row r="29" spans="1:70" x14ac:dyDescent="0.25">
      <c r="A29" s="26" t="s">
        <v>27</v>
      </c>
      <c r="B29" s="123">
        <f>1/(1+EXP(-3.1416*4*((B14/(B14+C13))-(3.1416/6))))</f>
        <v>0.48130695652156874</v>
      </c>
      <c r="C29" s="118">
        <f>1/(1+EXP(-3.1416*4*((C14/(C14+B13))-(3.1416/6))))</f>
        <v>0.16635890821379401</v>
      </c>
      <c r="D29" s="153">
        <v>0.04</v>
      </c>
      <c r="E29" s="153">
        <v>0.04</v>
      </c>
      <c r="G29" s="87">
        <v>4</v>
      </c>
      <c r="H29" s="128">
        <f>J29*L25+J28*L26+J27*L27+J26*L28</f>
        <v>8.411536271310556E-2</v>
      </c>
      <c r="I29" s="93">
        <v>4</v>
      </c>
      <c r="J29" s="86">
        <f t="shared" si="11"/>
        <v>5.2117116492858225E-2</v>
      </c>
      <c r="K29" s="93">
        <v>4</v>
      </c>
      <c r="L29" s="86"/>
      <c r="M29" s="85">
        <v>4</v>
      </c>
      <c r="N29" s="71">
        <f>(($B$24)^M29)*((1-($B$24))^($B$21-M29))*HLOOKUP($B$21,$AV$24:$BF$34,M29+1)</f>
        <v>7.142454260983698E-2</v>
      </c>
      <c r="O29" s="72">
        <v>4</v>
      </c>
      <c r="P29" s="71">
        <f t="shared" si="12"/>
        <v>7.142454260983698E-2</v>
      </c>
      <c r="Q29" s="28">
        <v>4</v>
      </c>
      <c r="R29" s="37">
        <f>P25*N29+P26*N28+P27*N27+P28*N26+P29*N25</f>
        <v>0.25043607305592347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0.24986775908256359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7.5813889378437754E-3</v>
      </c>
      <c r="AH29" s="28">
        <v>4</v>
      </c>
      <c r="AI29" s="79">
        <f>((($W$25)^M29)*((1-($W$25))^($U$30-M29))*HLOOKUP($U$30,$AV$24:$BF$34,M29+1))*V30</f>
        <v>1.7184599218343567E-2</v>
      </c>
      <c r="AJ29" s="28">
        <v>4</v>
      </c>
      <c r="AK29" s="79">
        <f>((($W$25)^M29)*((1-($W$25))^($U$31-M29))*HLOOKUP($U$31,$AV$24:$BF$34,M29+1))*V31</f>
        <v>1.6281829241782605E-2</v>
      </c>
      <c r="AL29" s="28">
        <v>4</v>
      </c>
      <c r="AM29" s="79">
        <f>((($W$25)^Q29)*((1-($W$25))^($U$32-Q29))*HLOOKUP($U$32,$AV$24:$BF$34,Q29+1))*V32</f>
        <v>8.272998233277009E-3</v>
      </c>
      <c r="AN29" s="28">
        <v>4</v>
      </c>
      <c r="AO29" s="79">
        <f>((($W$25)^Q29)*((1-($W$25))^($U$33-Q29))*HLOOKUP($U$33,$AV$24:$BF$34,Q29+1))*V33</f>
        <v>2.3903137228345711E-3</v>
      </c>
      <c r="AP29" s="28">
        <v>4</v>
      </c>
      <c r="AQ29" s="79">
        <f>((($W$25)^Q29)*((1-($W$25))^($U$34-Q29))*HLOOKUP($U$34,$AV$24:$BF$34,Q29+1))*V34</f>
        <v>3.78106758843157E-4</v>
      </c>
      <c r="AR29" s="28">
        <v>4</v>
      </c>
      <c r="AS29" s="79">
        <f>((($W$25)^Q29)*((1-($W$25))^($U$35-Q29))*HLOOKUP($U$35,$AV$24:$BF$34,Q29+1))*V35</f>
        <v>2.7880379933538373E-5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3.1434170026177014E-5</v>
      </c>
      <c r="BP29">
        <f>BP23+1</f>
        <v>7</v>
      </c>
      <c r="BQ29">
        <v>5</v>
      </c>
      <c r="BR29" s="107">
        <f t="shared" si="10"/>
        <v>8.2162083115700551E-5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2.7036380294892363E-2</v>
      </c>
      <c r="I30" s="93">
        <v>5</v>
      </c>
      <c r="J30" s="86">
        <f t="shared" si="11"/>
        <v>1.2347437691836421E-2</v>
      </c>
      <c r="K30" s="93">
        <v>5</v>
      </c>
      <c r="L30" s="86"/>
      <c r="M30" s="85">
        <v>5</v>
      </c>
      <c r="N30" s="71">
        <f>(($B$24)^M30)*((1-($B$24))^($B$21-M30))*HLOOKUP($B$21,$AV$24:$BF$34,M30+1)</f>
        <v>9.1874882728139613E-3</v>
      </c>
      <c r="O30" s="72">
        <v>5</v>
      </c>
      <c r="P30" s="71">
        <f t="shared" si="12"/>
        <v>9.1874882728139613E-3</v>
      </c>
      <c r="Q30" s="28">
        <v>5</v>
      </c>
      <c r="R30" s="37">
        <f>P25*N30+P26*N29+P27*N28+P28*N27+P29*N26+P30*N25</f>
        <v>0.19328469460641567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0.19441496994066376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2.4619424500149914E-3</v>
      </c>
      <c r="AJ30" s="28">
        <v>5</v>
      </c>
      <c r="AK30" s="79">
        <f>((($W$25)^M30)*((1-($W$25))^($U$31-M30))*HLOOKUP($U$31,$AV$24:$BF$34,M30+1))*V31</f>
        <v>4.6652151807476143E-3</v>
      </c>
      <c r="AL30" s="28">
        <v>5</v>
      </c>
      <c r="AM30" s="79">
        <f>((($W$25)^Q30)*((1-($W$25))^($U$32-Q30))*HLOOKUP($U$32,$AV$24:$BF$34,Q30+1))*V32</f>
        <v>3.5556800505994477E-3</v>
      </c>
      <c r="AN30" s="28">
        <v>5</v>
      </c>
      <c r="AO30" s="79">
        <f>((($W$25)^Q30)*((1-($W$25))^($U$33-Q30))*HLOOKUP($U$33,$AV$24:$BF$34,Q30+1))*V33</f>
        <v>1.3697880871886958E-3</v>
      </c>
      <c r="AP30" s="28">
        <v>5</v>
      </c>
      <c r="AQ30" s="79">
        <f>((($W$25)^Q30)*((1-($W$25))^($U$34-Q30))*HLOOKUP($U$34,$AV$24:$BF$34,Q30+1))*V34</f>
        <v>2.7084631663678595E-4</v>
      </c>
      <c r="AR30" s="28">
        <v>5</v>
      </c>
      <c r="AS30" s="79">
        <f>((($W$25)^Q30)*((1-($W$25))^($U$35-Q30))*HLOOKUP($U$35,$AV$24:$BF$34,Q30+1))*V35</f>
        <v>2.3965606648884236E-5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2.8325324042458939E-6</v>
      </c>
      <c r="BP30">
        <f>BL10+1</f>
        <v>7</v>
      </c>
      <c r="BQ30">
        <v>6</v>
      </c>
      <c r="BR30" s="107">
        <f t="shared" si="10"/>
        <v>2.5704447943084043E-5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0.41735886132672617</v>
      </c>
      <c r="C31" s="61">
        <f>(C25*E25)+(C26*E26)+(C27*E27)+(C28*E28)+(C29*E29)+(C30*E30)/(C25+C26+C27+C28+C29+C30)</f>
        <v>0.30691285403141</v>
      </c>
      <c r="G31" s="87">
        <v>6</v>
      </c>
      <c r="H31" s="128">
        <f>J31*L25+J30*L26+J29*L27+J28*L28</f>
        <v>6.501203698527783E-3</v>
      </c>
      <c r="I31" s="93">
        <v>6</v>
      </c>
      <c r="J31" s="86">
        <f t="shared" si="11"/>
        <v>2.0402236466288432E-3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0.10359422686536852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0.10538312913053599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5.5696630579920702E-4</v>
      </c>
      <c r="AL31" s="28">
        <v>6</v>
      </c>
      <c r="AM31" s="79">
        <f>((($W$25)^Q31)*((1-($W$25))^($U$32-Q31))*HLOOKUP($U$32,$AV$24:$BF$34,Q31+1))*V32</f>
        <v>8.4900434627709846E-4</v>
      </c>
      <c r="AN31" s="28">
        <v>6</v>
      </c>
      <c r="AO31" s="79">
        <f>((($W$25)^Q31)*((1-($W$25))^($U$33-Q31))*HLOOKUP($U$33,$AV$24:$BF$34,Q31+1))*V33</f>
        <v>4.9060490101144011E-4</v>
      </c>
      <c r="AP31" s="28">
        <v>6</v>
      </c>
      <c r="AQ31" s="79">
        <f>((($W$25)^Q31)*((1-($W$25))^($U$34-Q31))*HLOOKUP($U$34,$AV$24:$BF$34,Q31+1))*V34</f>
        <v>1.2934217743185727E-4</v>
      </c>
      <c r="AR31" s="28">
        <v>6</v>
      </c>
      <c r="AS31" s="79">
        <f>((($W$25)^Q31)*((1-($W$25))^($U$35-Q31))*HLOOKUP($U$35,$AV$24:$BF$34,Q31+1))*V35</f>
        <v>1.4305916109240333E-5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3.0381955840509383E-2</v>
      </c>
      <c r="BP31">
        <f t="shared" ref="BP31:BP37" si="17">BP24+1</f>
        <v>8</v>
      </c>
      <c r="BQ31">
        <v>0</v>
      </c>
      <c r="BR31" s="107">
        <f t="shared" ref="BR31:BR38" si="18">$H$33*H39</f>
        <v>6.9631420742560448E-6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1.1884720745820791E-3</v>
      </c>
      <c r="I32" s="93">
        <v>7</v>
      </c>
      <c r="J32" s="86">
        <f t="shared" si="11"/>
        <v>2.3285227634650338E-4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3.8072977226007026E-2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3.9386999249958816E-2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8.6880110905834804E-5</v>
      </c>
      <c r="AN32" s="28">
        <v>7</v>
      </c>
      <c r="AO32" s="79">
        <f>((($W$25)^Q32)*((1-($W$25))^($U$33-Q32))*HLOOKUP($U$33,$AV$24:$BF$34,Q32+1))*V33</f>
        <v>1.0040892817033575E-4</v>
      </c>
      <c r="AP32" s="28">
        <v>7</v>
      </c>
      <c r="AQ32" s="79">
        <f>((($W$25)^Q32)*((1-($W$25))^($U$34-Q32))*HLOOKUP($U$34,$AV$24:$BF$34,Q32+1))*V34</f>
        <v>3.9707438846541434E-5</v>
      </c>
      <c r="AR32" s="28">
        <v>7</v>
      </c>
      <c r="AS32" s="79">
        <f>((($W$25)^Q32)*((1-($W$25))^($U$35-Q32))*HLOOKUP($U$35,$AV$24:$BF$34,Q32+1))*V35</f>
        <v>5.8557984237913928E-6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1.3115318957340956E-2</v>
      </c>
      <c r="BP32">
        <f t="shared" si="17"/>
        <v>8</v>
      </c>
      <c r="BQ32">
        <v>1</v>
      </c>
      <c r="BR32" s="107">
        <f t="shared" si="18"/>
        <v>2.7699819039995318E-5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1.6585055016220515E-4</v>
      </c>
      <c r="I33" s="93">
        <v>8</v>
      </c>
      <c r="J33" s="86">
        <f t="shared" si="11"/>
        <v>1.7674465780326916E-5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9.1826375166439538E-3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9.7659326888206669E-3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8.9906447439570932E-6</v>
      </c>
      <c r="AP33" s="28">
        <v>8</v>
      </c>
      <c r="AQ33" s="79">
        <f>((($W$25)^Q33)*((1-($W$25))^($U$34-Q33))*HLOOKUP($U$34,$AV$24:$BF$34,Q33+1))*V34</f>
        <v>7.1108313347602139E-6</v>
      </c>
      <c r="AR33" s="28">
        <v>8</v>
      </c>
      <c r="AS33" s="79">
        <f>((($W$25)^Q33)*((1-($W$25))^($U$35-Q33))*HLOOKUP($U$35,$AV$24:$BF$34,Q33+1))*V35</f>
        <v>1.5729897016096082E-6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4.1031339592641413E-3</v>
      </c>
      <c r="BP33">
        <f t="shared" si="17"/>
        <v>8</v>
      </c>
      <c r="BQ33">
        <v>2</v>
      </c>
      <c r="BR33" s="107">
        <f t="shared" si="18"/>
        <v>4.5570304472702299E-5</v>
      </c>
    </row>
    <row r="34" spans="1:70" x14ac:dyDescent="0.25">
      <c r="A34" s="40" t="s">
        <v>86</v>
      </c>
      <c r="B34" s="56">
        <f>B23*2</f>
        <v>3.9141670759658531</v>
      </c>
      <c r="C34" s="57">
        <f>C23*2</f>
        <v>6.0858329240341469</v>
      </c>
      <c r="G34" s="87">
        <v>9</v>
      </c>
      <c r="H34" s="128">
        <f>J34*L25+J33*L26+J32*L27+J31*L28</f>
        <v>1.7527108812462658E-5</v>
      </c>
      <c r="I34" s="93">
        <v>9</v>
      </c>
      <c r="J34" s="86">
        <f t="shared" si="11"/>
        <v>8.1635362495734739E-7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1.3124242952379567E-3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1.4729893664856941E-3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5.6596081227246636E-7</v>
      </c>
      <c r="AR34" s="28">
        <v>9</v>
      </c>
      <c r="AS34" s="79">
        <f>((($W$25)^Q34)*((1-($W$25))^($U$35-Q34))*HLOOKUP($U$35,$AV$24:$BF$34,Q34+1))*V35</f>
        <v>2.5039281268488097E-7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9.4704312594241899E-4</v>
      </c>
      <c r="BP34">
        <f t="shared" si="17"/>
        <v>8</v>
      </c>
      <c r="BQ34">
        <v>3</v>
      </c>
      <c r="BR34" s="107">
        <f t="shared" si="18"/>
        <v>4.3015055440611107E-5</v>
      </c>
    </row>
    <row r="35" spans="1:70" ht="15.75" thickBot="1" x14ac:dyDescent="0.3">
      <c r="G35" s="88">
        <v>10</v>
      </c>
      <c r="H35" s="129">
        <f>J35*L25+J34*L26+J33*L27+J32*L28</f>
        <v>1.3699259260558894E-6</v>
      </c>
      <c r="I35" s="94">
        <v>10</v>
      </c>
      <c r="J35" s="89">
        <f t="shared" si="11"/>
        <v>1.7936196442380019E-8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8.4409940763094065E-5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1.1184947847109328E-4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1.7936196442380019E-8</v>
      </c>
      <c r="BH35">
        <f t="shared" si="15"/>
        <v>3</v>
      </c>
      <c r="BI35">
        <v>8</v>
      </c>
      <c r="BJ35" s="107">
        <f t="shared" si="16"/>
        <v>1.6197034662890407E-4</v>
      </c>
      <c r="BP35">
        <f t="shared" si="17"/>
        <v>8</v>
      </c>
      <c r="BQ35">
        <v>4</v>
      </c>
      <c r="BR35" s="107">
        <f t="shared" si="18"/>
        <v>2.6560500096555906E-5</v>
      </c>
    </row>
    <row r="36" spans="1:70" x14ac:dyDescent="0.25">
      <c r="A36" s="1"/>
      <c r="B36" s="108">
        <f>SUM(B37:B39)</f>
        <v>0.99999793498810785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5"/>
        <v>3</v>
      </c>
      <c r="BI36">
        <v>9</v>
      </c>
      <c r="BJ36" s="107">
        <f t="shared" si="16"/>
        <v>2.0353808065282669E-5</v>
      </c>
      <c r="BP36">
        <f t="shared" si="17"/>
        <v>8</v>
      </c>
      <c r="BQ36">
        <v>5</v>
      </c>
      <c r="BR36" s="107">
        <f t="shared" si="18"/>
        <v>1.1465668380978581E-5</v>
      </c>
    </row>
    <row r="37" spans="1:70" ht="15.75" thickBot="1" x14ac:dyDescent="0.3">
      <c r="A37" s="109" t="s">
        <v>104</v>
      </c>
      <c r="B37" s="107">
        <f>SUM(BN4:BN14)</f>
        <v>0.19657010383776058</v>
      </c>
      <c r="G37" s="13"/>
      <c r="H37" s="59">
        <f>SUM(H39:H49)</f>
        <v>0.99999938299473712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0.99258014998652566</v>
      </c>
      <c r="W37" s="13"/>
      <c r="X37" s="13"/>
      <c r="Y37" s="80">
        <f>SUM(Y39:Y49)</f>
        <v>8.3567951603982199E-5</v>
      </c>
      <c r="Z37" s="81"/>
      <c r="AA37" s="80">
        <f>SUM(AA39:AA49)</f>
        <v>1.3001727418035509E-3</v>
      </c>
      <c r="AB37" s="81"/>
      <c r="AC37" s="80">
        <f>SUM(AC39:AC49)</f>
        <v>9.1041014394015671E-3</v>
      </c>
      <c r="AD37" s="81"/>
      <c r="AE37" s="80">
        <f>SUM(AE39:AE49)</f>
        <v>3.7784599332075598E-2</v>
      </c>
      <c r="AF37" s="81"/>
      <c r="AG37" s="80">
        <f>SUM(AG39:AG49)</f>
        <v>0.10293993014172316</v>
      </c>
      <c r="AH37" s="81"/>
      <c r="AI37" s="80">
        <f>SUM(AI39:AI49)</f>
        <v>0.19238839415945774</v>
      </c>
      <c r="AJ37" s="81"/>
      <c r="AK37" s="80">
        <f>SUM(AK39:AK49)</f>
        <v>0.2498637457941961</v>
      </c>
      <c r="AL37" s="81"/>
      <c r="AM37" s="80">
        <f>SUM(AM39:AM49)</f>
        <v>0.22278204558238882</v>
      </c>
      <c r="AN37" s="81"/>
      <c r="AO37" s="80">
        <f>SUM(AO39:AO49)</f>
        <v>0.13065938592192719</v>
      </c>
      <c r="AP37" s="81"/>
      <c r="AQ37" s="80">
        <f>SUM(AQ39:AQ49)</f>
        <v>4.5674206921947909E-2</v>
      </c>
      <c r="AR37" s="81"/>
      <c r="AS37" s="80">
        <f>SUM(AS39:AS49)</f>
        <v>7.4198500134743366E-3</v>
      </c>
      <c r="BH37">
        <f t="shared" si="15"/>
        <v>3</v>
      </c>
      <c r="BI37">
        <v>10</v>
      </c>
      <c r="BJ37" s="107">
        <f t="shared" si="16"/>
        <v>1.8340812194724346E-6</v>
      </c>
      <c r="BP37">
        <f t="shared" si="17"/>
        <v>8</v>
      </c>
      <c r="BQ37">
        <v>6</v>
      </c>
      <c r="BR37" s="107">
        <f t="shared" si="18"/>
        <v>3.5870399685035508E-6</v>
      </c>
    </row>
    <row r="38" spans="1:70" ht="15.75" thickBot="1" x14ac:dyDescent="0.3">
      <c r="A38" s="110" t="s">
        <v>105</v>
      </c>
      <c r="B38" s="107">
        <f>SUM(BJ4:BJ59)</f>
        <v>0.54443570645269335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5.8151079611792585E-3</v>
      </c>
      <c r="BP38">
        <f>BL11+1</f>
        <v>8</v>
      </c>
      <c r="BQ38">
        <v>7</v>
      </c>
      <c r="BR38" s="107">
        <f t="shared" si="18"/>
        <v>8.2792362578901361E-7</v>
      </c>
    </row>
    <row r="39" spans="1:70" x14ac:dyDescent="0.25">
      <c r="A39" s="111" t="s">
        <v>0</v>
      </c>
      <c r="B39" s="107">
        <f>SUM(BR4:BR47)</f>
        <v>0.25899212469765381</v>
      </c>
      <c r="G39" s="130">
        <v>0</v>
      </c>
      <c r="H39" s="131">
        <f>L39*J39</f>
        <v>4.1984437600272977E-2</v>
      </c>
      <c r="I39" s="97">
        <v>0</v>
      </c>
      <c r="J39" s="98">
        <f t="shared" ref="J39:J49" si="33">Y39+AA39+AC39+AE39+AG39+AI39+AK39+AM39+AO39+AQ39+AS39</f>
        <v>0.1261065442073501</v>
      </c>
      <c r="K39" s="102">
        <v>0</v>
      </c>
      <c r="L39" s="98">
        <f>AC21</f>
        <v>0.33292830173222621</v>
      </c>
      <c r="M39" s="84">
        <v>0</v>
      </c>
      <c r="N39" s="71">
        <f>(1-$C$24)^$B$21</f>
        <v>9.1874882728139613E-3</v>
      </c>
      <c r="O39" s="70">
        <v>0</v>
      </c>
      <c r="P39" s="71">
        <f>N39</f>
        <v>9.1874882728139613E-3</v>
      </c>
      <c r="Q39" s="12">
        <v>0</v>
      </c>
      <c r="R39" s="73">
        <f>P39*N39</f>
        <v>8.4409940763094065E-5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8.3567951603982199E-5</v>
      </c>
      <c r="W39" s="136">
        <f>C31</f>
        <v>0.30691285403141</v>
      </c>
      <c r="X39" s="12">
        <v>0</v>
      </c>
      <c r="Y39" s="79">
        <f>V39</f>
        <v>8.3567951603982199E-5</v>
      </c>
      <c r="Z39" s="12">
        <v>0</v>
      </c>
      <c r="AA39" s="78">
        <f>((1-W39)^Z40)*V40</f>
        <v>9.0113301488277961E-4</v>
      </c>
      <c r="AB39" s="12">
        <v>0</v>
      </c>
      <c r="AC39" s="79">
        <f>(((1-$W$39)^AB41))*V41</f>
        <v>4.3733353139445083E-3</v>
      </c>
      <c r="AD39" s="12">
        <v>0</v>
      </c>
      <c r="AE39" s="79">
        <f>(((1-$W$39)^AB42))*V42</f>
        <v>1.2579933771959794E-2</v>
      </c>
      <c r="AF39" s="12">
        <v>0</v>
      </c>
      <c r="AG39" s="79">
        <f>(((1-$W$39)^AB43))*V43</f>
        <v>2.3753917680221604E-2</v>
      </c>
      <c r="AH39" s="12">
        <v>0</v>
      </c>
      <c r="AI39" s="79">
        <f>(((1-$W$39)^AB44))*V44</f>
        <v>3.0769333712471588E-2</v>
      </c>
      <c r="AJ39" s="12">
        <v>0</v>
      </c>
      <c r="AK39" s="79">
        <f>(((1-$W$39)^AB45))*V45</f>
        <v>2.7696845804168115E-2</v>
      </c>
      <c r="AL39" s="12">
        <v>0</v>
      </c>
      <c r="AM39" s="79">
        <f>(((1-$W$39)^AB46))*V46</f>
        <v>1.7115717063130503E-2</v>
      </c>
      <c r="AN39" s="12">
        <v>0</v>
      </c>
      <c r="AO39" s="79">
        <f>(((1-$W$39)^AB47))*V47</f>
        <v>6.9573422588964122E-3</v>
      </c>
      <c r="AP39" s="12">
        <v>0</v>
      </c>
      <c r="AQ39" s="79">
        <f>(((1-$W$39)^AB48))*V48</f>
        <v>1.6856275288409937E-3</v>
      </c>
      <c r="AR39" s="12">
        <v>0</v>
      </c>
      <c r="AS39" s="79">
        <f>(((1-$W$39)^AB49))*V49</f>
        <v>1.8979010722983505E-4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1.8192593737071702E-3</v>
      </c>
      <c r="BP39">
        <f t="shared" ref="BP39:BP46" si="34">BP31+1</f>
        <v>9</v>
      </c>
      <c r="BQ39">
        <v>0</v>
      </c>
      <c r="BR39" s="107">
        <f t="shared" ref="BR39:BR47" si="35">$H$34*H39</f>
        <v>7.3586580625003308E-7</v>
      </c>
    </row>
    <row r="40" spans="1:70" x14ac:dyDescent="0.25">
      <c r="G40" s="91">
        <v>1</v>
      </c>
      <c r="H40" s="132">
        <f>L39*J40+L40*J39</f>
        <v>0.16701674497253305</v>
      </c>
      <c r="I40" s="93">
        <v>1</v>
      </c>
      <c r="J40" s="86">
        <f t="shared" si="33"/>
        <v>0.2900330776895349</v>
      </c>
      <c r="K40" s="95">
        <v>1</v>
      </c>
      <c r="L40" s="86">
        <f>AD21</f>
        <v>0.55870633371205181</v>
      </c>
      <c r="M40" s="85">
        <v>1</v>
      </c>
      <c r="N40" s="71">
        <f>(($C$24)^M26)*((1-($C$24))^($B$21-M26))*HLOOKUP($B$21,$AV$24:$BF$34,M26+1)</f>
        <v>7.142454260983698E-2</v>
      </c>
      <c r="O40" s="72">
        <v>1</v>
      </c>
      <c r="P40" s="71">
        <f t="shared" ref="P40:P44" si="36">N40</f>
        <v>7.142454260983698E-2</v>
      </c>
      <c r="Q40" s="28">
        <v>1</v>
      </c>
      <c r="R40" s="37">
        <f>P40*N39+P39*N40</f>
        <v>1.3124242952379567E-3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1.3001727418035509E-3</v>
      </c>
      <c r="W40" s="137"/>
      <c r="X40" s="28">
        <v>1</v>
      </c>
      <c r="Y40" s="73"/>
      <c r="Z40" s="28">
        <v>1</v>
      </c>
      <c r="AA40" s="79">
        <f>(1-((1-W39)^Z40))*V40</f>
        <v>3.9903972692077136E-4</v>
      </c>
      <c r="AB40" s="28">
        <v>1</v>
      </c>
      <c r="AC40" s="79">
        <f>((($W$39)^M40)*((1-($W$39))^($U$27-M40))*HLOOKUP($U$27,$AV$24:$BF$34,M40+1))*V41</f>
        <v>3.8732007385977119E-3</v>
      </c>
      <c r="AD40" s="28">
        <v>1</v>
      </c>
      <c r="AE40" s="79">
        <f>((($W$39)^M40)*((1-($W$39))^($U$28-M40))*HLOOKUP($U$28,$AV$24:$BF$34,M40+1))*V42</f>
        <v>1.6711939039423224E-2</v>
      </c>
      <c r="AF40" s="28">
        <v>1</v>
      </c>
      <c r="AG40" s="79">
        <f>((($W$39)^M40)*((1-($W$39))^($U$29-M40))*HLOOKUP($U$29,$AV$24:$BF$34,M40+1))*V43</f>
        <v>4.2074839864332879E-2</v>
      </c>
      <c r="AH40" s="28">
        <v>1</v>
      </c>
      <c r="AI40" s="79">
        <f>((($W$39)^M40)*((1-($W$39))^($U$30-M40))*HLOOKUP($U$30,$AV$24:$BF$34,M40+1))*V44</f>
        <v>6.8126382672573066E-2</v>
      </c>
      <c r="AJ40" s="28">
        <v>1</v>
      </c>
      <c r="AK40" s="79">
        <f>((($W$39)^M40)*((1-($W$39))^($U$31-M40))*HLOOKUP($U$31,$AV$24:$BF$34,M40+1))*V45</f>
        <v>7.3588304525939258E-2</v>
      </c>
      <c r="AL40" s="28">
        <v>1</v>
      </c>
      <c r="AM40" s="79">
        <f>((($W$39)^Q40)*((1-($W$39))^($U$32-Q40))*HLOOKUP($U$32,$AV$24:$BF$34,Q40+1))*V46</f>
        <v>5.3054273509990667E-2</v>
      </c>
      <c r="AN40" s="28">
        <v>1</v>
      </c>
      <c r="AO40" s="79">
        <f>((($W$39)^Q40)*((1-($W$39))^($U$33-Q40))*HLOOKUP($U$33,$AV$24:$BF$34,Q40+1))*V47</f>
        <v>2.4646802718202538E-2</v>
      </c>
      <c r="AP40" s="28">
        <v>1</v>
      </c>
      <c r="AQ40" s="79">
        <f>((($W$39)^Q40)*((1-($W$39))^($U$34-Q40))*HLOOKUP($U$34,$AV$24:$BF$34,Q40+1))*V48</f>
        <v>6.7178663296195784E-3</v>
      </c>
      <c r="AR40" s="28">
        <v>1</v>
      </c>
      <c r="AS40" s="79">
        <f>((($W$39)^Q40)*((1-($W$39))^($U$35-Q40))*HLOOKUP($U$35,$AV$24:$BF$34,Q40+1))*V49</f>
        <v>8.4042856393524577E-4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4.1990271370147389E-4</v>
      </c>
      <c r="BP40">
        <f t="shared" si="34"/>
        <v>9</v>
      </c>
      <c r="BQ40">
        <v>1</v>
      </c>
      <c r="BR40" s="107">
        <f t="shared" si="35"/>
        <v>2.9273206626369126E-6</v>
      </c>
    </row>
    <row r="41" spans="1:70" x14ac:dyDescent="0.25">
      <c r="G41" s="91">
        <v>2</v>
      </c>
      <c r="H41" s="132">
        <f>L39*J41+J40*L40+J39*L41</f>
        <v>0.2747672795063606</v>
      </c>
      <c r="I41" s="93">
        <v>2</v>
      </c>
      <c r="J41" s="86">
        <f t="shared" si="33"/>
        <v>0.30026045932871076</v>
      </c>
      <c r="K41" s="95">
        <v>2</v>
      </c>
      <c r="L41" s="86">
        <f>AE21</f>
        <v>0.1011744259092016</v>
      </c>
      <c r="M41" s="85">
        <v>2</v>
      </c>
      <c r="N41" s="71">
        <f>(($C$24)^M27)*((1-($C$24))^($B$21-M27))*HLOOKUP($B$21,$AV$24:$BF$34,M27+1)</f>
        <v>0.22210489463675503</v>
      </c>
      <c r="O41" s="72">
        <v>2</v>
      </c>
      <c r="P41" s="71">
        <f t="shared" si="36"/>
        <v>0.22210489463675503</v>
      </c>
      <c r="Q41" s="28">
        <v>2</v>
      </c>
      <c r="R41" s="37">
        <f>P41*N39+P40*N40+P39*N41</f>
        <v>9.1826375166439538E-3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9.1041014394015671E-3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8.5756538685934688E-4</v>
      </c>
      <c r="AD41" s="28">
        <v>2</v>
      </c>
      <c r="AE41" s="79">
        <f>((($W$39)^M41)*((1-($W$39))^($U$28-M41))*HLOOKUP($U$28,$AV$24:$BF$34,M41+1))*V42</f>
        <v>7.4003809431790694E-3</v>
      </c>
      <c r="AF41" s="28">
        <v>2</v>
      </c>
      <c r="AG41" s="79">
        <f>((($W$39)^M41)*((1-($W$39))^($U$29-M41))*HLOOKUP($U$29,$AV$24:$BF$34,M41+1))*V43</f>
        <v>2.7947371252205058E-2</v>
      </c>
      <c r="AH41" s="28">
        <v>2</v>
      </c>
      <c r="AI41" s="79">
        <f>((($W$39)^M41)*((1-($W$39))^($U$30-M41))*HLOOKUP($U$30,$AV$24:$BF$34,M41+1))*V44</f>
        <v>6.0335450347027419E-2</v>
      </c>
      <c r="AJ41" s="28">
        <v>2</v>
      </c>
      <c r="AK41" s="79">
        <f>((($W$39)^M41)*((1-($W$39))^($U$31-M41))*HLOOKUP($U$31,$AV$24:$BF$34,M41+1))*V45</f>
        <v>8.1465933601414992E-2</v>
      </c>
      <c r="AL41" s="28">
        <v>2</v>
      </c>
      <c r="AM41" s="79">
        <f>((($W$39)^Q41)*((1-($W$39))^($U$32-Q41))*HLOOKUP($U$32,$AV$24:$BF$34,Q41+1))*V46</f>
        <v>7.0480481117964053E-2</v>
      </c>
      <c r="AN41" s="28">
        <v>2</v>
      </c>
      <c r="AO41" s="79">
        <f>((($W$39)^Q41)*((1-($W$39))^($U$33-Q41))*HLOOKUP($U$33,$AV$24:$BF$34,Q41+1))*V47</f>
        <v>3.8199340633384267E-2</v>
      </c>
      <c r="AP41" s="28">
        <v>2</v>
      </c>
      <c r="AQ41" s="79">
        <f>((($W$39)^Q41)*((1-($W$39))^($U$34-Q41))*HLOOKUP($U$34,$AV$24:$BF$34,Q41+1))*V48</f>
        <v>1.1899222429489391E-2</v>
      </c>
      <c r="AR41" s="28">
        <v>2</v>
      </c>
      <c r="AS41" s="79">
        <f>((($W$39)^Q41)*((1-($W$39))^($U$35-Q41))*HLOOKUP($U$35,$AV$24:$BF$34,Q41+1))*V49</f>
        <v>1.674713617187164E-3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7.1814879624373476E-5</v>
      </c>
      <c r="BP41">
        <f t="shared" si="34"/>
        <v>9</v>
      </c>
      <c r="BQ41">
        <v>2</v>
      </c>
      <c r="BR41" s="107">
        <f t="shared" si="35"/>
        <v>4.815876006012323E-6</v>
      </c>
    </row>
    <row r="42" spans="1:70" ht="15" customHeight="1" x14ac:dyDescent="0.25">
      <c r="G42" s="91">
        <v>3</v>
      </c>
      <c r="H42" s="132">
        <f>J42*L39+J41*L40+L42*J39+L41*J40</f>
        <v>0.25936034217879606</v>
      </c>
      <c r="I42" s="93">
        <v>3</v>
      </c>
      <c r="J42" s="86">
        <f t="shared" si="33"/>
        <v>0.18428041988951591</v>
      </c>
      <c r="K42" s="95">
        <v>3</v>
      </c>
      <c r="L42" s="86">
        <f>AF21</f>
        <v>7.1909386465203867E-3</v>
      </c>
      <c r="M42" s="85">
        <v>3</v>
      </c>
      <c r="N42" s="71">
        <f>(($C$24)^M28)*((1-($C$24))^($B$21-M28))*HLOOKUP($B$21,$AV$24:$BF$34,M28+1)</f>
        <v>0.3453335675600811</v>
      </c>
      <c r="O42" s="72">
        <v>3</v>
      </c>
      <c r="P42" s="71">
        <f t="shared" si="36"/>
        <v>0.3453335675600811</v>
      </c>
      <c r="Q42" s="28">
        <v>3</v>
      </c>
      <c r="R42" s="37">
        <f>P42*N39+P41*N40+P40*N41+P39*N42</f>
        <v>3.8072977226007026E-2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3.7784599332075598E-2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1.0923455775135081E-3</v>
      </c>
      <c r="AF42" s="28">
        <v>3</v>
      </c>
      <c r="AG42" s="79">
        <f>((($W$39)^M42)*((1-($W$39))^($U$29-M42))*HLOOKUP($U$29,$AV$24:$BF$34,M42+1))*V43</f>
        <v>8.2504367342365482E-3</v>
      </c>
      <c r="AH42" s="28">
        <v>3</v>
      </c>
      <c r="AI42" s="79">
        <f>((($W$39)^M42)*((1-($W$39))^($U$30-M42))*HLOOKUP($U$30,$AV$24:$BF$34,M42+1))*V44</f>
        <v>2.6717744475549417E-2</v>
      </c>
      <c r="AJ42" s="28">
        <v>3</v>
      </c>
      <c r="AK42" s="79">
        <f>((($W$39)^M42)*((1-($W$39))^($U$31-M42))*HLOOKUP($U$31,$AV$24:$BF$34,M42+1))*V45</f>
        <v>4.8099660258455149E-2</v>
      </c>
      <c r="AL42" s="28">
        <v>3</v>
      </c>
      <c r="AM42" s="79">
        <f>((($W$39)^Q42)*((1-($W$39))^($U$32-Q42))*HLOOKUP($U$32,$AV$24:$BF$34,Q42+1))*V46</f>
        <v>5.2016945101449913E-2</v>
      </c>
      <c r="AN42" s="28">
        <v>3</v>
      </c>
      <c r="AO42" s="79">
        <f>((($W$39)^Q42)*((1-($W$39))^($U$33-Q42))*HLOOKUP($U$33,$AV$24:$BF$34,Q42+1))*V47</f>
        <v>3.3830864485376817E-2</v>
      </c>
      <c r="AP42" s="28">
        <v>3</v>
      </c>
      <c r="AQ42" s="79">
        <f>((($W$39)^Q42)*((1-($W$39))^($U$34-Q42))*HLOOKUP($U$34,$AV$24:$BF$34,Q42+1))*V48</f>
        <v>1.2294832073581041E-2</v>
      </c>
      <c r="AR42" s="28">
        <v>3</v>
      </c>
      <c r="AS42" s="79">
        <f>((($W$39)^Q42)*((1-($W$39))^($U$35-Q42))*HLOOKUP($U$35,$AV$24:$BF$34,Q42+1))*V49</f>
        <v>1.9775911833535284E-3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9.0245301472055443E-6</v>
      </c>
      <c r="BP42">
        <f t="shared" si="34"/>
        <v>9</v>
      </c>
      <c r="BQ42">
        <v>3</v>
      </c>
      <c r="BR42" s="107">
        <f t="shared" si="35"/>
        <v>4.5458369390053067E-6</v>
      </c>
    </row>
    <row r="43" spans="1:70" ht="15" customHeight="1" x14ac:dyDescent="0.25">
      <c r="G43" s="91">
        <v>4</v>
      </c>
      <c r="H43" s="132">
        <f>J43*L39+J42*L40+J41*L41+J40*L42</f>
        <v>0.16014719318434101</v>
      </c>
      <c r="I43" s="93">
        <v>4</v>
      </c>
      <c r="J43" s="86">
        <f t="shared" si="33"/>
        <v>7.4263033876571447E-2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0.26846610714908153</v>
      </c>
      <c r="O43" s="72">
        <v>4</v>
      </c>
      <c r="P43" s="71">
        <f t="shared" si="36"/>
        <v>0.26846610714908153</v>
      </c>
      <c r="Q43" s="28">
        <v>4</v>
      </c>
      <c r="R43" s="37">
        <f>P43*N39+P42*N40+P41*N41+P40*N42+P39*N43</f>
        <v>0.10359422686536852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0.10293993014172316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9.1336461072706143E-4</v>
      </c>
      <c r="AH43" s="28">
        <v>4</v>
      </c>
      <c r="AI43" s="79">
        <f>((($W$39)^M43)*((1-($W$39))^($U$30-M43))*HLOOKUP($U$30,$AV$24:$BF$34,M43+1))*V44</f>
        <v>5.9155758824622814E-3</v>
      </c>
      <c r="AJ43" s="28">
        <v>4</v>
      </c>
      <c r="AK43" s="79">
        <f>((($W$39)^M43)*((1-($W$39))^($U$31-M43))*HLOOKUP($U$31,$AV$24:$BF$34,M43+1))*V45</f>
        <v>1.597461887772408E-2</v>
      </c>
      <c r="AL43" s="28">
        <v>4</v>
      </c>
      <c r="AM43" s="79">
        <f>((($W$39)^Q43)*((1-($W$39))^($U$32-Q43))*HLOOKUP($U$32,$AV$24:$BF$34,Q43+1))*V46</f>
        <v>2.3034143934051073E-2</v>
      </c>
      <c r="AN43" s="28">
        <v>4</v>
      </c>
      <c r="AO43" s="79">
        <f>((($W$39)^Q43)*((1-($W$39))^($U$33-Q43))*HLOOKUP($U$33,$AV$24:$BF$34,Q43+1))*V47</f>
        <v>1.8726229511597775E-2</v>
      </c>
      <c r="AP43" s="28">
        <v>4</v>
      </c>
      <c r="AQ43" s="79">
        <f>((($W$39)^Q43)*((1-($W$39))^($U$34-Q43))*HLOOKUP($U$34,$AV$24:$BF$34,Q43+1))*V48</f>
        <v>8.1665964160963205E-3</v>
      </c>
      <c r="AR43" s="28">
        <v>4</v>
      </c>
      <c r="AS43" s="79">
        <f>((($W$39)^Q43)*((1-($W$39))^($U$35-Q43))*HLOOKUP($U$35,$AV$24:$BF$34,Q43+1))*V49</f>
        <v>1.5325046439128587E-3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8.1320022299830156E-7</v>
      </c>
      <c r="BP43">
        <f t="shared" si="34"/>
        <v>9</v>
      </c>
      <c r="BQ43">
        <v>4</v>
      </c>
      <c r="BR43" s="107">
        <f t="shared" si="35"/>
        <v>2.8069172809524231E-6</v>
      </c>
    </row>
    <row r="44" spans="1:70" ht="15" customHeight="1" thickBot="1" x14ac:dyDescent="0.3">
      <c r="G44" s="91">
        <v>5</v>
      </c>
      <c r="H44" s="132">
        <f>J44*L39+J43*L40+J42*L41+J41*L42</f>
        <v>6.9132531485514695E-2</v>
      </c>
      <c r="I44" s="93">
        <v>5</v>
      </c>
      <c r="J44" s="86">
        <f t="shared" si="33"/>
        <v>2.0538007230950048E-2</v>
      </c>
      <c r="K44" s="95">
        <v>5</v>
      </c>
      <c r="L44" s="86"/>
      <c r="M44" s="85">
        <v>5</v>
      </c>
      <c r="N44" s="71">
        <f>(($C$24)^M30)*((1-($C$24))^($B$21-M30))*HLOOKUP($B$21,$AV$24:$BF$34,M30+1)</f>
        <v>8.3483399771431377E-2</v>
      </c>
      <c r="O44" s="72">
        <v>5</v>
      </c>
      <c r="P44" s="71">
        <f t="shared" si="36"/>
        <v>8.3483399771431377E-2</v>
      </c>
      <c r="Q44" s="28">
        <v>5</v>
      </c>
      <c r="R44" s="37">
        <f>P44*N39+P43*N40+P42*N41+P41*N42+P40*N43+P39*N44</f>
        <v>0.19328469460641567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0.19238839415945777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5.2390706937397303E-4</v>
      </c>
      <c r="AJ44" s="28">
        <v>5</v>
      </c>
      <c r="AK44" s="79">
        <f>((($W$39)^M44)*((1-($W$39))^($U$31-M44))*HLOOKUP($U$31,$AV$24:$BF$34,M44+1))*V45</f>
        <v>2.8295523299452612E-3</v>
      </c>
      <c r="AL44" s="28">
        <v>5</v>
      </c>
      <c r="AM44" s="79">
        <f>((($W$39)^Q44)*((1-($W$39))^($U$32-Q44))*HLOOKUP($U$32,$AV$24:$BF$34,Q44+1))*V46</f>
        <v>6.1199878509565833E-3</v>
      </c>
      <c r="AN44" s="28">
        <v>5</v>
      </c>
      <c r="AO44" s="79">
        <f>((($W$39)^Q44)*((1-($W$39))^($U$33-Q44))*HLOOKUP($U$33,$AV$24:$BF$34,Q44+1))*V47</f>
        <v>6.6338792494785685E-3</v>
      </c>
      <c r="AP44" s="28">
        <v>5</v>
      </c>
      <c r="AQ44" s="79">
        <f>((($W$39)^Q44)*((1-($W$39))^($U$34-Q44))*HLOOKUP($U$34,$AV$24:$BF$34,Q44+1))*V48</f>
        <v>3.6163322727390409E-3</v>
      </c>
      <c r="AR44" s="28">
        <v>5</v>
      </c>
      <c r="AS44" s="79">
        <f>((($W$39)^Q44)*((1-($W$39))^($U$35-Q44))*HLOOKUP($U$35,$AV$24:$BF$34,Q44+1))*V49</f>
        <v>8.1434845845662369E-4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5.8474678936302463E-4</v>
      </c>
      <c r="BP44">
        <f t="shared" si="34"/>
        <v>9</v>
      </c>
      <c r="BQ44">
        <v>5</v>
      </c>
      <c r="BR44" s="107">
        <f t="shared" si="35"/>
        <v>1.2116934018276169E-6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2.1628146334126443E-2</v>
      </c>
      <c r="I45" s="93">
        <v>6</v>
      </c>
      <c r="J45" s="86">
        <f t="shared" si="33"/>
        <v>3.9490863156174784E-3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0.25043607305592347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0.2498637457941961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2.0883039654921983E-4</v>
      </c>
      <c r="AL45" s="28">
        <v>6</v>
      </c>
      <c r="AM45" s="79">
        <f>((($W$39)^Q45)*((1-($W$39))^($U$32-Q45))*HLOOKUP($U$32,$AV$24:$BF$34,Q45+1))*V46</f>
        <v>9.0335101865134646E-4</v>
      </c>
      <c r="AN45" s="28">
        <v>6</v>
      </c>
      <c r="AO45" s="79">
        <f>((($W$39)^Q45)*((1-($W$39))^($U$33-Q45))*HLOOKUP($U$33,$AV$24:$BF$34,Q45+1))*V47</f>
        <v>1.4688072240265481E-3</v>
      </c>
      <c r="AP45" s="28">
        <v>6</v>
      </c>
      <c r="AQ45" s="79">
        <f>((($W$39)^Q45)*((1-($W$39))^($U$34-Q45))*HLOOKUP($U$34,$AV$24:$BF$34,Q45+1))*V48</f>
        <v>1.067589518776555E-3</v>
      </c>
      <c r="AR45" s="28">
        <v>6</v>
      </c>
      <c r="AS45" s="79">
        <f>((($W$39)^Q45)*((1-($W$39))^($U$35-Q45))*HLOOKUP($U$35,$AV$24:$BF$34,Q45+1))*V49</f>
        <v>3.0050815761380965E-4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1.3496523213257883E-4</v>
      </c>
      <c r="BP45">
        <f t="shared" si="34"/>
        <v>9</v>
      </c>
      <c r="BQ45">
        <v>6</v>
      </c>
      <c r="BR45" s="107">
        <f t="shared" si="35"/>
        <v>3.790788742100995E-7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4.991986007759925E-3</v>
      </c>
      <c r="I46" s="93">
        <v>7</v>
      </c>
      <c r="J46" s="86">
        <f t="shared" si="33"/>
        <v>5.2162720538920801E-4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0.22250486052182239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0.22278204558238882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5.7145986194648618E-5</v>
      </c>
      <c r="AN46" s="28">
        <v>7</v>
      </c>
      <c r="AO46" s="79">
        <f>((($W$39)^Q46)*((1-($W$39))^($U$33-Q46))*HLOOKUP($U$33,$AV$24:$BF$34,Q46+1))*V47</f>
        <v>1.8583349243826347E-4</v>
      </c>
      <c r="AP46" s="28">
        <v>7</v>
      </c>
      <c r="AQ46" s="79">
        <f>((($W$39)^Q46)*((1-($W$39))^($U$34-Q46))*HLOOKUP($U$34,$AV$24:$BF$34,Q46+1))*V48</f>
        <v>2.0260714154937971E-4</v>
      </c>
      <c r="AR46" s="28">
        <v>7</v>
      </c>
      <c r="AS46" s="79">
        <f>((($W$39)^Q46)*((1-($W$39))^($U$35-Q46))*HLOOKUP($U$35,$AV$24:$BF$34,Q46+1))*V49</f>
        <v>7.6040585206916208E-5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2.3082756035645862E-5</v>
      </c>
      <c r="BP46">
        <f t="shared" si="34"/>
        <v>9</v>
      </c>
      <c r="BQ46">
        <v>7</v>
      </c>
      <c r="BR46" s="107">
        <f t="shared" si="35"/>
        <v>8.7495081948299263E-8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8.5376650956513547E-4</v>
      </c>
      <c r="I47" s="93">
        <v>8</v>
      </c>
      <c r="J47" s="86">
        <f t="shared" si="33"/>
        <v>4.5343082072286314E-5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0.12973329123800784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0.13065938592192725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1.0286348526047516E-5</v>
      </c>
      <c r="AP47" s="28">
        <v>8</v>
      </c>
      <c r="AQ47" s="79">
        <f>((($W$39)^Q47)*((1-($W$39))^($U$34-Q47))*HLOOKUP($U$34,$AV$24:$BF$34,Q47+1))*V48</f>
        <v>2.2429623901466814E-5</v>
      </c>
      <c r="AR47" s="28">
        <v>8</v>
      </c>
      <c r="AS47" s="79">
        <f>((($W$39)^Q47)*((1-($W$39))^($U$35-Q47))*HLOOKUP($U$35,$AV$24:$BF$34,Q47+1))*V49</f>
        <v>1.2627109644771989E-5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2.9006666698300429E-6</v>
      </c>
      <c r="BP47">
        <f>BL12+1</f>
        <v>9</v>
      </c>
      <c r="BQ47">
        <v>8</v>
      </c>
      <c r="BR47" s="107">
        <f t="shared" si="35"/>
        <v>1.496405851358457E-8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1.0728753768780315E-4</v>
      </c>
      <c r="I48" s="93">
        <v>9</v>
      </c>
      <c r="J48" s="86">
        <f t="shared" si="33"/>
        <v>2.3461510800808642E-6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4.4824926696413407E-2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4.5674206921947909E-2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1.1035873541366376E-6</v>
      </c>
      <c r="AR48" s="28">
        <v>9</v>
      </c>
      <c r="AS48" s="79">
        <f>((($W$39)^Q48)*((1-($W$39))^($U$35-Q48))*HLOOKUP($U$35,$AV$24:$BF$34,Q48+1))*V49</f>
        <v>1.2425637259442266E-6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2.6137901300933033E-7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9.6676777792887202E-6</v>
      </c>
      <c r="I49" s="94">
        <v>10</v>
      </c>
      <c r="J49" s="89">
        <f t="shared" si="33"/>
        <v>5.5023207638989763E-8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6.9694780373966286E-3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7.4198500134743384E-3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5.5023207638989763E-8</v>
      </c>
      <c r="BH49">
        <f>BP14+1</f>
        <v>6</v>
      </c>
      <c r="BI49">
        <v>0</v>
      </c>
      <c r="BJ49" s="107">
        <f>$H$31*H39</f>
        <v>2.7294938100750357E-4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3.2453917896647764E-5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5.5505099896640147E-6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6.9749813682188476E-7</v>
      </c>
    </row>
    <row r="53" spans="1:62" x14ac:dyDescent="0.25">
      <c r="BH53">
        <f>BH48+1</f>
        <v>6</v>
      </c>
      <c r="BI53">
        <v>10</v>
      </c>
      <c r="BJ53" s="107">
        <f>$H$31*H49</f>
        <v>6.2851542534886687E-8</v>
      </c>
    </row>
    <row r="54" spans="1:62" x14ac:dyDescent="0.25">
      <c r="BH54">
        <f>BH51+1</f>
        <v>7</v>
      </c>
      <c r="BI54">
        <v>8</v>
      </c>
      <c r="BJ54" s="107">
        <f>$H$32*H47</f>
        <v>1.014677654831577E-6</v>
      </c>
    </row>
    <row r="55" spans="1:62" x14ac:dyDescent="0.25">
      <c r="BH55">
        <f>BH52+1</f>
        <v>7</v>
      </c>
      <c r="BI55">
        <v>9</v>
      </c>
      <c r="BJ55" s="107">
        <f>$H$32*H48</f>
        <v>1.2750824249262641E-7</v>
      </c>
    </row>
    <row r="56" spans="1:62" x14ac:dyDescent="0.25">
      <c r="BH56">
        <f>BH53+1</f>
        <v>7</v>
      </c>
      <c r="BI56">
        <v>10</v>
      </c>
      <c r="BJ56" s="107">
        <f>$H$32*H49</f>
        <v>1.1489765066742333E-8</v>
      </c>
    </row>
    <row r="57" spans="1:62" x14ac:dyDescent="0.25">
      <c r="BH57">
        <f>BH55+1</f>
        <v>8</v>
      </c>
      <c r="BI57">
        <v>9</v>
      </c>
      <c r="BJ57" s="107">
        <f>$H$33*H48</f>
        <v>1.7793697151070473E-8</v>
      </c>
    </row>
    <row r="58" spans="1:62" x14ac:dyDescent="0.25">
      <c r="BH58">
        <f>BH56+1</f>
        <v>8</v>
      </c>
      <c r="BI58">
        <v>10</v>
      </c>
      <c r="BJ58" s="107">
        <f>$H$33*H49</f>
        <v>1.60338967848596E-9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1.6944644040142075E-10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tabSelected="1" zoomScale="80" zoomScaleNormal="80" workbookViewId="0">
      <selection activeCell="C10" sqref="C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8" t="s">
        <v>153</v>
      </c>
      <c r="B1" t="s">
        <v>154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3</v>
      </c>
    </row>
    <row r="2" spans="1:70" x14ac:dyDescent="0.25">
      <c r="A2" s="198" t="s">
        <v>142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130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3.569774233407659E-2</v>
      </c>
      <c r="BL4">
        <v>0</v>
      </c>
      <c r="BM4">
        <v>0</v>
      </c>
      <c r="BN4" s="107">
        <f>H25*H39</f>
        <v>1.6089057431656298E-2</v>
      </c>
      <c r="BP4">
        <v>1</v>
      </c>
      <c r="BQ4">
        <v>0</v>
      </c>
      <c r="BR4" s="107">
        <f>$H$26*H39</f>
        <v>3.7601325767004826E-2</v>
      </c>
    </row>
    <row r="5" spans="1:70" x14ac:dyDescent="0.25">
      <c r="A5" s="188" t="s">
        <v>140</v>
      </c>
      <c r="B5" s="161">
        <v>550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3.6360835025363344E-2</v>
      </c>
      <c r="BL5">
        <v>1</v>
      </c>
      <c r="BM5">
        <v>1</v>
      </c>
      <c r="BN5" s="107">
        <f>$H$26*H40</f>
        <v>8.3428283126715824E-2</v>
      </c>
      <c r="BP5">
        <f>BP4+1</f>
        <v>2</v>
      </c>
      <c r="BQ5">
        <v>0</v>
      </c>
      <c r="BR5" s="107">
        <f>$H$27*H39</f>
        <v>3.8733465217519705E-2</v>
      </c>
    </row>
    <row r="6" spans="1:70" x14ac:dyDescent="0.25">
      <c r="A6" s="2" t="s">
        <v>1</v>
      </c>
      <c r="B6" s="168">
        <v>11.75</v>
      </c>
      <c r="C6" s="169">
        <v>11.25</v>
      </c>
      <c r="E6" s="192" t="s">
        <v>17</v>
      </c>
      <c r="F6" s="167" t="s">
        <v>123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2.2645743293356294E-2</v>
      </c>
      <c r="BL6">
        <f>BH14+1</f>
        <v>2</v>
      </c>
      <c r="BM6">
        <v>2</v>
      </c>
      <c r="BN6" s="107">
        <f>$H$27*H41</f>
        <v>8.753658470780265E-2</v>
      </c>
      <c r="BP6">
        <f>BL5+1</f>
        <v>2</v>
      </c>
      <c r="BQ6">
        <v>1</v>
      </c>
      <c r="BR6" s="107">
        <f>$H$27*H40</f>
        <v>8.5940227817223575E-2</v>
      </c>
    </row>
    <row r="7" spans="1:70" x14ac:dyDescent="0.25">
      <c r="A7" s="5" t="s">
        <v>2</v>
      </c>
      <c r="B7" s="168">
        <v>17.5</v>
      </c>
      <c r="C7" s="169">
        <v>9.5</v>
      </c>
      <c r="E7" s="192" t="s">
        <v>18</v>
      </c>
      <c r="F7" s="167" t="s">
        <v>16</v>
      </c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9.6404595434279438E-3</v>
      </c>
      <c r="BL7">
        <f>BH23+1</f>
        <v>3</v>
      </c>
      <c r="BM7">
        <v>3</v>
      </c>
      <c r="BN7" s="107">
        <f>$H$28*H42</f>
        <v>3.3443458068845813E-2</v>
      </c>
      <c r="BP7">
        <f>BP5+1</f>
        <v>3</v>
      </c>
      <c r="BQ7">
        <v>0</v>
      </c>
      <c r="BR7" s="107">
        <f>$H$28*H39</f>
        <v>2.3760479424877485E-2</v>
      </c>
    </row>
    <row r="8" spans="1:70" x14ac:dyDescent="0.25">
      <c r="A8" s="5" t="s">
        <v>3</v>
      </c>
      <c r="B8" s="168">
        <v>20.5</v>
      </c>
      <c r="C8" s="169">
        <v>9.5</v>
      </c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2.9619241742926843E-3</v>
      </c>
      <c r="BL8">
        <f>BH31+1</f>
        <v>4</v>
      </c>
      <c r="BM8">
        <v>4</v>
      </c>
      <c r="BN8" s="107">
        <f>$H$29*H43</f>
        <v>5.8557534043840627E-3</v>
      </c>
      <c r="BP8">
        <f>BP6+1</f>
        <v>3</v>
      </c>
      <c r="BQ8">
        <v>1</v>
      </c>
      <c r="BR8" s="107">
        <f>$H$28*H40</f>
        <v>5.271877957092274E-2</v>
      </c>
    </row>
    <row r="9" spans="1:70" x14ac:dyDescent="0.25">
      <c r="A9" s="5" t="s">
        <v>4</v>
      </c>
      <c r="B9" s="168">
        <v>17.5</v>
      </c>
      <c r="C9" s="169">
        <v>7.75</v>
      </c>
      <c r="E9" s="192" t="s">
        <v>18</v>
      </c>
      <c r="F9" s="167" t="s">
        <v>144</v>
      </c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6.7500812010636946E-4</v>
      </c>
      <c r="BL9">
        <f>BH38+1</f>
        <v>5</v>
      </c>
      <c r="BM9">
        <v>5</v>
      </c>
      <c r="BN9" s="107">
        <f>$H$30*H44</f>
        <v>5.2622307094304954E-4</v>
      </c>
      <c r="BP9">
        <f>BL6+1</f>
        <v>3</v>
      </c>
      <c r="BQ9">
        <v>2</v>
      </c>
      <c r="BR9" s="107">
        <f>$H$28*H41</f>
        <v>5.369804142731377E-2</v>
      </c>
    </row>
    <row r="10" spans="1:70" x14ac:dyDescent="0.25">
      <c r="A10" s="6" t="s">
        <v>5</v>
      </c>
      <c r="B10" s="168">
        <v>1.75</v>
      </c>
      <c r="C10" s="169">
        <v>14.5</v>
      </c>
      <c r="E10" s="192" t="s">
        <v>17</v>
      </c>
      <c r="F10" s="167" t="s">
        <v>123</v>
      </c>
      <c r="G10" s="167"/>
      <c r="H10" s="10"/>
      <c r="I10" s="10"/>
      <c r="J10" s="166"/>
      <c r="K10" s="166"/>
      <c r="L10" s="10"/>
      <c r="M10" s="10"/>
      <c r="O10" s="67">
        <f>COUNTIF(F14:F18,"RAP")*0.085</f>
        <v>0.17</v>
      </c>
      <c r="P10" s="16" t="str">
        <f>R3</f>
        <v>0,72</v>
      </c>
      <c r="Q10" s="16">
        <f t="shared" si="1"/>
        <v>0.12240000000000001</v>
      </c>
      <c r="R10" s="157">
        <f t="shared" si="6"/>
        <v>0.13431033997756034</v>
      </c>
      <c r="S10" s="176">
        <f t="shared" si="2"/>
        <v>0.86568966002243963</v>
      </c>
      <c r="T10" s="177">
        <f>R10*PRODUCT(S5:S9)*PRODUCT(S11:S19)</f>
        <v>6.4612993808377733E-2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5.7907820921029175E-2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0.1285950063614939</v>
      </c>
      <c r="AC10" s="176">
        <f t="shared" si="5"/>
        <v>0.8714049936385061</v>
      </c>
      <c r="AD10" s="177">
        <f>AB10*PRODUCT(AC5:AC9)*PRODUCT(AC11:AC19)</f>
        <v>7.125438562585687E-2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4.7435748694072494E-2</v>
      </c>
      <c r="BH10">
        <v>0</v>
      </c>
      <c r="BI10">
        <v>7</v>
      </c>
      <c r="BJ10" s="107">
        <f t="shared" si="0"/>
        <v>1.1540230306538059E-4</v>
      </c>
      <c r="BL10">
        <f>BH44+1</f>
        <v>6</v>
      </c>
      <c r="BM10">
        <v>6</v>
      </c>
      <c r="BN10" s="107">
        <f>$H$31*H45</f>
        <v>2.5720223106097129E-5</v>
      </c>
      <c r="BP10">
        <f>BP7+1</f>
        <v>4</v>
      </c>
      <c r="BQ10">
        <v>0</v>
      </c>
      <c r="BR10" s="107">
        <f>$H$29*H39</f>
        <v>9.7727242570069157E-3</v>
      </c>
    </row>
    <row r="11" spans="1:70" x14ac:dyDescent="0.25">
      <c r="A11" s="6" t="s">
        <v>6</v>
      </c>
      <c r="B11" s="168">
        <v>3.25</v>
      </c>
      <c r="C11" s="169">
        <v>14.5</v>
      </c>
      <c r="E11" s="192" t="s">
        <v>19</v>
      </c>
      <c r="F11" s="167" t="s">
        <v>144</v>
      </c>
      <c r="G11" s="167"/>
      <c r="H11" s="10"/>
      <c r="I11" s="10"/>
      <c r="J11" s="166" t="s">
        <v>123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0.17</v>
      </c>
      <c r="P11" s="16" t="str">
        <f>R3</f>
        <v>0,72</v>
      </c>
      <c r="Q11" s="16">
        <f t="shared" si="1"/>
        <v>0.12240000000000001</v>
      </c>
      <c r="R11" s="157">
        <f t="shared" si="6"/>
        <v>0.13431033997756034</v>
      </c>
      <c r="S11" s="176">
        <f t="shared" si="2"/>
        <v>0.86568966002243963</v>
      </c>
      <c r="T11" s="177">
        <f>R11*PRODUCT(S5:S10)*PRODUCT(S12:S19)</f>
        <v>6.4612993808377733E-2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4.7883220228505871E-2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0.1285950063614939</v>
      </c>
      <c r="AC11" s="176">
        <f t="shared" si="5"/>
        <v>0.8714049936385061</v>
      </c>
      <c r="AD11" s="177">
        <f>AB11*PRODUCT(AC5:AC10)*PRODUCT(AC12:AC19)</f>
        <v>7.1254385625856856E-2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3.692059415659165E-2</v>
      </c>
      <c r="BH11">
        <v>0</v>
      </c>
      <c r="BI11">
        <v>8</v>
      </c>
      <c r="BJ11" s="107">
        <f t="shared" si="0"/>
        <v>1.4790357812214644E-5</v>
      </c>
      <c r="BL11">
        <f>BH50+1</f>
        <v>7</v>
      </c>
      <c r="BM11">
        <v>7</v>
      </c>
      <c r="BN11" s="107">
        <f>$H$32*H46</f>
        <v>7.0111921452373516E-7</v>
      </c>
      <c r="BP11">
        <f>BP8+1</f>
        <v>4</v>
      </c>
      <c r="BQ11">
        <v>1</v>
      </c>
      <c r="BR11" s="107">
        <f>$H$29*H40</f>
        <v>2.168332072345017E-2</v>
      </c>
    </row>
    <row r="12" spans="1:70" x14ac:dyDescent="0.25">
      <c r="A12" s="6" t="s">
        <v>7</v>
      </c>
      <c r="B12" s="168">
        <v>2.75</v>
      </c>
      <c r="C12" s="169">
        <v>9.75</v>
      </c>
      <c r="E12" s="192" t="s">
        <v>19</v>
      </c>
      <c r="F12" s="167" t="s">
        <v>144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1.4035308327046467E-6</v>
      </c>
      <c r="BL12">
        <f>BH54+1</f>
        <v>8</v>
      </c>
      <c r="BM12">
        <v>8</v>
      </c>
      <c r="BN12" s="107">
        <f>$H$33*H47</f>
        <v>1.06630214461564E-8</v>
      </c>
      <c r="BP12">
        <f>BP9+1</f>
        <v>4</v>
      </c>
      <c r="BQ12">
        <v>2</v>
      </c>
      <c r="BR12" s="107">
        <f>$H$29*H41</f>
        <v>2.2086092735192249E-2</v>
      </c>
    </row>
    <row r="13" spans="1:70" x14ac:dyDescent="0.25">
      <c r="A13" s="7" t="s">
        <v>8</v>
      </c>
      <c r="B13" s="168">
        <v>13</v>
      </c>
      <c r="C13" s="169">
        <v>11.5</v>
      </c>
      <c r="E13" s="192" t="s">
        <v>19</v>
      </c>
      <c r="F13" s="167" t="s">
        <v>16</v>
      </c>
      <c r="G13" s="167"/>
      <c r="H13" s="10"/>
      <c r="I13" s="10"/>
      <c r="J13" s="166" t="s">
        <v>144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5.4865334958153732E-2</v>
      </c>
      <c r="S13" s="176">
        <f t="shared" si="2"/>
        <v>0.94513466504184629</v>
      </c>
      <c r="T13" s="177">
        <f>R13*PRODUCT(S5:S12)*PRODUCT(S14:S19)</f>
        <v>2.4175584828634283E-2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1.6512576549498906E-2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5.2530639853551428E-2</v>
      </c>
      <c r="AC13" s="176">
        <f t="shared" si="5"/>
        <v>0.94746936014644856</v>
      </c>
      <c r="AD13" s="177">
        <f>AB13*PRODUCT(AC5:AC12)*PRODUCT(AC14:AC19)</f>
        <v>2.6770412076940104E-2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1.2386904781019233E-2</v>
      </c>
      <c r="BH13">
        <v>0</v>
      </c>
      <c r="BI13">
        <v>10</v>
      </c>
      <c r="BJ13" s="107">
        <f t="shared" si="0"/>
        <v>9.5966279757099032E-8</v>
      </c>
      <c r="BL13">
        <f>BH57+1</f>
        <v>9</v>
      </c>
      <c r="BM13">
        <v>9</v>
      </c>
      <c r="BN13" s="107">
        <f>$H$34*H48</f>
        <v>8.8363716891249582E-11</v>
      </c>
      <c r="BP13">
        <f>BL7+1</f>
        <v>4</v>
      </c>
      <c r="BQ13">
        <v>3</v>
      </c>
      <c r="BR13" s="107">
        <f>$H$29*H42</f>
        <v>1.3755349295073761E-2</v>
      </c>
    </row>
    <row r="14" spans="1:70" x14ac:dyDescent="0.25">
      <c r="A14" s="7" t="s">
        <v>9</v>
      </c>
      <c r="B14" s="168">
        <v>11.75</v>
      </c>
      <c r="C14" s="169">
        <v>9.5</v>
      </c>
      <c r="E14" s="192" t="s">
        <v>20</v>
      </c>
      <c r="F14" s="167" t="s">
        <v>123</v>
      </c>
      <c r="G14" s="167"/>
      <c r="H14" s="10"/>
      <c r="I14" s="10"/>
      <c r="J14" s="166" t="s">
        <v>16</v>
      </c>
      <c r="K14" s="166"/>
      <c r="L14" s="10"/>
      <c r="M14" s="10"/>
      <c r="O14" s="67">
        <f>COUNTIF(F6:F18,"CAB")*0.095</f>
        <v>0.38</v>
      </c>
      <c r="P14" s="144">
        <v>0.95</v>
      </c>
      <c r="Q14" s="16">
        <f t="shared" si="1"/>
        <v>0.36099999999999999</v>
      </c>
      <c r="R14" s="157">
        <f t="shared" si="6"/>
        <v>0.39612771839786987</v>
      </c>
      <c r="S14" s="176">
        <f t="shared" si="2"/>
        <v>0.60387228160213013</v>
      </c>
      <c r="T14" s="177">
        <f>R14*PRODUCT(S5:S13)*PRODUCT(S15:S19)</f>
        <v>0.27318873250143982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7.3891189446868011E-3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0.284453414806981</v>
      </c>
      <c r="AC14" s="176">
        <f t="shared" si="5"/>
        <v>0.71554658519301895</v>
      </c>
      <c r="AD14" s="177">
        <f>AB14*PRODUCT(AC5:AC13)*PRODUCT(AC15:AC19)</f>
        <v>0.19194675665806674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1.2510270914706249E-2</v>
      </c>
      <c r="BH14">
        <v>1</v>
      </c>
      <c r="BI14">
        <v>2</v>
      </c>
      <c r="BJ14" s="107">
        <f t="shared" ref="BJ14:BJ22" si="7">$H$26*H41</f>
        <v>8.4977980143132431E-2</v>
      </c>
      <c r="BL14">
        <f>BP39+1</f>
        <v>10</v>
      </c>
      <c r="BM14">
        <v>10</v>
      </c>
      <c r="BN14" s="107">
        <f>$H$35*H49</f>
        <v>3.779904093400114E-13</v>
      </c>
      <c r="BP14">
        <f>BP10+1</f>
        <v>5</v>
      </c>
      <c r="BQ14">
        <v>0</v>
      </c>
      <c r="BR14" s="107">
        <f>$H$30*H39</f>
        <v>2.8584233464676988E-3</v>
      </c>
    </row>
    <row r="15" spans="1:70" x14ac:dyDescent="0.25">
      <c r="A15" s="189" t="s">
        <v>71</v>
      </c>
      <c r="B15" s="170">
        <v>8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5.292478906402881E-2</v>
      </c>
      <c r="BP15">
        <f>BP11+1</f>
        <v>5</v>
      </c>
      <c r="BQ15">
        <v>1</v>
      </c>
      <c r="BR15" s="107">
        <f>$H$30*H40</f>
        <v>6.3421527667086178E-3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2.2530472115963322E-2</v>
      </c>
      <c r="BP16">
        <f>BP12+1</f>
        <v>5</v>
      </c>
      <c r="BQ16">
        <v>2</v>
      </c>
      <c r="BR16" s="107">
        <f>$H$30*H41</f>
        <v>6.4599595206280133E-3</v>
      </c>
    </row>
    <row r="17" spans="1:70" x14ac:dyDescent="0.25">
      <c r="A17" s="188" t="s">
        <v>10</v>
      </c>
      <c r="B17" s="172" t="s">
        <v>150</v>
      </c>
      <c r="C17" s="173" t="s">
        <v>11</v>
      </c>
      <c r="E17" s="192" t="s">
        <v>22</v>
      </c>
      <c r="F17" s="167" t="s">
        <v>144</v>
      </c>
      <c r="G17" s="167"/>
      <c r="H17" s="10"/>
      <c r="I17" s="10"/>
      <c r="J17" s="166" t="s">
        <v>123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2.6335360779913788E-2</v>
      </c>
      <c r="S17" s="176">
        <f t="shared" si="2"/>
        <v>0.97366463922008617</v>
      </c>
      <c r="T17" s="177">
        <f>R17*PRODUCT(S5:S16)*PRODUCT(S18:S19)</f>
        <v>1.126425622070666E-2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2.5214707129704687E-2</v>
      </c>
      <c r="AC17" s="176">
        <f t="shared" si="5"/>
        <v>0.97478529287029536</v>
      </c>
      <c r="AD17" s="177">
        <f>AB17*PRODUCT(AC5:AC16)*PRODUCT(AC18:AC19)</f>
        <v>1.2489714181900024E-2</v>
      </c>
      <c r="AE17" s="177">
        <f>AB17*AB18*PRODUCT(AC5:AC16)*AC19+AB17*AB19*PRODUCT(AC5:AC16)*AC18</f>
        <v>4.909556835053702E-4</v>
      </c>
      <c r="BH17">
        <v>1</v>
      </c>
      <c r="BI17">
        <v>5</v>
      </c>
      <c r="BJ17" s="107">
        <f t="shared" si="7"/>
        <v>6.9222374429227657E-3</v>
      </c>
      <c r="BP17">
        <f>BP13+1</f>
        <v>5</v>
      </c>
      <c r="BQ17">
        <v>3</v>
      </c>
      <c r="BR17" s="107">
        <f>$H$30*H42</f>
        <v>4.0233010294612485E-3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1.577544261204134E-3</v>
      </c>
      <c r="BP18">
        <f>BL8+1</f>
        <v>5</v>
      </c>
      <c r="BQ18">
        <v>4</v>
      </c>
      <c r="BR18" s="107">
        <f>$H$30*H43</f>
        <v>1.7127488509918844E-3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3.7822060694557021E-2</v>
      </c>
      <c r="AC19" s="178">
        <f t="shared" si="5"/>
        <v>0.96217793930544293</v>
      </c>
      <c r="AD19" s="179">
        <f>AB19*PRODUCT(AC5:AC18)</f>
        <v>1.8980049114602719E-2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2.6970377912171359E-4</v>
      </c>
      <c r="BP19">
        <f>BP15+1</f>
        <v>6</v>
      </c>
      <c r="BQ19">
        <v>1</v>
      </c>
      <c r="BR19" s="107">
        <f>$H$31*H40</f>
        <v>1.3602116328196667E-3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0.41645937797753857</v>
      </c>
      <c r="T20" s="181">
        <f>SUM(T5:T19)</f>
        <v>0.43785456116753624</v>
      </c>
      <c r="U20" s="181">
        <f>SUM(U5:U19)</f>
        <v>0.12969273664372077</v>
      </c>
      <c r="V20" s="181">
        <f>1-S20-T20-U20</f>
        <v>1.5993324211204474E-2</v>
      </c>
      <c r="W20" s="21"/>
      <c r="X20" s="22"/>
      <c r="Y20" s="22"/>
      <c r="Z20" s="22"/>
      <c r="AA20" s="22"/>
      <c r="AB20" s="23"/>
      <c r="AC20" s="184">
        <f>PRODUCT(AC5:AC19)</f>
        <v>0.48284477920137903</v>
      </c>
      <c r="AD20" s="181">
        <f>SUM(AD5:AD19)</f>
        <v>0.39269570328322334</v>
      </c>
      <c r="AE20" s="181">
        <f>SUM(AE5:AE19)</f>
        <v>0.10974447422989499</v>
      </c>
      <c r="AF20" s="181">
        <f>1-AC20-AD20-AE20</f>
        <v>1.4715043285502646E-2</v>
      </c>
      <c r="BH20">
        <v>1</v>
      </c>
      <c r="BI20">
        <v>8</v>
      </c>
      <c r="BJ20" s="107">
        <f t="shared" si="7"/>
        <v>3.4566168010153947E-5</v>
      </c>
      <c r="BP20">
        <f>BP16+1</f>
        <v>6</v>
      </c>
      <c r="BQ20">
        <v>2</v>
      </c>
      <c r="BR20" s="107">
        <f>$H$31*H41</f>
        <v>1.3854778354799105E-3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0.41645937797753857</v>
      </c>
      <c r="T21" s="183">
        <f>T20*V1</f>
        <v>0.43785456116753624</v>
      </c>
      <c r="U21" s="183">
        <f>U20*V1</f>
        <v>0.12969273664372077</v>
      </c>
      <c r="V21" s="183">
        <f>V20*V1</f>
        <v>1.5993324211204474E-2</v>
      </c>
      <c r="W21" s="21"/>
      <c r="X21" s="22"/>
      <c r="Y21" s="22"/>
      <c r="Z21" s="22"/>
      <c r="AA21" s="22"/>
      <c r="AB21" s="23"/>
      <c r="AC21" s="185">
        <f>1-AD21-AE21-AF21</f>
        <v>0.48284477920137903</v>
      </c>
      <c r="AD21" s="183">
        <f>AD20*V1</f>
        <v>0.39269570328322334</v>
      </c>
      <c r="AE21" s="183">
        <f>AE20*V1</f>
        <v>0.10974447422989499</v>
      </c>
      <c r="AF21" s="183">
        <f>AF20*V1</f>
        <v>1.4715043285502646E-2</v>
      </c>
      <c r="BH21" s="18">
        <v>1</v>
      </c>
      <c r="BI21">
        <v>9</v>
      </c>
      <c r="BJ21" s="107">
        <f t="shared" si="7"/>
        <v>3.2801561116144302E-6</v>
      </c>
      <c r="BP21">
        <f>BP17+1</f>
        <v>6</v>
      </c>
      <c r="BQ21">
        <v>3</v>
      </c>
      <c r="BR21" s="107">
        <f>$H$31*H42</f>
        <v>8.6288379733378943E-4</v>
      </c>
    </row>
    <row r="22" spans="1:70" x14ac:dyDescent="0.25">
      <c r="A22" s="26" t="s">
        <v>77</v>
      </c>
      <c r="B22" s="62">
        <f>(B6)/((B6)+(C6))</f>
        <v>0.51086956521739135</v>
      </c>
      <c r="C22" s="63">
        <f>1-B22</f>
        <v>0.48913043478260865</v>
      </c>
      <c r="D22" s="24"/>
      <c r="E22" s="24"/>
      <c r="V22" s="59">
        <f>SUM(V25:V35)</f>
        <v>1</v>
      </c>
      <c r="AS22" s="82">
        <f>Y23+AA23+AC23+AE23+AG23+AI23+AK23+AM23+AO23+AQ23+AS23</f>
        <v>0.99999999999999967</v>
      </c>
      <c r="BH22">
        <v>1</v>
      </c>
      <c r="BI22">
        <v>10</v>
      </c>
      <c r="BJ22" s="107">
        <f t="shared" si="7"/>
        <v>2.2428034476987544E-7</v>
      </c>
      <c r="BP22">
        <f>BP18+1</f>
        <v>6</v>
      </c>
      <c r="BQ22">
        <v>4</v>
      </c>
      <c r="BR22" s="107">
        <f>$H$31*H43</f>
        <v>3.6733598147411421E-4</v>
      </c>
    </row>
    <row r="23" spans="1:70" ht="15.75" thickBot="1" x14ac:dyDescent="0.3">
      <c r="A23" s="40" t="s">
        <v>67</v>
      </c>
      <c r="B23" s="56">
        <f>((B22^2.8)/((B22^2.8)+(C22^2.8)))*B21</f>
        <v>2.6520101412118544</v>
      </c>
      <c r="C23" s="57">
        <f>B21-B23</f>
        <v>2.3479898587881456</v>
      </c>
      <c r="D23" s="151">
        <f>SUM(D25:D30)</f>
        <v>1.0003500000000001</v>
      </c>
      <c r="E23" s="151">
        <f>SUM(E25:E30)</f>
        <v>1</v>
      </c>
      <c r="H23" s="59">
        <f>SUM(H25:H35)</f>
        <v>0.99999997864262935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0.99800029139383428</v>
      </c>
      <c r="Y23" s="80">
        <f>SUM(Y25:Y35)</f>
        <v>5.1372578807569447E-4</v>
      </c>
      <c r="Z23" s="81"/>
      <c r="AA23" s="80">
        <f>SUM(AA25:AA35)</f>
        <v>5.8101802323223027E-3</v>
      </c>
      <c r="AB23" s="81"/>
      <c r="AC23" s="80">
        <f>SUM(AC25:AC35)</f>
        <v>2.9579348680980621E-2</v>
      </c>
      <c r="AD23" s="81"/>
      <c r="AE23" s="80">
        <f>SUM(AE25:AE35)</f>
        <v>8.927296247962159E-2</v>
      </c>
      <c r="AF23" s="81"/>
      <c r="AG23" s="80">
        <f>SUM(AG25:AG35)</f>
        <v>0.1769179014558713</v>
      </c>
      <c r="AH23" s="81"/>
      <c r="AI23" s="80">
        <f>SUM(AI25:AI35)</f>
        <v>0.24062608990153017</v>
      </c>
      <c r="AJ23" s="81"/>
      <c r="AK23" s="80">
        <f>SUM(AK25:AK35)</f>
        <v>0.22758867794012497</v>
      </c>
      <c r="AL23" s="81"/>
      <c r="AM23" s="80">
        <f>SUM(AM25:AM35)</f>
        <v>0.14796048284944122</v>
      </c>
      <c r="AN23" s="81"/>
      <c r="AO23" s="80">
        <f>SUM(AO25:AO35)</f>
        <v>6.3427978922320466E-2</v>
      </c>
      <c r="AP23" s="81"/>
      <c r="AQ23" s="80">
        <f>SUM(AQ25:AQ35)</f>
        <v>1.6302943143545655E-2</v>
      </c>
      <c r="AR23" s="81"/>
      <c r="AS23" s="80">
        <f>SUM(AS25:AS35)</f>
        <v>1.9997086061657168E-3</v>
      </c>
      <c r="BH23">
        <f t="shared" ref="BH23:BH30" si="8">BH15+1</f>
        <v>2</v>
      </c>
      <c r="BI23">
        <v>3</v>
      </c>
      <c r="BJ23" s="107">
        <f t="shared" ref="BJ23:BJ30" si="9">$H$27*H42</f>
        <v>5.4518303132677519E-2</v>
      </c>
      <c r="BP23">
        <f>BL9+1</f>
        <v>6</v>
      </c>
      <c r="BQ23">
        <v>5</v>
      </c>
      <c r="BR23" s="107">
        <f>$H$31*H44</f>
        <v>1.1285990244701875E-4</v>
      </c>
    </row>
    <row r="24" spans="1:70" ht="15.75" thickBot="1" x14ac:dyDescent="0.3">
      <c r="A24" s="26" t="s">
        <v>76</v>
      </c>
      <c r="B24" s="64">
        <f>B23/B21</f>
        <v>0.53040202824237093</v>
      </c>
      <c r="C24" s="65">
        <f>C23/B21</f>
        <v>0.46959797175762913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2.3208842779786843E-2</v>
      </c>
      <c r="BP24">
        <f>BH49+1</f>
        <v>7</v>
      </c>
      <c r="BQ24">
        <v>0</v>
      </c>
      <c r="BR24" s="107">
        <f t="shared" ref="BR24:BR30" si="10">$H$32*H39</f>
        <v>9.7748025899615745E-5</v>
      </c>
    </row>
    <row r="25" spans="1:70" x14ac:dyDescent="0.25">
      <c r="A25" s="26" t="s">
        <v>69</v>
      </c>
      <c r="B25" s="117">
        <f>1/(1+EXP(-3.1416*4*((B11/(B11+C8))-(3.1416/6))))</f>
        <v>3.3035883410949055E-2</v>
      </c>
      <c r="C25" s="118">
        <f>1/(1+EXP(-3.1416*4*((C11/(C11+B8))-(3.1416/6))))</f>
        <v>0.20202480276155996</v>
      </c>
      <c r="D25" s="153">
        <f>IF(B17="AOW", 0.36-0.08, IF(B17="AIM", 0.36+0.08, IF(B17="TL",(0.361)-(0.36*B32),0.36)))</f>
        <v>0.23499999999999999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0.12420246670182408</v>
      </c>
      <c r="I25" s="97">
        <v>0</v>
      </c>
      <c r="J25" s="98">
        <f t="shared" ref="J25:J35" si="11">Y25+AA25+AC25+AE25+AG25+AI25+AK25+AM25+AO25+AQ25+AS25</f>
        <v>0.29823428951220027</v>
      </c>
      <c r="K25" s="97">
        <v>0</v>
      </c>
      <c r="L25" s="98">
        <f>S21</f>
        <v>0.41645937797753857</v>
      </c>
      <c r="M25" s="84">
        <v>0</v>
      </c>
      <c r="N25" s="71">
        <f>(1-$B$24)^$B$21</f>
        <v>2.2836579883432524E-2</v>
      </c>
      <c r="O25" s="70">
        <v>0</v>
      </c>
      <c r="P25" s="71">
        <f>N25</f>
        <v>2.2836579883432524E-2</v>
      </c>
      <c r="Q25" s="12">
        <v>0</v>
      </c>
      <c r="R25" s="73">
        <f>P25*N25</f>
        <v>5.2150938077239503E-4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5.1372578807569447E-4</v>
      </c>
      <c r="W25" s="136">
        <f>B31</f>
        <v>0.21430945839772136</v>
      </c>
      <c r="X25" s="12">
        <v>0</v>
      </c>
      <c r="Y25" s="79">
        <f>V25</f>
        <v>5.1372578807569447E-4</v>
      </c>
      <c r="Z25" s="12">
        <v>0</v>
      </c>
      <c r="AA25" s="78">
        <f>((1-W25)^Z26)*V26</f>
        <v>4.5650036535401627E-3</v>
      </c>
      <c r="AB25" s="12">
        <v>0</v>
      </c>
      <c r="AC25" s="79">
        <f>(((1-$W$25)^AB27))*V27</f>
        <v>1.825961670598886E-2</v>
      </c>
      <c r="AD25" s="12">
        <v>0</v>
      </c>
      <c r="AE25" s="79">
        <f>(((1-$W$25)^AB28))*V28</f>
        <v>4.329866655751366E-2</v>
      </c>
      <c r="AF25" s="12">
        <v>0</v>
      </c>
      <c r="AG25" s="79">
        <f>(((1-$W$25)^AB29))*V29</f>
        <v>6.7418312725817567E-2</v>
      </c>
      <c r="AH25" s="12">
        <v>0</v>
      </c>
      <c r="AI25" s="79">
        <f>(((1-$W$25)^AB30))*V30</f>
        <v>7.2044418271079269E-2</v>
      </c>
      <c r="AJ25" s="12">
        <v>0</v>
      </c>
      <c r="AK25" s="79">
        <f>(((1-$W$25)^AB31))*V31</f>
        <v>5.353771149114122E-2</v>
      </c>
      <c r="AL25" s="12">
        <v>0</v>
      </c>
      <c r="AM25" s="79">
        <f>(((1-$W$25)^AB32))*V32</f>
        <v>2.7346793731444927E-2</v>
      </c>
      <c r="AN25" s="12">
        <v>0</v>
      </c>
      <c r="AO25" s="79">
        <f>(((1-$W$25)^AB33))*V33</f>
        <v>9.2107092464137272E-3</v>
      </c>
      <c r="AP25" s="12">
        <v>0</v>
      </c>
      <c r="AQ25" s="79">
        <f>(((1-$W$25)^AB34))*V34</f>
        <v>1.8600719299534955E-3</v>
      </c>
      <c r="AR25" s="12">
        <v>0</v>
      </c>
      <c r="AS25" s="79">
        <f>(((1-$W$25)^AB35))*V35</f>
        <v>1.792594112316375E-4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7.1306592986712944E-3</v>
      </c>
      <c r="BP25">
        <f>BP19+1</f>
        <v>7</v>
      </c>
      <c r="BQ25">
        <v>1</v>
      </c>
      <c r="BR25" s="107">
        <f t="shared" si="10"/>
        <v>2.1687932043573489E-4</v>
      </c>
    </row>
    <row r="26" spans="1:70" x14ac:dyDescent="0.25">
      <c r="A26" s="40" t="s">
        <v>24</v>
      </c>
      <c r="B26" s="119">
        <f>1/(1+EXP(-3.1416*4*((B10/(B10+C9))-(3.1416/6))))</f>
        <v>1.3858461850615497E-2</v>
      </c>
      <c r="C26" s="120">
        <f>1/(1+EXP(-3.1416*4*((C10/(C10+B9))-(3.1416/6))))</f>
        <v>0.29201514393742023</v>
      </c>
      <c r="D26" s="153">
        <f>IF(B17="AOW", 0.257+0.04, IF(B17="AIM", 0.257-0.04, IF(B17="TL",(0.257)-(0.257*B32),0.257)))</f>
        <v>0.16705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0.29027041710547752</v>
      </c>
      <c r="I26" s="93">
        <v>1</v>
      </c>
      <c r="J26" s="86">
        <f t="shared" si="11"/>
        <v>0.38343997419746845</v>
      </c>
      <c r="K26" s="93">
        <v>1</v>
      </c>
      <c r="L26" s="86">
        <f>T21</f>
        <v>0.43785456116753624</v>
      </c>
      <c r="M26" s="85">
        <v>1</v>
      </c>
      <c r="N26" s="71">
        <f>(($B$24)^M26)*((1-($B$24))^($B$21-M26))*HLOOKUP($B$21,$AV$24:$BF$34,M26+1)</f>
        <v>0.12896742550820822</v>
      </c>
      <c r="O26" s="72">
        <v>1</v>
      </c>
      <c r="P26" s="71">
        <f t="shared" ref="P26:P30" si="12">N26</f>
        <v>0.12896742550820822</v>
      </c>
      <c r="Q26" s="28">
        <v>1</v>
      </c>
      <c r="R26" s="37">
        <f>N26*P25+P26*N25</f>
        <v>5.8903498299576612E-3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5.8101802323223027E-3</v>
      </c>
      <c r="W26" s="137"/>
      <c r="X26" s="28">
        <v>1</v>
      </c>
      <c r="Y26" s="73"/>
      <c r="Z26" s="28">
        <v>1</v>
      </c>
      <c r="AA26" s="79">
        <f>(1-((1-W25)^Z26))*V26</f>
        <v>1.24517657878214E-3</v>
      </c>
      <c r="AB26" s="28">
        <v>1</v>
      </c>
      <c r="AC26" s="79">
        <f>((($W$25)^M26)*((1-($W$25))^($U$27-M26))*HLOOKUP($U$27,$AV$24:$BF$34,M26+1))*V27</f>
        <v>9.9611955588268953E-3</v>
      </c>
      <c r="AD26" s="28">
        <v>1</v>
      </c>
      <c r="AE26" s="79">
        <f>((($W$25)^M26)*((1-($W$25))^($U$28-M26))*HLOOKUP($U$28,$AV$24:$BF$34,M26+1))*V28</f>
        <v>3.5431177879629593E-2</v>
      </c>
      <c r="AF26" s="28">
        <v>1</v>
      </c>
      <c r="AG26" s="79">
        <f>((($W$25)^M26)*((1-($W$25))^($U$29-M26))*HLOOKUP($U$29,$AV$24:$BF$34,M26+1))*V29</f>
        <v>7.3557622607461806E-2</v>
      </c>
      <c r="AH26" s="28">
        <v>1</v>
      </c>
      <c r="AI26" s="79">
        <f>((($W$25)^M26)*((1-($W$25))^($U$30-M26))*HLOOKUP($U$30,$AV$24:$BF$34,M26+1))*V30</f>
        <v>9.8256243665394788E-2</v>
      </c>
      <c r="AJ26" s="28">
        <v>1</v>
      </c>
      <c r="AK26" s="79">
        <f>((($W$25)^M26)*((1-($W$25))^($U$31-M26))*HLOOKUP($U$31,$AV$24:$BF$34,M26+1))*V31</f>
        <v>8.7619519487569159E-2</v>
      </c>
      <c r="AL26" s="28">
        <v>1</v>
      </c>
      <c r="AM26" s="79">
        <f>((($W$25)^Q26)*((1-($W$25))^($U$32-Q26))*HLOOKUP($U$32,$AV$24:$BF$34,Q26+1))*V32</f>
        <v>5.2214878125983751E-2</v>
      </c>
      <c r="AN26" s="28">
        <v>1</v>
      </c>
      <c r="AO26" s="79">
        <f>((($W$25)^Q26)*((1-($W$25))^($U$33-Q26))*HLOOKUP($U$33,$AV$24:$BF$34,Q26+1))*V33</f>
        <v>2.009892705117514E-2</v>
      </c>
      <c r="AP26" s="28">
        <v>1</v>
      </c>
      <c r="AQ26" s="79">
        <f>((($W$25)^Q26)*((1-($W$25))^($U$34-Q26))*HLOOKUP($U$34,$AV$24:$BF$34,Q26+1))*V34</f>
        <v>4.5662749912781147E-3</v>
      </c>
      <c r="AR26" s="28">
        <v>1</v>
      </c>
      <c r="AS26" s="79">
        <f>((($W$25)^Q26)*((1-($W$25))^($U$35-Q26))*HLOOKUP($U$35,$AV$24:$BF$34,Q26+1))*V35</f>
        <v>4.8895825136703185E-4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1.6250425888989985E-3</v>
      </c>
      <c r="BP26">
        <f>BP20+1</f>
        <v>7</v>
      </c>
      <c r="BQ26">
        <v>2</v>
      </c>
      <c r="BR26" s="107">
        <f t="shared" si="10"/>
        <v>2.2090789711507556E-4</v>
      </c>
    </row>
    <row r="27" spans="1:70" x14ac:dyDescent="0.25">
      <c r="A27" s="26" t="s">
        <v>25</v>
      </c>
      <c r="B27" s="119">
        <f>1/(1+EXP(-3.1416*4*((B12/(B12+C7))-(3.1416/6))))</f>
        <v>2.2782012025134538E-2</v>
      </c>
      <c r="C27" s="120">
        <f>1/(1+EXP(-3.1416*4*((C12/(C12+B7))-(3.1416/6))))</f>
        <v>0.11070773993195207</v>
      </c>
      <c r="D27" s="153">
        <f>D26</f>
        <v>0.16705</v>
      </c>
      <c r="E27" s="153">
        <f>E26</f>
        <v>0.25700000000000001</v>
      </c>
      <c r="G27" s="87">
        <v>2</v>
      </c>
      <c r="H27" s="128">
        <f>L25*J27+J26*L26+J25*L27</f>
        <v>0.2990101778404804</v>
      </c>
      <c r="I27" s="93">
        <v>2</v>
      </c>
      <c r="J27" s="86">
        <f t="shared" si="11"/>
        <v>0.22196742329406546</v>
      </c>
      <c r="K27" s="93">
        <v>2</v>
      </c>
      <c r="L27" s="86">
        <f>U21</f>
        <v>0.12969273664372077</v>
      </c>
      <c r="M27" s="85">
        <v>2</v>
      </c>
      <c r="N27" s="71">
        <f>(($B$24)^M27)*((1-($B$24))^($B$21-M27))*HLOOKUP($B$21,$AV$24:$BF$34,M27+1)</f>
        <v>0.29133253625744276</v>
      </c>
      <c r="O27" s="72">
        <v>2</v>
      </c>
      <c r="P27" s="71">
        <f t="shared" si="12"/>
        <v>0.29133253625744276</v>
      </c>
      <c r="Q27" s="28">
        <v>2</v>
      </c>
      <c r="R27" s="37">
        <f>P25*N27+P26*N26+P27*N25</f>
        <v>2.9938674315987426E-2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2.9579348680980621E-2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1.3585364161648628E-3</v>
      </c>
      <c r="AD27" s="28">
        <v>2</v>
      </c>
      <c r="AE27" s="79">
        <f>((($W$25)^M27)*((1-($W$25))^($U$28-M27))*HLOOKUP($U$28,$AV$24:$BF$34,M27+1))*V28</f>
        <v>9.6644112913611829E-3</v>
      </c>
      <c r="AF27" s="28">
        <v>2</v>
      </c>
      <c r="AG27" s="79">
        <f>((($W$25)^M27)*((1-($W$25))^($U$29-M27))*HLOOKUP($U$29,$AV$24:$BF$34,M27+1))*V29</f>
        <v>3.0095998540114164E-2</v>
      </c>
      <c r="AH27" s="28">
        <v>2</v>
      </c>
      <c r="AI27" s="79">
        <f>((($W$25)^M27)*((1-($W$25))^($U$30-M27))*HLOOKUP($U$30,$AV$24:$BF$34,M27+1))*V30</f>
        <v>5.3601873127256269E-2</v>
      </c>
      <c r="AJ27" s="28">
        <v>2</v>
      </c>
      <c r="AK27" s="79">
        <f>((($W$25)^M27)*((1-($W$25))^($U$31-M27))*HLOOKUP($U$31,$AV$24:$BF$34,M27+1))*V31</f>
        <v>5.9749006676839085E-2</v>
      </c>
      <c r="AL27" s="28">
        <v>2</v>
      </c>
      <c r="AM27" s="79">
        <f>((($W$25)^Q27)*((1-($W$25))^($U$32-Q27))*HLOOKUP($U$32,$AV$24:$BF$34,Q27+1))*V32</f>
        <v>4.2727288896703276E-2</v>
      </c>
      <c r="AN27" s="28">
        <v>2</v>
      </c>
      <c r="AO27" s="79">
        <f>((($W$25)^Q27)*((1-($W$25))^($U$33-Q27))*HLOOKUP($U$33,$AV$24:$BF$34,Q27+1))*V33</f>
        <v>1.9188045164384566E-2</v>
      </c>
      <c r="AP27" s="28">
        <v>2</v>
      </c>
      <c r="AQ27" s="79">
        <f>((($W$25)^Q27)*((1-($W$25))^($U$34-Q27))*HLOOKUP($U$34,$AV$24:$BF$34,Q27+1))*V34</f>
        <v>4.9820934246208289E-3</v>
      </c>
      <c r="AR27" s="28">
        <v>2</v>
      </c>
      <c r="AS27" s="79">
        <f>((($W$25)^Q27)*((1-($W$25))^($U$35-Q27))*HLOOKUP($U$35,$AV$24:$BF$34,Q27+1))*V35</f>
        <v>6.0016975662123377E-4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2.7782429833395322E-4</v>
      </c>
      <c r="BP27">
        <f>BP21+1</f>
        <v>7</v>
      </c>
      <c r="BQ27">
        <v>3</v>
      </c>
      <c r="BR27" s="107">
        <f t="shared" si="10"/>
        <v>1.3758274599726892E-4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0.18342343341886611</v>
      </c>
      <c r="I28" s="93">
        <v>3</v>
      </c>
      <c r="J28" s="86">
        <f t="shared" si="11"/>
        <v>7.6201543540056177E-2</v>
      </c>
      <c r="K28" s="93">
        <v>3</v>
      </c>
      <c r="L28" s="86">
        <f>V21</f>
        <v>1.5993324211204474E-2</v>
      </c>
      <c r="M28" s="85">
        <v>3</v>
      </c>
      <c r="N28" s="71">
        <f>(($B$24)^M28)*((1-($B$24))^($B$21-M28))*HLOOKUP($B$21,$AV$24:$BF$34,M28+1)</f>
        <v>0.32905459013288707</v>
      </c>
      <c r="O28" s="72">
        <v>3</v>
      </c>
      <c r="P28" s="71">
        <f t="shared" si="12"/>
        <v>0.32905459013288707</v>
      </c>
      <c r="Q28" s="28">
        <v>3</v>
      </c>
      <c r="R28" s="37">
        <f>P25*N28+P26*N27+P27*N26+P28*N25</f>
        <v>9.0173777202957883E-2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8.9272962479621604E-2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8.7870675111715061E-4</v>
      </c>
      <c r="AF28" s="28">
        <v>3</v>
      </c>
      <c r="AG28" s="79">
        <f>((($W$25)^M28)*((1-($W$25))^($U$29-M28))*HLOOKUP($U$29,$AV$24:$BF$34,M28+1))*V29</f>
        <v>5.4727714501243054E-3</v>
      </c>
      <c r="AH28" s="28">
        <v>3</v>
      </c>
      <c r="AI28" s="79">
        <f>((($W$25)^M28)*((1-($W$25))^($U$30-M28))*HLOOKUP($U$30,$AV$24:$BF$34,M28+1))*V30</f>
        <v>1.462075434378928E-2</v>
      </c>
      <c r="AJ28" s="28">
        <v>3</v>
      </c>
      <c r="AK28" s="79">
        <f>((($W$25)^M28)*((1-($W$25))^($U$31-M28))*HLOOKUP($U$31,$AV$24:$BF$34,M28+1))*V31</f>
        <v>2.1729975662940802E-2</v>
      </c>
      <c r="AL28" s="28">
        <v>3</v>
      </c>
      <c r="AM28" s="79">
        <f>((($W$25)^Q28)*((1-($W$25))^($U$32-Q28))*HLOOKUP($U$32,$AV$24:$BF$34,Q28+1))*V32</f>
        <v>1.9424233964476716E-2</v>
      </c>
      <c r="AN28" s="28">
        <v>3</v>
      </c>
      <c r="AO28" s="79">
        <f>((($W$25)^Q28)*((1-($W$25))^($U$33-Q28))*HLOOKUP($U$33,$AV$24:$BF$34,Q28+1))*V33</f>
        <v>1.0467682501317122E-2</v>
      </c>
      <c r="AP28" s="28">
        <v>3</v>
      </c>
      <c r="AQ28" s="79">
        <f>((($W$25)^Q28)*((1-($W$25))^($U$34-Q28))*HLOOKUP($U$34,$AV$24:$BF$34,Q28+1))*V34</f>
        <v>3.1708702128361793E-3</v>
      </c>
      <c r="AR28" s="28">
        <v>3</v>
      </c>
      <c r="AS28" s="79">
        <f>((($W$25)^Q28)*((1-($W$25))^($U$35-Q28))*HLOOKUP($U$35,$AV$24:$BF$34,Q28+1))*V35</f>
        <v>4.3654865345461706E-4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3.5606921804313E-5</v>
      </c>
      <c r="BP28">
        <f>BP22+1</f>
        <v>7</v>
      </c>
      <c r="BQ28">
        <v>4</v>
      </c>
      <c r="BR28" s="107">
        <f t="shared" si="10"/>
        <v>5.8569987280987847E-5</v>
      </c>
    </row>
    <row r="29" spans="1:70" x14ac:dyDescent="0.25">
      <c r="A29" s="26" t="s">
        <v>27</v>
      </c>
      <c r="B29" s="123">
        <f>1/(1+EXP(-3.1416*4*((B14/(B14+C13))-(3.1416/6))))</f>
        <v>0.44299746345172347</v>
      </c>
      <c r="C29" s="118">
        <f>1/(1+EXP(-3.1416*4*((C14/(C14+B13))-(3.1416/6))))</f>
        <v>0.21858119399305384</v>
      </c>
      <c r="D29" s="153">
        <v>0.04</v>
      </c>
      <c r="E29" s="153">
        <v>0.04</v>
      </c>
      <c r="G29" s="87">
        <v>4</v>
      </c>
      <c r="H29" s="128">
        <f>J29*L25+J28*L26+J27*L27+J26*L28</f>
        <v>7.5442359769863465E-2</v>
      </c>
      <c r="I29" s="93">
        <v>4</v>
      </c>
      <c r="J29" s="86">
        <f t="shared" si="11"/>
        <v>1.7185647257992043E-2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0.18583046830004751</v>
      </c>
      <c r="O29" s="72">
        <v>4</v>
      </c>
      <c r="P29" s="71">
        <f t="shared" si="12"/>
        <v>0.18583046830004751</v>
      </c>
      <c r="Q29" s="28">
        <v>4</v>
      </c>
      <c r="R29" s="37">
        <f>P25*N29+P26*N28+P27*N27+P28*N26+P29*N25</f>
        <v>0.17823675803260783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0.17691790145587133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3.7319613235345665E-4</v>
      </c>
      <c r="AH29" s="28">
        <v>4</v>
      </c>
      <c r="AI29" s="79">
        <f>((($W$25)^M29)*((1-($W$25))^($U$30-M29))*HLOOKUP($U$30,$AV$24:$BF$34,M29+1))*V30</f>
        <v>1.9940204055362938E-3</v>
      </c>
      <c r="AJ29" s="28">
        <v>4</v>
      </c>
      <c r="AK29" s="79">
        <f>((($W$25)^M29)*((1-($W$25))^($U$31-M29))*HLOOKUP($U$31,$AV$24:$BF$34,M29+1))*V31</f>
        <v>4.4453945943750605E-3</v>
      </c>
      <c r="AL29" s="28">
        <v>4</v>
      </c>
      <c r="AM29" s="79">
        <f>((($W$25)^Q29)*((1-($W$25))^($U$32-Q29))*HLOOKUP($U$32,$AV$24:$BF$34,Q29+1))*V32</f>
        <v>5.298265462415179E-3</v>
      </c>
      <c r="AN29" s="28">
        <v>4</v>
      </c>
      <c r="AO29" s="79">
        <f>((($W$25)^Q29)*((1-($W$25))^($U$33-Q29))*HLOOKUP($U$33,$AV$24:$BF$34,Q29+1))*V33</f>
        <v>3.5690313946024343E-3</v>
      </c>
      <c r="AP29" s="28">
        <v>4</v>
      </c>
      <c r="AQ29" s="79">
        <f>((($W$25)^Q29)*((1-($W$25))^($U$34-Q29))*HLOOKUP($U$34,$AV$24:$BF$34,Q29+1))*V34</f>
        <v>1.2973571183189452E-3</v>
      </c>
      <c r="AR29" s="28">
        <v>4</v>
      </c>
      <c r="AS29" s="79">
        <f>((($W$25)^Q29)*((1-($W$25))^($U$35-Q29))*HLOOKUP($U$35,$AV$24:$BF$34,Q29+1))*V35</f>
        <v>2.0838215039067727E-4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3.3789184308160812E-6</v>
      </c>
      <c r="BP29">
        <f>BP23+1</f>
        <v>7</v>
      </c>
      <c r="BQ29">
        <v>5</v>
      </c>
      <c r="BR29" s="107">
        <f t="shared" si="10"/>
        <v>1.7994978396422708E-5</v>
      </c>
    </row>
    <row r="30" spans="1:70" x14ac:dyDescent="0.25">
      <c r="A30" s="26" t="s">
        <v>136</v>
      </c>
      <c r="B30" s="174">
        <v>0.75</v>
      </c>
      <c r="C30" s="175">
        <v>0.15</v>
      </c>
      <c r="D30" s="153">
        <f>IF(B17="TL",0.875*B32,0.001)</f>
        <v>0.30624999999999997</v>
      </c>
      <c r="E30" s="153">
        <f>IF(C17="TL",0.875*C32,0.001)</f>
        <v>1E-3</v>
      </c>
      <c r="G30" s="87">
        <v>5</v>
      </c>
      <c r="H30" s="128">
        <f>J30*L25+J29*L26+J28*L27+J27*L28</f>
        <v>2.2066129853625788E-2</v>
      </c>
      <c r="I30" s="93">
        <v>5</v>
      </c>
      <c r="J30" s="86">
        <f t="shared" si="11"/>
        <v>2.6618013435735859E-3</v>
      </c>
      <c r="K30" s="93">
        <v>5</v>
      </c>
      <c r="L30" s="86"/>
      <c r="M30" s="85">
        <v>5</v>
      </c>
      <c r="N30" s="71">
        <f>(($B$24)^M30)*((1-($B$24))^($B$21-M30))*HLOOKUP($B$21,$AV$24:$BF$34,M30+1)</f>
        <v>4.1978399917981982E-2</v>
      </c>
      <c r="O30" s="72">
        <v>5</v>
      </c>
      <c r="P30" s="71">
        <f t="shared" si="12"/>
        <v>4.1978399917981982E-2</v>
      </c>
      <c r="Q30" s="28">
        <v>5</v>
      </c>
      <c r="R30" s="37">
        <f>P25*N30+P26*N29+P27*N28+P28*N27+P29*N26+P30*N25</f>
        <v>0.24157805694262957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0.24062608990153025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1.0878008847427585E-4</v>
      </c>
      <c r="AJ30" s="28">
        <v>5</v>
      </c>
      <c r="AK30" s="79">
        <f>((($W$25)^M30)*((1-($W$25))^($U$31-M30))*HLOOKUP($U$31,$AV$24:$BF$34,M30+1))*V31</f>
        <v>4.8502053031812369E-4</v>
      </c>
      <c r="AL30" s="28">
        <v>5</v>
      </c>
      <c r="AM30" s="79">
        <f>((($W$25)^Q30)*((1-($W$25))^($U$32-Q30))*HLOOKUP($U$32,$AV$24:$BF$34,Q30+1))*V32</f>
        <v>8.6711116520402055E-4</v>
      </c>
      <c r="AN30" s="28">
        <v>5</v>
      </c>
      <c r="AO30" s="79">
        <f>((($W$25)^Q30)*((1-($W$25))^($U$33-Q30))*HLOOKUP($U$33,$AV$24:$BF$34,Q30+1))*V33</f>
        <v>7.788075784869483E-4</v>
      </c>
      <c r="AP30" s="28">
        <v>5</v>
      </c>
      <c r="AQ30" s="79">
        <f>((($W$25)^Q30)*((1-($W$25))^($U$34-Q30))*HLOOKUP($U$34,$AV$24:$BF$34,Q30+1))*V34</f>
        <v>3.5387456848895752E-4</v>
      </c>
      <c r="AR30" s="28">
        <v>5</v>
      </c>
      <c r="AS30" s="79">
        <f>((($W$25)^Q30)*((1-($W$25))^($U$35-Q30))*HLOOKUP($U$35,$AV$24:$BF$34,Q30+1))*V35</f>
        <v>6.8207412601260293E-5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2.3103320842852513E-7</v>
      </c>
      <c r="BP30">
        <f>BL10+1</f>
        <v>7</v>
      </c>
      <c r="BQ30">
        <v>6</v>
      </c>
      <c r="BR30" s="107">
        <f t="shared" si="10"/>
        <v>4.1009680950474366E-6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0.21430945839772136</v>
      </c>
      <c r="C31" s="61">
        <f>(C25*E25)+(C26*E26)+(C27*E27)+(C28*E28)+(C29*E29)+(C30*E30)/(C25+C26+C27+C28+C29+C30)</f>
        <v>0.26155202927301052</v>
      </c>
      <c r="G31" s="87">
        <v>6</v>
      </c>
      <c r="H31" s="128">
        <f>J31*L25+J30*L26+J29*L27+J28*L28</f>
        <v>4.7325581111455602E-3</v>
      </c>
      <c r="I31" s="93">
        <v>6</v>
      </c>
      <c r="J31" s="86">
        <f t="shared" si="11"/>
        <v>2.8695868828161809E-4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0.22738153890379684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0.22758867794012505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2.204949694152188E-5</v>
      </c>
      <c r="AL31" s="28">
        <v>6</v>
      </c>
      <c r="AM31" s="79">
        <f>((($W$25)^Q31)*((1-($W$25))^($U$32-Q31))*HLOOKUP($U$32,$AV$24:$BF$34,Q31+1))*V32</f>
        <v>7.8839404891109201E-5</v>
      </c>
      <c r="AN31" s="28">
        <v>6</v>
      </c>
      <c r="AO31" s="79">
        <f>((($W$25)^Q31)*((1-($W$25))^($U$33-Q31))*HLOOKUP($U$33,$AV$24:$BF$34,Q31+1))*V33</f>
        <v>1.0621601095082772E-4</v>
      </c>
      <c r="AP31" s="28">
        <v>6</v>
      </c>
      <c r="AQ31" s="79">
        <f>((($W$25)^Q31)*((1-($W$25))^($U$34-Q31))*HLOOKUP($U$34,$AV$24:$BF$34,Q31+1))*V34</f>
        <v>6.4349904615063105E-5</v>
      </c>
      <c r="AR31" s="28">
        <v>6</v>
      </c>
      <c r="AS31" s="79">
        <f>((($W$25)^Q31)*((1-($W$25))^($U$35-Q31))*HLOOKUP($U$35,$AV$24:$BF$34,Q31+1))*V35</f>
        <v>1.5503870883096229E-5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1.4237126171063864E-2</v>
      </c>
      <c r="BP31">
        <f t="shared" ref="BP31:BP37" si="17">BP24+1</f>
        <v>8</v>
      </c>
      <c r="BQ31">
        <v>0</v>
      </c>
      <c r="BR31" s="107">
        <f t="shared" ref="BR31:BR38" si="18">$H$33*H39</f>
        <v>1.1599311295938471E-5</v>
      </c>
    </row>
    <row r="32" spans="1:70" x14ac:dyDescent="0.25">
      <c r="A32" s="26" t="s">
        <v>137</v>
      </c>
      <c r="B32" s="75">
        <f>IF(B17&lt;&gt;"TL",0.001,IF(B18&lt;5,0.1,IF(B18&lt;10,0.2,IF(B18&lt;14,0.3,0.35))))</f>
        <v>0.35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7.5458403847068907E-4</v>
      </c>
      <c r="I32" s="93">
        <v>7</v>
      </c>
      <c r="J32" s="86">
        <f t="shared" si="11"/>
        <v>2.1288844440315094E-5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0.14675608459361905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0.14796048284944127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3.0720983222434363E-6</v>
      </c>
      <c r="AN32" s="28">
        <v>7</v>
      </c>
      <c r="AO32" s="79">
        <f>((($W$25)^Q32)*((1-($W$25))^($U$33-Q32))*HLOOKUP($U$33,$AV$24:$BF$34,Q32+1))*V33</f>
        <v>8.2777395260178097E-6</v>
      </c>
      <c r="AP32" s="28">
        <v>7</v>
      </c>
      <c r="AQ32" s="79">
        <f>((($W$25)^Q32)*((1-($W$25))^($U$34-Q32))*HLOOKUP($U$34,$AV$24:$BF$34,Q32+1))*V34</f>
        <v>7.5224781672630618E-6</v>
      </c>
      <c r="AR32" s="28">
        <v>7</v>
      </c>
      <c r="AS32" s="79">
        <f>((($W$25)^Q32)*((1-($W$25))^($U$35-Q32))*HLOOKUP($U$35,$AV$24:$BF$34,Q32+1))*V35</f>
        <v>2.4165284247907864E-6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4.3741989672345634E-3</v>
      </c>
      <c r="BP32">
        <f t="shared" si="17"/>
        <v>8</v>
      </c>
      <c r="BQ32">
        <v>1</v>
      </c>
      <c r="BR32" s="107">
        <f t="shared" si="18"/>
        <v>2.5736077309317489E-5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8.9543037627753675E-5</v>
      </c>
      <c r="I33" s="93">
        <v>8</v>
      </c>
      <c r="J33" s="86">
        <f t="shared" si="11"/>
        <v>1.0423838434285575E-6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6.215933330750692E-2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6.3427978922320494E-2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2.8223546368531575E-7</v>
      </c>
      <c r="AP33" s="28">
        <v>8</v>
      </c>
      <c r="AQ33" s="79">
        <f>((($W$25)^Q33)*((1-($W$25))^($U$34-Q33))*HLOOKUP($U$34,$AV$24:$BF$34,Q33+1))*V34</f>
        <v>5.1296857238065886E-7</v>
      </c>
      <c r="AR33" s="28">
        <v>8</v>
      </c>
      <c r="AS33" s="79">
        <f>((($W$25)^Q33)*((1-($W$25))^($U$35-Q33))*HLOOKUP($U$35,$AV$24:$BF$34,Q33+1))*V35</f>
        <v>2.4717980736258278E-7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9.9685867972947647E-4</v>
      </c>
      <c r="BP33">
        <f t="shared" si="17"/>
        <v>8</v>
      </c>
      <c r="BQ33">
        <v>2</v>
      </c>
      <c r="BR33" s="107">
        <f t="shared" si="18"/>
        <v>2.6214130083817707E-5</v>
      </c>
    </row>
    <row r="34" spans="1:70" x14ac:dyDescent="0.25">
      <c r="A34" s="40" t="s">
        <v>86</v>
      </c>
      <c r="B34" s="56">
        <f>B23*2</f>
        <v>5.3040202824237088</v>
      </c>
      <c r="C34" s="57">
        <f>C23*2</f>
        <v>4.6959797175762912</v>
      </c>
      <c r="G34" s="87">
        <v>9</v>
      </c>
      <c r="H34" s="128">
        <f>J34*L25+J33*L26+J32*L27+J31*L28</f>
        <v>7.8195586082606331E-6</v>
      </c>
      <c r="I34" s="93">
        <v>9</v>
      </c>
      <c r="J34" s="86">
        <f t="shared" si="11"/>
        <v>3.0529401530186053E-8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1.5601731430490536E-2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1.6302943143545669E-2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1.5546694432894113E-8</v>
      </c>
      <c r="AR34" s="28">
        <v>9</v>
      </c>
      <c r="AS34" s="79">
        <f>((($W$25)^Q34)*((1-($W$25))^($U$35-Q34))*HLOOKUP($U$35,$AV$24:$BF$34,Q34+1))*V35</f>
        <v>1.4982707097291937E-8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1.7042726456885878E-4</v>
      </c>
      <c r="BP34">
        <f t="shared" si="17"/>
        <v>8</v>
      </c>
      <c r="BQ34">
        <v>3</v>
      </c>
      <c r="BR34" s="107">
        <f t="shared" si="18"/>
        <v>1.6326315391896098E-5</v>
      </c>
    </row>
    <row r="35" spans="1:70" ht="15.75" thickBot="1" x14ac:dyDescent="0.3">
      <c r="G35" s="88">
        <v>10</v>
      </c>
      <c r="H35" s="129">
        <f>J35*L25+J34*L26+J33*L27+J32*L28</f>
        <v>4.8920663954558192E-7</v>
      </c>
      <c r="I35" s="94">
        <v>10</v>
      </c>
      <c r="J35" s="89">
        <f t="shared" si="11"/>
        <v>4.0867691200713558E-10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1.7621860596740296E-3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1.9997086061657177E-3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4.0867691200713558E-10</v>
      </c>
      <c r="BH35">
        <f t="shared" si="15"/>
        <v>3</v>
      </c>
      <c r="BI35">
        <v>8</v>
      </c>
      <c r="BJ35" s="107">
        <f t="shared" si="16"/>
        <v>2.1842546959416519E-5</v>
      </c>
      <c r="BP35">
        <f t="shared" si="17"/>
        <v>8</v>
      </c>
      <c r="BQ35">
        <v>4</v>
      </c>
      <c r="BR35" s="107">
        <f t="shared" si="18"/>
        <v>6.9502325885233613E-6</v>
      </c>
    </row>
    <row r="36" spans="1:70" x14ac:dyDescent="0.25">
      <c r="A36" s="1"/>
      <c r="B36" s="108">
        <f>SUM(B37:B39)</f>
        <v>0.9999994522265423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5"/>
        <v>3</v>
      </c>
      <c r="BI36">
        <v>9</v>
      </c>
      <c r="BJ36" s="107">
        <f t="shared" si="16"/>
        <v>2.0727482398716776E-6</v>
      </c>
      <c r="BP36">
        <f t="shared" si="17"/>
        <v>8</v>
      </c>
      <c r="BQ36">
        <v>5</v>
      </c>
      <c r="BR36" s="107">
        <f t="shared" si="18"/>
        <v>2.1353818070776527E-6</v>
      </c>
    </row>
    <row r="37" spans="1:70" ht="15.75" thickBot="1" x14ac:dyDescent="0.3">
      <c r="A37" s="109" t="s">
        <v>104</v>
      </c>
      <c r="B37" s="107">
        <f>SUM(BN4:BN14)</f>
        <v>0.22690579190443144</v>
      </c>
      <c r="G37" s="13"/>
      <c r="H37" s="59">
        <f>SUM(H39:H49)</f>
        <v>0.99999996279015524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1.0000000000000007</v>
      </c>
      <c r="S37" s="13"/>
      <c r="T37" s="59">
        <f>SUM(T39:T49)</f>
        <v>1</v>
      </c>
      <c r="U37" s="13"/>
      <c r="V37" s="59">
        <f>SUM(V39:V48)</f>
        <v>0.99935705828579158</v>
      </c>
      <c r="W37" s="13"/>
      <c r="X37" s="13"/>
      <c r="Y37" s="80">
        <f>SUM(Y39:Y49)</f>
        <v>1.7272057863978367E-3</v>
      </c>
      <c r="Z37" s="81"/>
      <c r="AA37" s="80">
        <f>SUM(AA39:AA49)</f>
        <v>1.5326746974729868E-2</v>
      </c>
      <c r="AB37" s="81"/>
      <c r="AC37" s="80">
        <f>SUM(AC39:AC49)</f>
        <v>6.12330786645474E-2</v>
      </c>
      <c r="AD37" s="81"/>
      <c r="AE37" s="80">
        <f>SUM(AE39:AE49)</f>
        <v>0.14506985277018702</v>
      </c>
      <c r="AF37" s="81"/>
      <c r="AG37" s="80">
        <f>SUM(AG39:AG49)</f>
        <v>0.22576845509868809</v>
      </c>
      <c r="AH37" s="81"/>
      <c r="AI37" s="80">
        <f>SUM(AI39:AI49)</f>
        <v>0.24128419345745261</v>
      </c>
      <c r="AJ37" s="81"/>
      <c r="AK37" s="80">
        <f>SUM(AK39:AK49)</f>
        <v>0.17949195892479941</v>
      </c>
      <c r="AL37" s="81"/>
      <c r="AM37" s="80">
        <f>SUM(AM39:AM49)</f>
        <v>9.1931302199148648E-2</v>
      </c>
      <c r="AN37" s="81"/>
      <c r="AO37" s="80">
        <f>SUM(AO39:AO49)</f>
        <v>3.1147524280471732E-2</v>
      </c>
      <c r="AP37" s="81"/>
      <c r="AQ37" s="80">
        <f>SUM(AQ39:AQ49)</f>
        <v>6.3767401293690143E-3</v>
      </c>
      <c r="AR37" s="81"/>
      <c r="AS37" s="80">
        <f>SUM(AS39:AS49)</f>
        <v>6.4294171420842283E-4</v>
      </c>
      <c r="BH37">
        <f t="shared" si="15"/>
        <v>3</v>
      </c>
      <c r="BI37">
        <v>10</v>
      </c>
      <c r="BJ37" s="107">
        <f t="shared" si="16"/>
        <v>1.4172395277576253E-7</v>
      </c>
      <c r="BP37">
        <f t="shared" si="17"/>
        <v>8</v>
      </c>
      <c r="BQ37">
        <v>6</v>
      </c>
      <c r="BR37" s="107">
        <f t="shared" si="18"/>
        <v>4.8664313280370806E-7</v>
      </c>
    </row>
    <row r="38" spans="1:70" ht="15.75" thickBot="1" x14ac:dyDescent="0.3">
      <c r="A38" s="110" t="s">
        <v>105</v>
      </c>
      <c r="B38" s="107">
        <f>SUM(BJ4:BJ59)</f>
        <v>0.38700736474536085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1.7991152277554785E-3</v>
      </c>
      <c r="BP38">
        <f>BL11+1</f>
        <v>8</v>
      </c>
      <c r="BQ38">
        <v>7</v>
      </c>
      <c r="BR38" s="107">
        <f t="shared" si="18"/>
        <v>8.3198611429518782E-8</v>
      </c>
    </row>
    <row r="39" spans="1:70" x14ac:dyDescent="0.25">
      <c r="A39" s="111" t="s">
        <v>0</v>
      </c>
      <c r="B39" s="107">
        <f>SUM(BR4:BR47)</f>
        <v>0.38608629557675006</v>
      </c>
      <c r="G39" s="130">
        <v>0</v>
      </c>
      <c r="H39" s="131">
        <f>L39*J39</f>
        <v>0.12953895247734246</v>
      </c>
      <c r="I39" s="97">
        <v>0</v>
      </c>
      <c r="J39" s="98">
        <f t="shared" ref="J39:J49" si="33">Y39+AA39+AC39+AE39+AG39+AI39+AK39+AM39+AO39+AQ39+AS39</f>
        <v>0.26828280651930986</v>
      </c>
      <c r="K39" s="102">
        <v>0</v>
      </c>
      <c r="L39" s="98">
        <f>AC21</f>
        <v>0.48284477920137903</v>
      </c>
      <c r="M39" s="84">
        <v>0</v>
      </c>
      <c r="N39" s="71">
        <f>(1-$C$24)^$B$21</f>
        <v>4.1978399917981982E-2</v>
      </c>
      <c r="O39" s="70">
        <v>0</v>
      </c>
      <c r="P39" s="71">
        <f>N39</f>
        <v>4.1978399917981982E-2</v>
      </c>
      <c r="Q39" s="12">
        <v>0</v>
      </c>
      <c r="R39" s="73">
        <f>P39*N39</f>
        <v>1.7621860596740296E-3</v>
      </c>
      <c r="S39" s="70">
        <v>0</v>
      </c>
      <c r="T39" s="135">
        <f>(1-$C$33)^(INT(B23*2*(1-B31)))</f>
        <v>0.98014950062500006</v>
      </c>
      <c r="U39" s="140">
        <v>0</v>
      </c>
      <c r="V39" s="86">
        <f>R39*T39</f>
        <v>1.7272057863978367E-3</v>
      </c>
      <c r="W39" s="136">
        <f>C31</f>
        <v>0.26155202927301052</v>
      </c>
      <c r="X39" s="12">
        <v>0</v>
      </c>
      <c r="Y39" s="79">
        <f>V39</f>
        <v>1.7272057863978367E-3</v>
      </c>
      <c r="Z39" s="12">
        <v>0</v>
      </c>
      <c r="AA39" s="78">
        <f>((1-W39)^Z40)*V40</f>
        <v>1.1318005201335296E-2</v>
      </c>
      <c r="AB39" s="12">
        <v>0</v>
      </c>
      <c r="AC39" s="79">
        <f>(((1-$W$39)^AB41))*V41</f>
        <v>3.3390728789396945E-2</v>
      </c>
      <c r="AD39" s="12">
        <v>0</v>
      </c>
      <c r="AE39" s="79">
        <f>(((1-$W$39)^AB42))*V42</f>
        <v>5.8416680454428875E-2</v>
      </c>
      <c r="AF39" s="12">
        <v>0</v>
      </c>
      <c r="AG39" s="79">
        <f>(((1-$W$39)^AB43))*V43</f>
        <v>6.7134052937918673E-2</v>
      </c>
      <c r="AH39" s="12">
        <v>0</v>
      </c>
      <c r="AI39" s="79">
        <f>(((1-$W$39)^AB44))*V44</f>
        <v>5.2982003753064208E-2</v>
      </c>
      <c r="AJ39" s="12">
        <v>0</v>
      </c>
      <c r="AK39" s="79">
        <f>(((1-$W$39)^AB45))*V45</f>
        <v>2.9104785681537283E-2</v>
      </c>
      <c r="AL39" s="12">
        <v>0</v>
      </c>
      <c r="AM39" s="79">
        <f>(((1-$W$39)^AB46))*V46</f>
        <v>1.1007855540629436E-2</v>
      </c>
      <c r="AN39" s="12">
        <v>0</v>
      </c>
      <c r="AO39" s="79">
        <f>(((1-$W$39)^AB47))*V47</f>
        <v>2.7541192710875424E-3</v>
      </c>
      <c r="AP39" s="12">
        <v>0</v>
      </c>
      <c r="AQ39" s="79">
        <f>(((1-$W$39)^AB48))*V48</f>
        <v>4.1636846652860901E-4</v>
      </c>
      <c r="AR39" s="12">
        <v>0</v>
      </c>
      <c r="AS39" s="79">
        <f>(((1-$W$39)^AB49))*V49</f>
        <v>3.1000636985139516E-5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4.1000961411578825E-4</v>
      </c>
      <c r="BP39">
        <f t="shared" ref="BP39:BP46" si="34">BP31+1</f>
        <v>9</v>
      </c>
      <c r="BQ39">
        <v>0</v>
      </c>
      <c r="BR39" s="107">
        <f t="shared" ref="BR39:BR47" si="35">$H$34*H39</f>
        <v>1.0129374309492682E-6</v>
      </c>
    </row>
    <row r="40" spans="1:70" x14ac:dyDescent="0.25">
      <c r="G40" s="91">
        <v>1</v>
      </c>
      <c r="H40" s="132">
        <f>L39*J40+L40*J39</f>
        <v>0.2874157275779155</v>
      </c>
      <c r="I40" s="93">
        <v>1</v>
      </c>
      <c r="J40" s="86">
        <f t="shared" si="33"/>
        <v>0.37706159419212831</v>
      </c>
      <c r="K40" s="95">
        <v>1</v>
      </c>
      <c r="L40" s="86">
        <f>AD21</f>
        <v>0.39269570328322334</v>
      </c>
      <c r="M40" s="85">
        <v>1</v>
      </c>
      <c r="N40" s="71">
        <f>(($C$24)^M26)*((1-($C$24))^($B$21-M26))*HLOOKUP($B$21,$AV$24:$BF$34,M26+1)</f>
        <v>0.18583046830004751</v>
      </c>
      <c r="O40" s="72">
        <v>1</v>
      </c>
      <c r="P40" s="71">
        <f t="shared" ref="P40:P44" si="36">N40</f>
        <v>0.18583046830004751</v>
      </c>
      <c r="Q40" s="28">
        <v>1</v>
      </c>
      <c r="R40" s="37">
        <f>P40*N39+P39*N40</f>
        <v>1.5601731430490536E-2</v>
      </c>
      <c r="S40" s="72">
        <v>1</v>
      </c>
      <c r="T40" s="135">
        <f t="shared" ref="T40:T49" si="37">(($C$33)^S40)*((1-($C$33))^(INT($B$23*2*(1-$B$31))-S40))*HLOOKUP(INT($B$23*2*(1-$B$31)),$AV$24:$BF$34,S40+1)</f>
        <v>1.9701497500000002E-2</v>
      </c>
      <c r="U40" s="93">
        <v>1</v>
      </c>
      <c r="V40" s="86">
        <f>R40*T39+T40*R39</f>
        <v>1.5326746974729868E-2</v>
      </c>
      <c r="W40" s="137"/>
      <c r="X40" s="28">
        <v>1</v>
      </c>
      <c r="Y40" s="73"/>
      <c r="Z40" s="28">
        <v>1</v>
      </c>
      <c r="AA40" s="79">
        <f>(1-((1-W39)^Z40))*V40</f>
        <v>4.0087417733945712E-3</v>
      </c>
      <c r="AB40" s="28">
        <v>1</v>
      </c>
      <c r="AC40" s="79">
        <f>((($W$39)^M40)*((1-($W$39))^($U$27-M40))*HLOOKUP($U$27,$AV$24:$BF$34,M40+1))*V41</f>
        <v>2.3653427783608391E-2</v>
      </c>
      <c r="AD40" s="28">
        <v>1</v>
      </c>
      <c r="AE40" s="79">
        <f>((($W$39)^M40)*((1-($W$39))^($U$28-M40))*HLOOKUP($U$28,$AV$24:$BF$34,M40+1))*V42</f>
        <v>6.207208329602544E-2</v>
      </c>
      <c r="AF40" s="28">
        <v>1</v>
      </c>
      <c r="AG40" s="79">
        <f>((($W$39)^M40)*((1-($W$39))^($U$29-M40))*HLOOKUP($U$29,$AV$24:$BF$34,M40+1))*V43</f>
        <v>9.5113256317558889E-2</v>
      </c>
      <c r="AH40" s="28">
        <v>1</v>
      </c>
      <c r="AI40" s="79">
        <f>((($W$39)^M40)*((1-($W$39))^($U$30-M40))*HLOOKUP($U$30,$AV$24:$BF$34,M40+1))*V44</f>
        <v>9.3828889413303404E-2</v>
      </c>
      <c r="AJ40" s="28">
        <v>1</v>
      </c>
      <c r="AK40" s="79">
        <f>((($W$39)^M40)*((1-($W$39))^($U$31-M40))*HLOOKUP($U$31,$AV$24:$BF$34,M40+1))*V45</f>
        <v>6.1852014427512141E-2</v>
      </c>
      <c r="AL40" s="28">
        <v>1</v>
      </c>
      <c r="AM40" s="79">
        <f>((($W$39)^Q40)*((1-($W$39))^($U$32-Q40))*HLOOKUP($U$32,$AV$24:$BF$34,Q40+1))*V46</f>
        <v>2.7292225696455372E-2</v>
      </c>
      <c r="AN40" s="28">
        <v>1</v>
      </c>
      <c r="AO40" s="79">
        <f>((($W$39)^Q40)*((1-($W$39))^($U$33-Q40))*HLOOKUP($U$33,$AV$24:$BF$34,Q40+1))*V47</f>
        <v>7.803886126235093E-3</v>
      </c>
      <c r="AP40" s="28">
        <v>1</v>
      </c>
      <c r="AQ40" s="79">
        <f>((($W$39)^Q40)*((1-($W$39))^($U$34-Q40))*HLOOKUP($U$34,$AV$24:$BF$34,Q40+1))*V48</f>
        <v>1.327267722257715E-3</v>
      </c>
      <c r="AR40" s="28">
        <v>1</v>
      </c>
      <c r="AS40" s="79">
        <f>((($W$39)^Q40)*((1-($W$39))^($U$35-Q40))*HLOOKUP($U$35,$AV$24:$BF$34,Q40+1))*V49</f>
        <v>1.0980163577721962E-4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7.0097014152146445E-5</v>
      </c>
      <c r="BP40">
        <f t="shared" si="34"/>
        <v>9</v>
      </c>
      <c r="BQ40">
        <v>1</v>
      </c>
      <c r="BR40" s="107">
        <f t="shared" si="35"/>
        <v>2.2474641267313822E-6</v>
      </c>
    </row>
    <row r="41" spans="1:70" x14ac:dyDescent="0.25">
      <c r="G41" s="91">
        <v>2</v>
      </c>
      <c r="H41" s="132">
        <f>L39*J41+J40*L40+J39*L41</f>
        <v>0.29275453210326086</v>
      </c>
      <c r="I41" s="93">
        <v>2</v>
      </c>
      <c r="J41" s="86">
        <f t="shared" si="33"/>
        <v>0.23867195754941334</v>
      </c>
      <c r="K41" s="95">
        <v>2</v>
      </c>
      <c r="L41" s="86">
        <f>AE21</f>
        <v>0.10974447422989499</v>
      </c>
      <c r="M41" s="85">
        <v>2</v>
      </c>
      <c r="N41" s="71">
        <f>(($C$24)^M27)*((1-($C$24))^($B$21-M27))*HLOOKUP($B$21,$AV$24:$BF$34,M27+1)</f>
        <v>0.32905459013288718</v>
      </c>
      <c r="O41" s="72">
        <v>2</v>
      </c>
      <c r="P41" s="71">
        <f t="shared" si="36"/>
        <v>0.32905459013288718</v>
      </c>
      <c r="Q41" s="28">
        <v>2</v>
      </c>
      <c r="R41" s="37">
        <f>P41*N39+P40*N40+P39*N41</f>
        <v>6.2159333307506934E-2</v>
      </c>
      <c r="S41" s="72">
        <v>2</v>
      </c>
      <c r="T41" s="135">
        <f t="shared" si="37"/>
        <v>1.4850375000000001E-4</v>
      </c>
      <c r="U41" s="93">
        <v>2</v>
      </c>
      <c r="V41" s="86">
        <f>R41*T39+T40*R40+R39*T41</f>
        <v>6.1233078664547393E-2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4.1889220915420607E-3</v>
      </c>
      <c r="AD41" s="28">
        <v>2</v>
      </c>
      <c r="AE41" s="79">
        <f>((($W$39)^M41)*((1-($W$39))^($U$28-M41))*HLOOKUP($U$28,$AV$24:$BF$34,M41+1))*V42</f>
        <v>2.1985407220085705E-2</v>
      </c>
      <c r="AF41" s="28">
        <v>2</v>
      </c>
      <c r="AG41" s="79">
        <f>((($W$39)^M41)*((1-($W$39))^($U$29-M41))*HLOOKUP($U$29,$AV$24:$BF$34,M41+1))*V43</f>
        <v>5.0532467120460355E-2</v>
      </c>
      <c r="AH41" s="28">
        <v>2</v>
      </c>
      <c r="AI41" s="79">
        <f>((($W$39)^M41)*((1-($W$39))^($U$30-M41))*HLOOKUP($U$30,$AV$24:$BF$34,M41+1))*V44</f>
        <v>6.6466799025318116E-2</v>
      </c>
      <c r="AJ41" s="28">
        <v>2</v>
      </c>
      <c r="AK41" s="79">
        <f>((($W$39)^M41)*((1-($W$39))^($U$31-M41))*HLOOKUP($U$31,$AV$24:$BF$34,M41+1))*V45</f>
        <v>5.4768651717645153E-2</v>
      </c>
      <c r="AL41" s="28">
        <v>2</v>
      </c>
      <c r="AM41" s="79">
        <f>((($W$39)^Q41)*((1-($W$39))^($U$32-Q41))*HLOOKUP($U$32,$AV$24:$BF$34,Q41+1))*V46</f>
        <v>2.9000026937269524E-2</v>
      </c>
      <c r="AN41" s="28">
        <v>2</v>
      </c>
      <c r="AO41" s="79">
        <f>((($W$39)^Q41)*((1-($W$39))^($U$33-Q41))*HLOOKUP($U$33,$AV$24:$BF$34,Q41+1))*V47</f>
        <v>9.674246754080601E-3</v>
      </c>
      <c r="AP41" s="28">
        <v>2</v>
      </c>
      <c r="AQ41" s="79">
        <f>((($W$39)^Q41)*((1-($W$39))^($U$34-Q41))*HLOOKUP($U$34,$AV$24:$BF$34,Q41+1))*V48</f>
        <v>1.8804280323409055E-3</v>
      </c>
      <c r="AR41" s="28">
        <v>2</v>
      </c>
      <c r="AS41" s="79">
        <f>((($W$39)^Q41)*((1-($W$39))^($U$35-Q41))*HLOOKUP($U$35,$AV$24:$BF$34,Q41+1))*V49</f>
        <v>1.7500865067094108E-4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8.9838754802904447E-6</v>
      </c>
      <c r="BP41">
        <f t="shared" si="34"/>
        <v>9</v>
      </c>
      <c r="BQ41">
        <v>2</v>
      </c>
      <c r="BR41" s="107">
        <f t="shared" si="35"/>
        <v>2.2892112216153673E-6</v>
      </c>
    </row>
    <row r="42" spans="1:70" ht="15" customHeight="1" x14ac:dyDescent="0.25">
      <c r="G42" s="91">
        <v>3</v>
      </c>
      <c r="H42" s="132">
        <f>J42*L39+J41*L40+L42*J39+L41*J40</f>
        <v>0.18232925556722224</v>
      </c>
      <c r="I42" s="93">
        <v>3</v>
      </c>
      <c r="J42" s="86">
        <f t="shared" si="33"/>
        <v>8.9626285071074535E-2</v>
      </c>
      <c r="K42" s="95">
        <v>3</v>
      </c>
      <c r="L42" s="86">
        <f>AF21</f>
        <v>1.4715043285502646E-2</v>
      </c>
      <c r="M42" s="85">
        <v>3</v>
      </c>
      <c r="N42" s="71">
        <f>(($C$24)^M28)*((1-($C$24))^($B$21-M28))*HLOOKUP($B$21,$AV$24:$BF$34,M28+1)</f>
        <v>0.29133253625744288</v>
      </c>
      <c r="O42" s="72">
        <v>3</v>
      </c>
      <c r="P42" s="71">
        <f t="shared" si="36"/>
        <v>0.29133253625744288</v>
      </c>
      <c r="Q42" s="28">
        <v>3</v>
      </c>
      <c r="R42" s="37">
        <f>P42*N39+P41*N40+P40*N41+P39*N42</f>
        <v>0.14675608459361908</v>
      </c>
      <c r="S42" s="72">
        <v>3</v>
      </c>
      <c r="T42" s="135">
        <f t="shared" si="37"/>
        <v>4.9750000000000011E-7</v>
      </c>
      <c r="U42" s="93">
        <v>3</v>
      </c>
      <c r="V42" s="86">
        <f>R42*T39+R41*T40+R40*T41+R39*T42</f>
        <v>0.145069852770187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2.595681799646996E-3</v>
      </c>
      <c r="AF42" s="28">
        <v>3</v>
      </c>
      <c r="AG42" s="79">
        <f>((($W$39)^M42)*((1-($W$39))^($U$29-M42))*HLOOKUP($U$29,$AV$24:$BF$34,M42+1))*V43</f>
        <v>1.1932115141902554E-2</v>
      </c>
      <c r="AH42" s="28">
        <v>3</v>
      </c>
      <c r="AI42" s="79">
        <f>((($W$39)^M42)*((1-($W$39))^($U$30-M42))*HLOOKUP($U$30,$AV$24:$BF$34,M42+1))*V44</f>
        <v>2.3541978383715429E-2</v>
      </c>
      <c r="AJ42" s="28">
        <v>3</v>
      </c>
      <c r="AK42" s="79">
        <f>((($W$39)^M42)*((1-($W$39))^($U$31-M42))*HLOOKUP($U$31,$AV$24:$BF$34,M42+1))*V45</f>
        <v>2.5864791319365435E-2</v>
      </c>
      <c r="AL42" s="28">
        <v>3</v>
      </c>
      <c r="AM42" s="79">
        <f>((($W$39)^Q42)*((1-($W$39))^($U$32-Q42))*HLOOKUP($U$32,$AV$24:$BF$34,Q42+1))*V46</f>
        <v>1.7119274015896462E-2</v>
      </c>
      <c r="AN42" s="28">
        <v>3</v>
      </c>
      <c r="AO42" s="79">
        <f>((($W$39)^Q42)*((1-($W$39))^($U$33-Q42))*HLOOKUP($U$33,$AV$24:$BF$34,Q42+1))*V47</f>
        <v>6.8530728515011291E-3</v>
      </c>
      <c r="AP42" s="28">
        <v>3</v>
      </c>
      <c r="AQ42" s="79">
        <f>((($W$39)^Q42)*((1-($W$39))^($U$34-Q42))*HLOOKUP($U$34,$AV$24:$BF$34,Q42+1))*V48</f>
        <v>1.5540739997046058E-3</v>
      </c>
      <c r="AR42" s="28">
        <v>3</v>
      </c>
      <c r="AS42" s="79">
        <f>((($W$39)^Q42)*((1-($W$39))^($U$35-Q42))*HLOOKUP($U$35,$AV$24:$BF$34,Q42+1))*V49</f>
        <v>1.6529755934193517E-4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8.5252475929646684E-7</v>
      </c>
      <c r="BP42">
        <f t="shared" si="34"/>
        <v>9</v>
      </c>
      <c r="BQ42">
        <v>3</v>
      </c>
      <c r="BR42" s="107">
        <f t="shared" si="35"/>
        <v>1.4257342999084257E-6</v>
      </c>
    </row>
    <row r="43" spans="1:70" ht="15" customHeight="1" x14ac:dyDescent="0.25">
      <c r="G43" s="91">
        <v>4</v>
      </c>
      <c r="H43" s="132">
        <f>J43*L39+J42*L40+J41*L41+J40*L42</f>
        <v>7.7618905641963068E-2</v>
      </c>
      <c r="I43" s="93">
        <v>4</v>
      </c>
      <c r="J43" s="86">
        <f t="shared" si="33"/>
        <v>2.2122311100606983E-2</v>
      </c>
      <c r="K43" s="95">
        <v>4</v>
      </c>
      <c r="L43" s="86"/>
      <c r="M43" s="85">
        <v>4</v>
      </c>
      <c r="N43" s="71">
        <f>(($C$24)^M29)*((1-($C$24))^($B$21-M29))*HLOOKUP($B$21,$AV$24:$BF$34,M29+1)</f>
        <v>0.12896742550820828</v>
      </c>
      <c r="O43" s="72">
        <v>4</v>
      </c>
      <c r="P43" s="71">
        <f t="shared" si="36"/>
        <v>0.12896742550820828</v>
      </c>
      <c r="Q43" s="28">
        <v>4</v>
      </c>
      <c r="R43" s="37">
        <f>P43*N39+P42*N40+P41*N41+P40*N42+P39*N43</f>
        <v>0.22738153890379698</v>
      </c>
      <c r="S43" s="72">
        <v>4</v>
      </c>
      <c r="T43" s="135">
        <f t="shared" si="37"/>
        <v>6.2500000000000001E-10</v>
      </c>
      <c r="U43" s="93">
        <v>4</v>
      </c>
      <c r="V43" s="86">
        <f>T43*R39+T42*R40+T41*R41+T40*R42+T39*R43</f>
        <v>0.22576845509868804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1.0565635808476074E-3</v>
      </c>
      <c r="AH43" s="28">
        <v>4</v>
      </c>
      <c r="AI43" s="79">
        <f>((($W$39)^M43)*((1-($W$39))^($U$30-M43))*HLOOKUP($U$30,$AV$24:$BF$34,M43+1))*V44</f>
        <v>4.1691848738511731E-3</v>
      </c>
      <c r="AJ43" s="28">
        <v>4</v>
      </c>
      <c r="AK43" s="79">
        <f>((($W$39)^M43)*((1-($W$39))^($U$31-M43))*HLOOKUP($U$31,$AV$24:$BF$34,M43+1))*V45</f>
        <v>6.8708178414143639E-3</v>
      </c>
      <c r="AL43" s="28">
        <v>4</v>
      </c>
      <c r="AM43" s="79">
        <f>((($W$39)^Q43)*((1-($W$39))^($U$32-Q43))*HLOOKUP($U$32,$AV$24:$BF$34,Q43+1))*V46</f>
        <v>6.0635021505040312E-3</v>
      </c>
      <c r="AN43" s="28">
        <v>4</v>
      </c>
      <c r="AO43" s="79">
        <f>((($W$39)^Q43)*((1-($W$39))^($U$33-Q43))*HLOOKUP($U$33,$AV$24:$BF$34,Q43+1))*V47</f>
        <v>3.0341255953707795E-3</v>
      </c>
      <c r="AP43" s="28">
        <v>4</v>
      </c>
      <c r="AQ43" s="79">
        <f>((($W$39)^Q43)*((1-($W$39))^($U$34-Q43))*HLOOKUP($U$34,$AV$24:$BF$34,Q43+1))*V48</f>
        <v>8.2565981161069387E-4</v>
      </c>
      <c r="AR43" s="28">
        <v>4</v>
      </c>
      <c r="AS43" s="79">
        <f>((($W$39)^Q43)*((1-($W$39))^($U$35-Q43))*HLOOKUP($U$35,$AV$24:$BF$34,Q43+1))*V49</f>
        <v>1.0245724700833415E-4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5.8291294814550594E-8</v>
      </c>
      <c r="BP43">
        <f t="shared" si="34"/>
        <v>9</v>
      </c>
      <c r="BQ43">
        <v>4</v>
      </c>
      <c r="BR43" s="107">
        <f t="shared" si="35"/>
        <v>6.0694558177638217E-7</v>
      </c>
    </row>
    <row r="44" spans="1:70" ht="15" customHeight="1" thickBot="1" x14ac:dyDescent="0.3">
      <c r="G44" s="91">
        <v>5</v>
      </c>
      <c r="H44" s="132">
        <f>J44*L39+J43*L40+J42*L41+J41*L42</f>
        <v>2.384754709746183E-2</v>
      </c>
      <c r="I44" s="93">
        <v>5</v>
      </c>
      <c r="J44" s="86">
        <f t="shared" si="33"/>
        <v>3.753075400084E-3</v>
      </c>
      <c r="K44" s="95">
        <v>5</v>
      </c>
      <c r="L44" s="86"/>
      <c r="M44" s="85">
        <v>5</v>
      </c>
      <c r="N44" s="71">
        <f>(($C$24)^M30)*((1-($C$24))^($B$21-M30))*HLOOKUP($B$21,$AV$24:$BF$34,M30+1)</f>
        <v>2.2836579883432542E-2</v>
      </c>
      <c r="O44" s="72">
        <v>5</v>
      </c>
      <c r="P44" s="71">
        <f t="shared" si="36"/>
        <v>2.2836579883432542E-2</v>
      </c>
      <c r="Q44" s="28">
        <v>5</v>
      </c>
      <c r="R44" s="37">
        <f>P44*N39+P43*N40+P42*N41+P41*N42+P40*N43+P39*N44</f>
        <v>0.24157805694262974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0.24128419345745256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2.9533800820024639E-4</v>
      </c>
      <c r="AJ44" s="28">
        <v>5</v>
      </c>
      <c r="AK44" s="79">
        <f>((($W$39)^M44)*((1-($W$39))^($U$31-M44))*HLOOKUP($U$31,$AV$24:$BF$34,M44+1))*V45</f>
        <v>9.7343424069156359E-4</v>
      </c>
      <c r="AL44" s="28">
        <v>5</v>
      </c>
      <c r="AM44" s="79">
        <f>((($W$39)^Q44)*((1-($W$39))^($U$32-Q44))*HLOOKUP($U$32,$AV$24:$BF$34,Q44+1))*V46</f>
        <v>1.2885847248555208E-3</v>
      </c>
      <c r="AN44" s="28">
        <v>5</v>
      </c>
      <c r="AO44" s="79">
        <f>((($W$39)^Q44)*((1-($W$39))^($U$33-Q44))*HLOOKUP($U$33,$AV$24:$BF$34,Q44+1))*V47</f>
        <v>8.5972931120077798E-4</v>
      </c>
      <c r="AP44" s="28">
        <v>5</v>
      </c>
      <c r="AQ44" s="79">
        <f>((($W$39)^Q44)*((1-($W$39))^($U$34-Q44))*HLOOKUP($U$34,$AV$24:$BF$34,Q44+1))*V48</f>
        <v>2.9244172612912249E-4</v>
      </c>
      <c r="AR44" s="28">
        <v>5</v>
      </c>
      <c r="AS44" s="79">
        <f>((($W$39)^Q44)*((1-($W$39))^($U$35-Q44))*HLOOKUP($U$35,$AV$24:$BF$34,Q44+1))*V49</f>
        <v>4.3547389006768565E-5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1.1992367966634135E-4</v>
      </c>
      <c r="BP44">
        <f t="shared" si="34"/>
        <v>9</v>
      </c>
      <c r="BQ44">
        <v>5</v>
      </c>
      <c r="BR44" s="107">
        <f t="shared" si="35"/>
        <v>1.8647729219185853E-7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5.4347400501060742E-3</v>
      </c>
      <c r="I45" s="93">
        <v>6</v>
      </c>
      <c r="J45" s="86">
        <f t="shared" si="33"/>
        <v>4.4376041908038175E-4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0.17823675803260794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0.17949195892479938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5.7463696633462567E-5</v>
      </c>
      <c r="AL45" s="28">
        <v>6</v>
      </c>
      <c r="AM45" s="79">
        <f>((($W$39)^Q45)*((1-($W$39))^($U$32-Q45))*HLOOKUP($U$32,$AV$24:$BF$34,Q45+1))*V46</f>
        <v>1.5213527246176563E-4</v>
      </c>
      <c r="AN45" s="28">
        <v>6</v>
      </c>
      <c r="AO45" s="79">
        <f>((($W$39)^Q45)*((1-($W$39))^($U$33-Q45))*HLOOKUP($U$33,$AV$24:$BF$34,Q45+1))*V47</f>
        <v>1.5225442745050562E-4</v>
      </c>
      <c r="AP45" s="28">
        <v>6</v>
      </c>
      <c r="AQ45" s="79">
        <f>((($W$39)^Q45)*((1-($W$39))^($U$34-Q45))*HLOOKUP($U$34,$AV$24:$BF$34,Q45+1))*V48</f>
        <v>6.9053591627561006E-5</v>
      </c>
      <c r="AR45" s="28">
        <v>6</v>
      </c>
      <c r="AS45" s="79">
        <f>((($W$39)^Q45)*((1-($W$39))^($U$35-Q45))*HLOOKUP($U$35,$AV$24:$BF$34,Q45+1))*V49</f>
        <v>1.285343090708695E-5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2.0502670135864275E-5</v>
      </c>
      <c r="BP45">
        <f t="shared" si="34"/>
        <v>9</v>
      </c>
      <c r="BQ45">
        <v>6</v>
      </c>
      <c r="BR45" s="107">
        <f t="shared" si="35"/>
        <v>4.2497268342465776E-8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9.2914662751771059E-4</v>
      </c>
      <c r="I46" s="93">
        <v>7</v>
      </c>
      <c r="J46" s="86">
        <f t="shared" si="33"/>
        <v>3.6189198811313165E-5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9.0173777202957967E-2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9.1931302199148635E-2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7.6978610765424114E-6</v>
      </c>
      <c r="AN46" s="28">
        <v>7</v>
      </c>
      <c r="AO46" s="79">
        <f>((($W$39)^Q46)*((1-($W$39))^($U$33-Q46))*HLOOKUP($U$33,$AV$24:$BF$34,Q46+1))*V47</f>
        <v>1.5407780350175547E-5</v>
      </c>
      <c r="AP46" s="28">
        <v>7</v>
      </c>
      <c r="AQ46" s="79">
        <f>((($W$39)^Q46)*((1-($W$39))^($U$34-Q46))*HLOOKUP($U$34,$AV$24:$BF$34,Q46+1))*V48</f>
        <v>1.0482085053330063E-5</v>
      </c>
      <c r="AR46" s="28">
        <v>7</v>
      </c>
      <c r="AS46" s="79">
        <f>((($W$39)^Q46)*((1-($W$39))^($U$35-Q46))*HLOOKUP($U$35,$AV$24:$BF$34,Q46+1))*V49</f>
        <v>2.6014723312651443E-6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2.6276930300380565E-6</v>
      </c>
      <c r="BP46">
        <f t="shared" si="34"/>
        <v>9</v>
      </c>
      <c r="BQ46">
        <v>7</v>
      </c>
      <c r="BR46" s="107">
        <f t="shared" si="35"/>
        <v>7.2655165095424499E-9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1.1908264147218766E-4</v>
      </c>
      <c r="I47" s="93">
        <v>8</v>
      </c>
      <c r="J47" s="86">
        <f t="shared" si="33"/>
        <v>1.955861992085848E-6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2.9938674315987453E-2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3.1147524280471729E-2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6.8216319512900588E-7</v>
      </c>
      <c r="AP47" s="28">
        <v>8</v>
      </c>
      <c r="AQ47" s="79">
        <f>((($W$39)^Q47)*((1-($W$39))^($U$34-Q47))*HLOOKUP($U$34,$AV$24:$BF$34,Q47+1))*V48</f>
        <v>9.2816648071078761E-7</v>
      </c>
      <c r="AR47" s="28">
        <v>8</v>
      </c>
      <c r="AS47" s="79">
        <f>((($W$39)^Q47)*((1-($W$39))^($U$35-Q47))*HLOOKUP($U$35,$AV$24:$BF$34,Q47+1))*V49</f>
        <v>3.4553231624605464E-7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2.4935489954784792E-7</v>
      </c>
      <c r="BP47">
        <f>BL12+1</f>
        <v>9</v>
      </c>
      <c r="BQ47">
        <v>8</v>
      </c>
      <c r="BR47" s="107">
        <f t="shared" si="35"/>
        <v>9.3117369421825964E-10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1.1300345878589818E-5</v>
      </c>
      <c r="I48" s="93">
        <v>9</v>
      </c>
      <c r="J48" s="86">
        <f t="shared" si="33"/>
        <v>6.3724219249743478E-8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5.8903498299576681E-3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6.3767401293690143E-3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3.6527635761693571E-8</v>
      </c>
      <c r="AR48" s="28">
        <v>9</v>
      </c>
      <c r="AS48" s="79">
        <f>((($W$39)^Q48)*((1-($W$39))^($U$35-Q48))*HLOOKUP($U$35,$AV$24:$BF$34,Q48+1))*V49</f>
        <v>2.7196583488049907E-8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1.7049616218760874E-8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7.726600147764186E-7</v>
      </c>
      <c r="I49" s="94">
        <v>10</v>
      </c>
      <c r="J49" s="89">
        <f t="shared" si="33"/>
        <v>9.632799983984462E-10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5.2150938077239579E-4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6.4294171420842261E-4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9.632799983984462E-10</v>
      </c>
      <c r="BH49">
        <f>BP14+1</f>
        <v>6</v>
      </c>
      <c r="BI49">
        <v>0</v>
      </c>
      <c r="BJ49" s="107">
        <f>$H$31*H39</f>
        <v>6.1305062025594629E-4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4.3972404085024837E-6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5.6356552079584035E-7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5.3479543546470542E-8</v>
      </c>
    </row>
    <row r="53" spans="1:62" x14ac:dyDescent="0.25">
      <c r="BH53">
        <f>BH48+1</f>
        <v>6</v>
      </c>
      <c r="BI53">
        <v>10</v>
      </c>
      <c r="BJ53" s="107">
        <f>$H$31*H49</f>
        <v>3.6566584200879881E-9</v>
      </c>
    </row>
    <row r="54" spans="1:62" x14ac:dyDescent="0.25">
      <c r="BH54">
        <f>BH51+1</f>
        <v>7</v>
      </c>
      <c r="BI54">
        <v>8</v>
      </c>
      <c r="BJ54" s="107">
        <f>$H$32*H47</f>
        <v>8.9857860513840525E-8</v>
      </c>
    </row>
    <row r="55" spans="1:62" x14ac:dyDescent="0.25">
      <c r="BH55">
        <f>BH52+1</f>
        <v>7</v>
      </c>
      <c r="BI55">
        <v>9</v>
      </c>
      <c r="BJ55" s="107">
        <f>$H$32*H48</f>
        <v>8.5270606291819116E-9</v>
      </c>
    </row>
    <row r="56" spans="1:62" x14ac:dyDescent="0.25">
      <c r="BH56">
        <f>BH53+1</f>
        <v>7</v>
      </c>
      <c r="BI56">
        <v>10</v>
      </c>
      <c r="BJ56" s="107">
        <f>$H$32*H49</f>
        <v>5.8303691431481227E-10</v>
      </c>
    </row>
    <row r="57" spans="1:62" x14ac:dyDescent="0.25">
      <c r="BH57">
        <f>BH55+1</f>
        <v>8</v>
      </c>
      <c r="BI57">
        <v>9</v>
      </c>
      <c r="BJ57" s="107">
        <f>$H$33*H48</f>
        <v>1.0118672962131991E-9</v>
      </c>
    </row>
    <row r="58" spans="1:62" x14ac:dyDescent="0.25">
      <c r="BH58">
        <f>BH56+1</f>
        <v>8</v>
      </c>
      <c r="BI58">
        <v>10</v>
      </c>
      <c r="BJ58" s="107">
        <f>$H$33*H49</f>
        <v>6.9186324776585561E-11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6.0418602698037318E-12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01" t="s">
        <v>130</v>
      </c>
      <c r="C3" s="20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OBIWAN-Orinteers</vt:lpstr>
      <vt:lpstr>Palencia-VADER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2017-11-30T11:41:47Z</dcterms:modified>
</cp:coreProperties>
</file>