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TILLA" sheetId="1" state="visible" r:id="rId2"/>
    <sheet name="Economia" sheetId="2" state="visible" r:id="rId3"/>
    <sheet name="EscolaJedi" sheetId="3" state="visible" r:id="rId4"/>
    <sheet name="Ahch-To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8"/>
            <color rgb="FF000000"/>
            <rFont val="Tahoma"/>
            <family val="2"/>
            <charset val="1"/>
          </rPr>
          <t xml:space="preserve">Lid*Lid*Exp</t>
        </r>
      </text>
    </comment>
  </commentList>
</comments>
</file>

<file path=xl/sharedStrings.xml><?xml version="1.0" encoding="utf-8"?>
<sst xmlns="http://schemas.openxmlformats.org/spreadsheetml/2006/main" count="457" uniqueCount="250">
  <si>
    <t xml:space="preserve">Nfin</t>
  </si>
  <si>
    <t xml:space="preserve">POS</t>
  </si>
  <si>
    <t xml:space="preserve">h36</t>
  </si>
  <si>
    <t xml:space="preserve">Jugador</t>
  </si>
  <si>
    <t xml:space="preserve">Anys</t>
  </si>
  <si>
    <t xml:space="preserve">Dias</t>
  </si>
  <si>
    <t xml:space="preserve">PA</t>
  </si>
  <si>
    <t xml:space="preserve">Ag</t>
  </si>
  <si>
    <t xml:space="preserve">Ho</t>
  </si>
  <si>
    <t xml:space="preserve">%T</t>
  </si>
  <si>
    <t xml:space="preserve">Lid</t>
  </si>
  <si>
    <t xml:space="preserve">Exp</t>
  </si>
  <si>
    <t xml:space="preserve">HXP</t>
  </si>
  <si>
    <t xml:space="preserve">CMn</t>
  </si>
  <si>
    <t xml:space="preserve">CMx</t>
  </si>
  <si>
    <t xml:space="preserve">Res</t>
  </si>
  <si>
    <t xml:space="preserve">m90</t>
  </si>
  <si>
    <t xml:space="preserve">FID</t>
  </si>
  <si>
    <t xml:space="preserve">For</t>
  </si>
  <si>
    <t xml:space="preserve">Fmin</t>
  </si>
  <si>
    <t xml:space="preserve">Fmax</t>
  </si>
  <si>
    <t xml:space="preserve">TSI</t>
  </si>
  <si>
    <t xml:space="preserve">Dif</t>
  </si>
  <si>
    <t xml:space="preserve">Sou</t>
  </si>
  <si>
    <t xml:space="preserve">Hib</t>
  </si>
  <si>
    <t xml:space="preserve">JMn</t>
  </si>
  <si>
    <t xml:space="preserve">JMx</t>
  </si>
  <si>
    <t xml:space="preserve">CA</t>
  </si>
  <si>
    <t xml:space="preserve">TL</t>
  </si>
  <si>
    <t xml:space="preserve">PEN</t>
  </si>
  <si>
    <t xml:space="preserve">BPiA</t>
  </si>
  <si>
    <t xml:space="preserve">BPiD</t>
  </si>
  <si>
    <t xml:space="preserve">BPMin</t>
  </si>
  <si>
    <t xml:space="preserve">BPMax</t>
  </si>
  <si>
    <t xml:space="preserve">Po</t>
  </si>
  <si>
    <t xml:space="preserve">De</t>
  </si>
  <si>
    <t xml:space="preserve">Cr</t>
  </si>
  <si>
    <t xml:space="preserve">Ex</t>
  </si>
  <si>
    <t xml:space="preserve">Ps</t>
  </si>
  <si>
    <t xml:space="preserve">An</t>
  </si>
  <si>
    <t xml:space="preserve">Ab</t>
  </si>
  <si>
    <t xml:space="preserve">Pot</t>
  </si>
  <si>
    <t xml:space="preserve">Epo</t>
  </si>
  <si>
    <t xml:space="preserve">Ede</t>
  </si>
  <si>
    <t xml:space="preserve">Eju</t>
  </si>
  <si>
    <t xml:space="preserve">Ela</t>
  </si>
  <si>
    <t xml:space="preserve">Epa</t>
  </si>
  <si>
    <t xml:space="preserve">Ean</t>
  </si>
  <si>
    <t xml:space="preserve">EBP</t>
  </si>
  <si>
    <t xml:space="preserve">Total</t>
  </si>
  <si>
    <t xml:space="preserve">LastWeek</t>
  </si>
  <si>
    <t xml:space="preserve">Fascenso</t>
  </si>
  <si>
    <t xml:space="preserve">#1</t>
  </si>
  <si>
    <t xml:space="preserve">CEN</t>
  </si>
  <si>
    <t xml:space="preserve">E. Tarrida</t>
  </si>
  <si>
    <t xml:space="preserve">RAP</t>
  </si>
  <si>
    <t xml:space="preserve">Inici</t>
  </si>
  <si>
    <t xml:space="preserve">#3</t>
  </si>
  <si>
    <t xml:space="preserve">POR</t>
  </si>
  <si>
    <t xml:space="preserve">S. Candela</t>
  </si>
  <si>
    <t xml:space="preserve">CAB</t>
  </si>
  <si>
    <t xml:space="preserve">#2</t>
  </si>
  <si>
    <t xml:space="preserve">J. Poblet</t>
  </si>
  <si>
    <t xml:space="preserve">#19</t>
  </si>
  <si>
    <t xml:space="preserve">L. Cortallo</t>
  </si>
  <si>
    <t xml:space="preserve">#7</t>
  </si>
  <si>
    <t xml:space="preserve">LAT</t>
  </si>
  <si>
    <t xml:space="preserve">H. Grijalva</t>
  </si>
  <si>
    <t xml:space="preserve">#6</t>
  </si>
  <si>
    <t xml:space="preserve">M. Teixé</t>
  </si>
  <si>
    <t xml:space="preserve">#4</t>
  </si>
  <si>
    <t xml:space="preserve">J-L. Grellier</t>
  </si>
  <si>
    <t xml:space="preserve">#5</t>
  </si>
  <si>
    <t xml:space="preserve">A. Aluja</t>
  </si>
  <si>
    <t xml:space="preserve">#11</t>
  </si>
  <si>
    <t xml:space="preserve">MED</t>
  </si>
  <si>
    <t xml:space="preserve">J. Banal</t>
  </si>
  <si>
    <t xml:space="preserve">POT</t>
  </si>
  <si>
    <t xml:space="preserve">#8</t>
  </si>
  <si>
    <t xml:space="preserve">D. Salat</t>
  </si>
  <si>
    <t xml:space="preserve">#9</t>
  </si>
  <si>
    <t xml:space="preserve">P-P. Cunill</t>
  </si>
  <si>
    <t xml:space="preserve">#10</t>
  </si>
  <si>
    <t xml:space="preserve">I. Escuder</t>
  </si>
  <si>
    <t xml:space="preserve">#12</t>
  </si>
  <si>
    <t xml:space="preserve">A. Guau</t>
  </si>
  <si>
    <t xml:space="preserve">#14</t>
  </si>
  <si>
    <t xml:space="preserve">M. Tàcias</t>
  </si>
  <si>
    <t xml:space="preserve">IMP</t>
  </si>
  <si>
    <t xml:space="preserve">#13</t>
  </si>
  <si>
    <t xml:space="preserve">EXT</t>
  </si>
  <si>
    <t xml:space="preserve">A. Aguilella</t>
  </si>
  <si>
    <t xml:space="preserve">#15</t>
  </si>
  <si>
    <t xml:space="preserve">T. Averous</t>
  </si>
  <si>
    <t xml:space="preserve">#16</t>
  </si>
  <si>
    <t xml:space="preserve">DAV</t>
  </si>
  <si>
    <t xml:space="preserve">L-G. Salares</t>
  </si>
  <si>
    <t xml:space="preserve">#17</t>
  </si>
  <si>
    <t xml:space="preserve">J. Autet</t>
  </si>
  <si>
    <t xml:space="preserve">#18</t>
  </si>
  <si>
    <t xml:space="preserve">A. Manent</t>
  </si>
  <si>
    <t xml:space="preserve">ECONOMIA HT</t>
  </si>
  <si>
    <t xml:space="preserve">IV.11</t>
  </si>
  <si>
    <t xml:space="preserve">S15</t>
  </si>
  <si>
    <t xml:space="preserve">S16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</si>
  <si>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</si>
  <si>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</si>
  <si>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</si>
  <si>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</si>
  <si>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</si>
  <si>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</si>
  <si>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</si>
  <si>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</si>
  <si>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</si>
  <si>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</si>
  <si>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</si>
  <si>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</si>
  <si>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</si>
  <si>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</si>
  <si>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Socios</t>
  </si>
  <si>
    <t xml:space="preserve">SALDO INICIAL</t>
  </si>
  <si>
    <t xml:space="preserve">Taquillas</t>
  </si>
  <si>
    <t xml:space="preserve">Patrocinadores</t>
  </si>
  <si>
    <t xml:space="preserve">Venta de jugadores</t>
  </si>
  <si>
    <t xml:space="preserve">Ventas</t>
  </si>
  <si>
    <t xml:space="preserve">VentasCantera</t>
  </si>
  <si>
    <t xml:space="preserve">Comisiones</t>
  </si>
  <si>
    <t xml:space="preserve">Otros</t>
  </si>
  <si>
    <t xml:space="preserve">Nuevos Socios</t>
  </si>
  <si>
    <t xml:space="preserve">Premios</t>
  </si>
  <si>
    <t xml:space="preserve">TOTAL INGRESOS</t>
  </si>
  <si>
    <t xml:space="preserve">Sueldos</t>
  </si>
  <si>
    <t xml:space="preserve">Mantenimiento </t>
  </si>
  <si>
    <t xml:space="preserve">Construcción del estadio</t>
  </si>
  <si>
    <t xml:space="preserve">Estadio</t>
  </si>
  <si>
    <t xml:space="preserve">Empleados</t>
  </si>
  <si>
    <t xml:space="preserve">Juveniles</t>
  </si>
  <si>
    <t xml:space="preserve">Compra de jugadores*</t>
  </si>
  <si>
    <t xml:space="preserve">Compra</t>
  </si>
  <si>
    <t xml:space="preserve">Entrenador</t>
  </si>
  <si>
    <t xml:space="preserve">Viajes+Venta</t>
  </si>
  <si>
    <t xml:space="preserve">Intereses</t>
  </si>
  <si>
    <t xml:space="preserve">TOTAL GASTOS</t>
  </si>
  <si>
    <t xml:space="preserve">SALDO FINAL</t>
  </si>
  <si>
    <t xml:space="preserve">Ingresos Fijo</t>
  </si>
  <si>
    <t xml:space="preserve">Pagos Fijos</t>
  </si>
  <si>
    <t xml:space="preserve">Total Fijo</t>
  </si>
  <si>
    <t xml:space="preserve">Ingresos Variables</t>
  </si>
  <si>
    <t xml:space="preserve">Pagos Variables</t>
  </si>
  <si>
    <t xml:space="preserve">Total Variables</t>
  </si>
  <si>
    <t xml:space="preserve">Jugadores</t>
  </si>
  <si>
    <t xml:space="preserve">Plantilla Medias (mirar antes entreno) (sin entrenador)</t>
  </si>
  <si>
    <t xml:space="preserve">Sueldo</t>
  </si>
  <si>
    <t xml:space="preserve">TSI11</t>
  </si>
  <si>
    <t xml:space="preserve">Sueldo11</t>
  </si>
  <si>
    <t xml:space="preserve">Edad11</t>
  </si>
  <si>
    <t xml:space="preserve">22(62)</t>
  </si>
  <si>
    <t xml:space="preserve">Resistencia11</t>
  </si>
  <si>
    <t xml:space="preserve">Forma11</t>
  </si>
  <si>
    <t xml:space="preserve">Experiencia11</t>
  </si>
  <si>
    <t xml:space="preserve">Hibridación</t>
  </si>
  <si>
    <t xml:space="preserve">COMPLETAMENTE ENTRENADOS!</t>
  </si>
  <si>
    <t xml:space="preserve">Edad</t>
  </si>
  <si>
    <t xml:space="preserve">Esp</t>
  </si>
  <si>
    <t xml:space="preserve">Asc</t>
  </si>
  <si>
    <t xml:space="preserve">Fecha</t>
  </si>
  <si>
    <t xml:space="preserve">NivelM</t>
  </si>
  <si>
    <t xml:space="preserve">DEF</t>
  </si>
  <si>
    <t xml:space="preserve">JUG</t>
  </si>
  <si>
    <t xml:space="preserve">PAS</t>
  </si>
  <si>
    <t xml:space="preserve">ANO</t>
  </si>
  <si>
    <t xml:space="preserve">BP</t>
  </si>
  <si>
    <t xml:space="preserve">u20</t>
  </si>
  <si>
    <t xml:space="preserve">Cap</t>
  </si>
  <si>
    <t xml:space="preserve">HTMS</t>
  </si>
  <si>
    <t xml:space="preserve">Ca</t>
  </si>
  <si>
    <t xml:space="preserve">PRIMER EQUIPO</t>
  </si>
  <si>
    <t xml:space="preserve">Info</t>
  </si>
  <si>
    <t xml:space="preserve">Habilidades</t>
  </si>
  <si>
    <t xml:space="preserve">RELEVANTES </t>
  </si>
  <si>
    <t xml:space="preserve">RELLENOS</t>
  </si>
  <si>
    <t xml:space="preserve">N. Aloy</t>
  </si>
  <si>
    <t xml:space="preserve">FC-2</t>
  </si>
  <si>
    <t xml:space="preserve">B. Tugores</t>
  </si>
  <si>
    <t xml:space="preserve">FC-3</t>
  </si>
  <si>
    <t xml:space="preserve">V. Garrell</t>
  </si>
  <si>
    <t xml:space="preserve">FC-4</t>
  </si>
  <si>
    <t xml:space="preserve">V. Fullana</t>
  </si>
  <si>
    <t xml:space="preserve">no</t>
  </si>
  <si>
    <t xml:space="preserve">V. Valldaura</t>
  </si>
  <si>
    <t xml:space="preserve">K. Pruneau</t>
  </si>
  <si>
    <t xml:space="preserve">FF+4</t>
  </si>
  <si>
    <t xml:space="preserve">X. Cornellà</t>
  </si>
  <si>
    <t xml:space="preserve">FF+3</t>
  </si>
  <si>
    <t xml:space="preserve">J-A. Lari</t>
  </si>
  <si>
    <t xml:space="preserve">FF</t>
  </si>
  <si>
    <t xml:space="preserve">R. Riart</t>
  </si>
  <si>
    <t xml:space="preserve">FF-3</t>
  </si>
  <si>
    <t xml:space="preserve">G. llatcha</t>
  </si>
  <si>
    <t xml:space="preserve">A. Valldeoriola</t>
  </si>
  <si>
    <t xml:space="preserve">débil</t>
  </si>
  <si>
    <t xml:space="preserve">M-B. Ortega</t>
  </si>
  <si>
    <t xml:space="preserve">P. Torres</t>
  </si>
  <si>
    <t xml:space="preserve">A. Capdevila</t>
  </si>
  <si>
    <t xml:space="preserve">J. Estela</t>
  </si>
  <si>
    <t xml:space="preserve">A. Majoral</t>
  </si>
  <si>
    <t xml:space="preserve">Actualización</t>
  </si>
  <si>
    <t xml:space="preserve">Capitan</t>
  </si>
  <si>
    <t xml:space="preserve">Estado de ánimo de los aficionados</t>
  </si>
  <si>
    <t xml:space="preserve">Grada general</t>
  </si>
  <si>
    <t xml:space="preserve">Preferente</t>
  </si>
  <si>
    <t xml:space="preserve">Tribuna</t>
  </si>
  <si>
    <t xml:space="preserve">Palco</t>
  </si>
  <si>
    <t xml:space="preserve">Multiplicador</t>
  </si>
  <si>
    <t xml:space="preserve">(asistencia = socios X multiplicador)</t>
  </si>
  <si>
    <t xml:space="preserve">Tribuna original</t>
  </si>
  <si>
    <t xml:space="preserve">Nuevo</t>
  </si>
  <si>
    <t xml:space="preserve">CosteContrucción</t>
  </si>
  <si>
    <t xml:space="preserve">CosteMantenimiento</t>
  </si>
  <si>
    <t xml:space="preserve">IngresoVenta</t>
  </si>
  <si>
    <t xml:space="preserve">Capacidad total:</t>
  </si>
  <si>
    <t xml:space="preserve">por asiento</t>
  </si>
  <si>
    <t xml:space="preserve">Coste</t>
  </si>
  <si>
    <t xml:space="preserve">CosteSemanal</t>
  </si>
  <si>
    <t xml:space="preserve">1Partido</t>
  </si>
  <si>
    <t xml:space="preserve">completo</t>
  </si>
  <si>
    <t xml:space="preserve">Mantenimiento</t>
  </si>
  <si>
    <t xml:space="preserve">Grada general:</t>
  </si>
  <si>
    <t xml:space="preserve">Preferentes:</t>
  </si>
  <si>
    <t xml:space="preserve">Tribunas:</t>
  </si>
  <si>
    <t xml:space="preserve">Palcos:</t>
  </si>
  <si>
    <t xml:space="preserve">Coste Inicial</t>
  </si>
  <si>
    <t xml:space="preserve">Coste de Contrucción</t>
  </si>
  <si>
    <t xml:space="preserve">TOTAL</t>
  </si>
  <si>
    <t xml:space="preserve">Aficionados</t>
  </si>
  <si>
    <t xml:space="preserve">MaxGrada Llena</t>
  </si>
  <si>
    <t xml:space="preserve">MaxPreferente Lleno</t>
  </si>
  <si>
    <t xml:space="preserve">MaxTribuna Lleno</t>
  </si>
  <si>
    <t xml:space="preserve">MaxPalco Lleno</t>
  </si>
  <si>
    <t xml:space="preserve">Real Grada</t>
  </si>
  <si>
    <t xml:space="preserve">Real Preferente</t>
  </si>
  <si>
    <t xml:space="preserve">Real Tribuna</t>
  </si>
  <si>
    <t xml:space="preserve">Real Palco</t>
  </si>
  <si>
    <t xml:space="preserve">Ingresos Extra Grada general:</t>
  </si>
  <si>
    <t xml:space="preserve">Ingresos Extre Preferentes:</t>
  </si>
  <si>
    <t xml:space="preserve">Ingresos Extra Tribunas:</t>
  </si>
  <si>
    <t xml:space="preserve">Ingresos Extra Palcos:</t>
  </si>
  <si>
    <t xml:space="preserve">Coste de Mantenimiento Extra</t>
  </si>
  <si>
    <t xml:space="preserve">Beneficio Neto Semanal</t>
  </si>
  <si>
    <t xml:space="preserve">Beneficio Acumulado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</si>
</sst>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"/>
    <numFmt numFmtId="166" formatCode="DD/MM/YYYY"/>
    <numFmt numFmtId="167" formatCode="0\ %"/>
    <numFmt numFmtId="168" formatCode="_-* #,##0.00\ _€_-;\-* #,##0.00\ _€_-;_-* \-??\ _€_-;_-@_-"/>
    <numFmt numFmtId="169" formatCode="_-* #,##0\ _€_-;\-* #,##0\ _€_-;_-* \-??\ _€_-;_-@_-"/>
    <numFmt numFmtId="170" formatCode="0"/>
    <numFmt numFmtId="171" formatCode="0.00"/>
    <numFmt numFmtId="172" formatCode="_-* #,##0.0\ _€_-;\-* #,##0.0\ _€_-;_-* \-??\ _€_-;_-@_-"/>
    <numFmt numFmtId="173" formatCode="_-* #,##0\ [$€-C0A]_-;\-* #,##0\ [$€-C0A]_-;_-* \-??\ [$€-C0A]_-;_-@_-"/>
    <numFmt numFmtId="174" formatCode="0.0%"/>
    <numFmt numFmtId="175" formatCode="_-* #,##0.00\ [$€-C0A]_-;\-* #,##0.00\ [$€-C0A]_-;_-* \-??\ [$€-C0A]_-;_-@_-"/>
    <numFmt numFmtId="176" formatCode="_-* #,##0.00&quot; €&quot;_-;\-* #,##0.00&quot; €&quot;_-;_-* \-??&quot; €&quot;_-;_-@_-"/>
    <numFmt numFmtId="177" formatCode="_-* #,##0&quot; €&quot;_-;\-* #,##0&quot; €&quot;_-;_-* \-??&quot; €&quot;_-;_-@_-"/>
    <numFmt numFmtId="178" formatCode="#,##0&quot; €&quot;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FFFFFF"/>
      <name val="Verdana"/>
      <family val="2"/>
      <charset val="1"/>
    </font>
    <font>
      <b val="true"/>
      <i val="true"/>
      <u val="single"/>
      <sz val="8"/>
      <color rgb="FFFFFFFF"/>
      <name val="Verdana"/>
      <family val="2"/>
      <charset val="1"/>
    </font>
    <font>
      <b val="true"/>
      <sz val="8"/>
      <name val="Verdana"/>
      <family val="2"/>
      <charset val="1"/>
    </font>
    <font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535353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0"/>
      <color rgb="FF000000"/>
      <name val="Calibri"/>
      <family val="2"/>
    </font>
    <font>
      <b val="true"/>
      <u val="single"/>
      <sz val="11"/>
      <color rgb="FFFFFFFF"/>
      <name val="Calibri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7.5"/>
      <color rgb="FFFFFFFF"/>
      <name val="Calibri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DD7EE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FBE5D6"/>
        <bgColor rgb="FFEEEEEE"/>
      </patternFill>
    </fill>
    <fill>
      <patternFill patternType="solid">
        <fgColor rgb="FFD0CECE"/>
        <bgColor rgb="FFCCCCCC"/>
      </patternFill>
    </fill>
    <fill>
      <patternFill patternType="solid">
        <fgColor rgb="FF7030A0"/>
        <bgColor rgb="FF535353"/>
      </patternFill>
    </fill>
    <fill>
      <patternFill patternType="solid">
        <fgColor rgb="FF00B050"/>
        <bgColor rgb="FF639A3F"/>
      </patternFill>
    </fill>
    <fill>
      <patternFill patternType="solid">
        <fgColor rgb="FFC9C9C9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6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6" fillId="9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5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7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5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7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1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2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3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28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8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20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2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4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1" fillId="2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2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7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7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1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24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00FFFFFF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E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D0CECE"/>
      <rgbColor rgb="FF0000FF"/>
      <rgbColor rgb="FFFFFF00"/>
      <rgbColor rgb="FFFFC7CE"/>
      <rgbColor rgb="FFC9C9C9"/>
      <rgbColor rgb="FF9C0006"/>
      <rgbColor rgb="FF006100"/>
      <rgbColor rgb="FF000080"/>
      <rgbColor rgb="FF9C6500"/>
      <rgbColor rgb="FFDBDBDB"/>
      <rgbColor rgb="FF00B050"/>
      <rgbColor rgb="FFBFBFBF"/>
      <rgbColor rgb="FF8B8B8B"/>
      <rgbColor rgb="FF98B8DF"/>
      <rgbColor rgb="FF7030A0"/>
      <rgbColor rgb="FFFFFFCC"/>
      <rgbColor rgb="FFE2F0D9"/>
      <rgbColor rgb="FF660066"/>
      <rgbColor rgb="FFF4B183"/>
      <rgbColor rgb="FF0070C0"/>
      <rgbColor rgb="FFBDD7EE"/>
      <rgbColor rgb="FF000080"/>
      <rgbColor rgb="FFD9D9D9"/>
      <rgbColor rgb="FFFFE699"/>
      <rgbColor rgb="FFCCCCCC"/>
      <rgbColor rgb="FFFBE5D6"/>
      <rgbColor rgb="FF800000"/>
      <rgbColor rgb="FF518ABD"/>
      <rgbColor rgb="FF0000FF"/>
      <rgbColor rgb="FFAFABAB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A9D18E"/>
      <rgbColor rgb="FF92D050"/>
      <rgbColor rgb="FFFFC000"/>
      <rgbColor rgb="FFE3AB00"/>
      <rgbColor rgb="FFD36F2B"/>
      <rgbColor rgb="FF3C65AE"/>
      <rgbColor rgb="FF929292"/>
      <rgbColor rgb="FFEEEEEE"/>
      <rgbColor rgb="FF639A3F"/>
      <rgbColor rgb="FF003300"/>
      <rgbColor rgb="FF548235"/>
      <rgbColor rgb="FFC55A11"/>
      <rgbColor rgb="FFBF9000"/>
      <rgbColor rgb="FF535353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Taquillas</c:v>
                </c:pt>
              </c:strCache>
            </c:strRef>
          </c:tx>
          <c:spPr>
            <a:solidFill>
              <a:srgbClr val="518ab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6222531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Patrocinadores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3046995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VentasCantera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invertIfNegative val="0"/>
          <c:dLbls>
            <c:numFmt formatCode="#,##0&quot; €&quot;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585827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73830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Nuevos Socios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89520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Premios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925000</c:v>
                </c:pt>
              </c:numCache>
            </c:numRef>
          </c:val>
        </c:ser>
        <c:gapWidth val="150"/>
        <c:overlap val="100"/>
        <c:axId val="7703577"/>
        <c:axId val="95174942"/>
      </c:barChart>
      <c:catAx>
        <c:axId val="770357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74942"/>
        <c:crosses val="autoZero"/>
        <c:auto val="1"/>
        <c:lblAlgn val="ctr"/>
        <c:lblOffset val="100"/>
      </c:catAx>
      <c:valAx>
        <c:axId val="951749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35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Sueldos</c:v>
                </c:pt>
              </c:strCache>
            </c:strRef>
          </c:tx>
          <c:spPr>
            <a:solidFill>
              <a:srgbClr val="518ab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2646284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Mantenimiento 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686244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Estadio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442795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Empleados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invertIfNegative val="0"/>
          <c:dLbls>
            <c:numFmt formatCode="#,##0&quot; €&quot;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1044480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320000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Entrenador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1916372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Viajes+Venta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87000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Intereses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50"/>
        <c:overlap val="100"/>
        <c:axId val="78329140"/>
        <c:axId val="85679520"/>
      </c:barChart>
      <c:catAx>
        <c:axId val="7832914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79520"/>
        <c:crosses val="autoZero"/>
        <c:auto val="1"/>
        <c:lblAlgn val="ctr"/>
        <c:lblOffset val="100"/>
      </c:catAx>
      <c:valAx>
        <c:axId val="8567952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291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53280</xdr:colOff>
      <xdr:row>4</xdr:row>
      <xdr:rowOff>74160</xdr:rowOff>
    </xdr:from>
    <xdr:to>
      <xdr:col>26</xdr:col>
      <xdr:colOff>267480</xdr:colOff>
      <xdr:row>22</xdr:row>
      <xdr:rowOff>4320</xdr:rowOff>
    </xdr:to>
    <xdr:graphicFrame>
      <xdr:nvGraphicFramePr>
        <xdr:cNvPr id="0" name="1 Gráfico"/>
        <xdr:cNvGraphicFramePr/>
      </xdr:nvGraphicFramePr>
      <xdr:xfrm>
        <a:off x="25113240" y="879840"/>
        <a:ext cx="3979800" cy="334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63720</xdr:colOff>
      <xdr:row>21</xdr:row>
      <xdr:rowOff>148680</xdr:rowOff>
    </xdr:from>
    <xdr:to>
      <xdr:col>26</xdr:col>
      <xdr:colOff>267480</xdr:colOff>
      <xdr:row>41</xdr:row>
      <xdr:rowOff>101520</xdr:rowOff>
    </xdr:to>
    <xdr:graphicFrame>
      <xdr:nvGraphicFramePr>
        <xdr:cNvPr id="1" name="2 Gráfico"/>
        <xdr:cNvGraphicFramePr/>
      </xdr:nvGraphicFramePr>
      <xdr:xfrm>
        <a:off x="25123680" y="4188960"/>
        <a:ext cx="3969360" cy="36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nt/datos/Projectes/HI/projects/current/hattrick/1-ObiW@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istencia"/>
      <sheetName val="CA_Calculator"/>
      <sheetName val="TL_Tactica"/>
      <sheetName val="CAPITAN"/>
      <sheetName val="ENTRENADOR"/>
      <sheetName val="PLANTILLA"/>
      <sheetName val="PLANNING"/>
      <sheetName val="Evaluacion"/>
      <sheetName val="Eva_sinFORMA"/>
      <sheetName val="ENTRENAMIENTO_Rendimiento"/>
      <sheetName val="Resumen_Rend"/>
      <sheetName val="352"/>
      <sheetName val="541"/>
      <sheetName val="DEF"/>
      <sheetName val="JUG"/>
      <sheetName val="PAS"/>
      <sheetName val="LAT"/>
      <sheetName val="Hall_of_Fame"/>
      <sheetName val="Estadio"/>
      <sheetName val="EconomiaT48"/>
      <sheetName val="A-P_T48"/>
      <sheetName val="EconomiaT49"/>
      <sheetName val="A-P_T49"/>
      <sheetName val="EconomiaT50"/>
      <sheetName val="A-P_T50"/>
      <sheetName val="TablasEntreno"/>
      <sheetName val="Entrenamientos"/>
      <sheetName val="NUEVOENTRENADOR"/>
      <sheetName val="RiscLesió"/>
      <sheetName val="EMPLE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8">
          <cell r="S18">
            <v>20000</v>
          </cell>
        </row>
        <row r="19">
          <cell r="S19">
            <v>0</v>
          </cell>
        </row>
        <row r="20">
          <cell r="S20">
            <v>0</v>
          </cell>
        </row>
        <row r="22">
          <cell r="S22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B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H10" activeCellId="0" sqref="H10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5.01"/>
    <col collapsed="false" customWidth="true" hidden="false" outlineLevel="0" max="3" min="3" style="0" width="5.14"/>
    <col collapsed="false" customWidth="true" hidden="false" outlineLevel="0" max="4" min="4" style="0" width="15.15"/>
    <col collapsed="false" customWidth="true" hidden="false" outlineLevel="0" max="5" min="5" style="0" width="5.57"/>
    <col collapsed="false" customWidth="true" hidden="false" outlineLevel="0" max="6" min="6" style="0" width="6.15"/>
    <col collapsed="false" customWidth="true" hidden="false" outlineLevel="0" max="7" min="7" style="0" width="4.57"/>
    <col collapsed="false" customWidth="true" hidden="false" outlineLevel="0" max="9" min="8" style="0" width="3.42"/>
    <col collapsed="false" customWidth="true" hidden="false" outlineLevel="0" max="10" min="10" style="0" width="4.71"/>
    <col collapsed="false" customWidth="true" hidden="false" outlineLevel="0" max="11" min="11" style="0" width="3.71"/>
    <col collapsed="false" customWidth="true" hidden="false" outlineLevel="0" max="13" min="12" style="0" width="4.57"/>
    <col collapsed="false" customWidth="true" hidden="false" outlineLevel="0" max="14" min="14" style="0" width="4.71"/>
    <col collapsed="false" customWidth="true" hidden="false" outlineLevel="0" max="15" min="15" style="0" width="5.01"/>
    <col collapsed="false" customWidth="true" hidden="false" outlineLevel="0" max="16" min="16" style="0" width="4.29"/>
    <col collapsed="false" customWidth="true" hidden="false" outlineLevel="0" max="17" min="17" style="0" width="5.01"/>
    <col collapsed="false" customWidth="true" hidden="false" outlineLevel="0" max="18" min="18" style="0" width="4.57"/>
    <col collapsed="false" customWidth="true" hidden="false" outlineLevel="0" max="19" min="19" style="0" width="4.14"/>
    <col collapsed="false" customWidth="true" hidden="false" outlineLevel="0" max="21" min="20" style="0" width="5.7"/>
    <col collapsed="false" customWidth="true" hidden="false" outlineLevel="0" max="22" min="22" style="0" width="10.58"/>
    <col collapsed="false" customWidth="true" hidden="false" outlineLevel="0" max="23" min="23" style="0" width="8.57"/>
    <col collapsed="false" customWidth="true" hidden="false" outlineLevel="0" max="24" min="24" style="0" width="9.58"/>
    <col collapsed="false" customWidth="true" hidden="false" outlineLevel="0" max="25" min="25" style="0" width="7.57"/>
    <col collapsed="false" customWidth="true" hidden="false" outlineLevel="0" max="27" min="26" style="0" width="4.43"/>
    <col collapsed="false" customWidth="true" hidden="false" outlineLevel="0" max="32" min="28" style="0" width="6.57"/>
    <col collapsed="false" customWidth="true" hidden="false" outlineLevel="0" max="33" min="33" style="0" width="6.42"/>
    <col collapsed="false" customWidth="true" hidden="false" outlineLevel="0" max="34" min="34" style="0" width="7"/>
    <col collapsed="false" customWidth="true" hidden="false" outlineLevel="0" max="39" min="35" style="0" width="6.15"/>
    <col collapsed="false" customWidth="true" hidden="false" outlineLevel="0" max="40" min="40" style="0" width="6.57"/>
    <col collapsed="false" customWidth="true" hidden="false" outlineLevel="0" max="41" min="41" style="0" width="6.15"/>
    <col collapsed="false" customWidth="true" hidden="false" outlineLevel="0" max="42" min="42" style="0" width="7.86"/>
    <col collapsed="false" customWidth="true" hidden="false" outlineLevel="0" max="43" min="43" style="0" width="9.58"/>
    <col collapsed="false" customWidth="true" hidden="false" outlineLevel="0" max="46" min="44" style="0" width="7.57"/>
    <col collapsed="false" customWidth="true" hidden="false" outlineLevel="0" max="48" min="47" style="0" width="6.71"/>
    <col collapsed="false" customWidth="true" hidden="false" outlineLevel="0" max="49" min="49" style="0" width="7.57"/>
    <col collapsed="false" customWidth="true" hidden="false" outlineLevel="0" max="50" min="50" style="0" width="6.71"/>
    <col collapsed="false" customWidth="true" hidden="false" outlineLevel="0" max="51" min="51" style="0" width="7.57"/>
    <col collapsed="false" customWidth="true" hidden="false" outlineLevel="0" max="52" min="52" style="0" width="10.58"/>
    <col collapsed="false" customWidth="true" hidden="false" outlineLevel="0" max="53" min="53" style="0" width="10.42"/>
    <col collapsed="false" customWidth="true" hidden="false" outlineLevel="0" max="1025" min="54" style="0" width="10.67"/>
  </cols>
  <sheetData>
    <row r="1" customFormat="false" ht="15" hidden="false" customHeight="false" outlineLevel="0" collapsed="false">
      <c r="A1" s="1"/>
      <c r="B1" s="1"/>
      <c r="C1" s="2"/>
      <c r="D1" s="3" t="n">
        <f aca="true">TODAY()</f>
        <v>43638</v>
      </c>
      <c r="E1" s="3" t="n">
        <v>43637</v>
      </c>
      <c r="F1" s="3"/>
      <c r="G1" s="3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1"/>
      <c r="AA1" s="1"/>
      <c r="AB1" s="6"/>
      <c r="AC1" s="6"/>
      <c r="AD1" s="4"/>
      <c r="AE1" s="6"/>
      <c r="AF1" s="6"/>
      <c r="AG1" s="6"/>
      <c r="AH1" s="6"/>
      <c r="AI1" s="6"/>
      <c r="AJ1" s="4"/>
      <c r="AK1" s="4"/>
      <c r="AL1" s="4"/>
      <c r="AM1" s="4"/>
      <c r="AN1" s="4"/>
      <c r="AO1" s="4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customFormat="false" ht="15" hidden="false" customHeight="false" outlineLevel="0" collapsed="false">
      <c r="A2" s="7" t="n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 t="n">
        <f aca="false">AVERAGE(L5:L22)</f>
        <v>2.50555555555556</v>
      </c>
      <c r="M2" s="11"/>
      <c r="N2" s="11"/>
      <c r="O2" s="7"/>
      <c r="P2" s="12" t="n">
        <f aca="false">AVERAGE(P5:P22)</f>
        <v>5.08333333333333</v>
      </c>
      <c r="Q2" s="11"/>
      <c r="R2" s="11"/>
      <c r="S2" s="12" t="n">
        <f aca="false">AVERAGE(S5:S22)</f>
        <v>4.27777777777778</v>
      </c>
      <c r="T2" s="13" t="n">
        <f aca="false">AVERAGE(T5:T22)</f>
        <v>0.775939963771241</v>
      </c>
      <c r="U2" s="13" t="n">
        <f aca="false">AVERAGE(U5:U22)</f>
        <v>0.863267705813202</v>
      </c>
      <c r="V2" s="14" t="n">
        <f aca="false">AVERAGE(V5:V22)</f>
        <v>1021.66666666667</v>
      </c>
      <c r="W2" s="14"/>
      <c r="X2" s="14" t="n">
        <f aca="false">AVERAGE(X5:X22)</f>
        <v>412.222222222222</v>
      </c>
      <c r="Y2" s="15"/>
      <c r="Z2" s="7"/>
      <c r="AA2" s="7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customFormat="false" ht="15" hidden="false" customHeight="false" outlineLevel="0" collapsed="false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6</v>
      </c>
      <c r="AP3" s="16" t="s">
        <v>40</v>
      </c>
      <c r="AQ3" s="16" t="s">
        <v>41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customFormat="false" ht="15" hidden="false" customHeight="false" outlineLevel="0" collapsed="false">
      <c r="A4" s="24" t="s">
        <v>52</v>
      </c>
      <c r="B4" s="25" t="s">
        <v>53</v>
      </c>
      <c r="C4" s="26" t="n">
        <f aca="false">((36*112)-(E4*112)-(F4))/112</f>
        <v>17.7142857142857</v>
      </c>
      <c r="D4" s="27" t="s">
        <v>54</v>
      </c>
      <c r="E4" s="28" t="n">
        <v>18</v>
      </c>
      <c r="F4" s="29" t="n">
        <f aca="false">$D$1-43606</f>
        <v>32</v>
      </c>
      <c r="G4" s="30" t="s">
        <v>55</v>
      </c>
      <c r="H4" s="31" t="n">
        <v>0</v>
      </c>
      <c r="I4" s="31" t="n">
        <v>0</v>
      </c>
      <c r="J4" s="32" t="n">
        <f aca="false">IF(H4=4,IF(I4=0,0.137+0.0697,0.137+0.02),IF(H4=3,IF(I4=0,0.0958+0.0697,0.0958+0.02),IF(H4=2,IF(I4=0,0.0415+0.0697,0.0415+0.02),IF(H4=1,IF(I4=0,0.0294+0.0697,0.0294+0.02),IF(H4=0,IF(I4=0,0.0063+0.0697,0.0063+0.02))))))</f>
        <v>0.076</v>
      </c>
      <c r="K4" s="33" t="n">
        <v>2</v>
      </c>
      <c r="L4" s="34" t="n">
        <v>1</v>
      </c>
      <c r="M4" s="35" t="n">
        <f aca="false">LOG(L4+1)*4/3</f>
        <v>0.401373327551975</v>
      </c>
      <c r="N4" s="36" t="n">
        <f aca="false">(K4)*(K4)*(L4)</f>
        <v>4</v>
      </c>
      <c r="O4" s="36" t="n">
        <f aca="false">(K4+1)*(K4+1)*L4</f>
        <v>9</v>
      </c>
      <c r="P4" s="37" t="n">
        <v>5</v>
      </c>
      <c r="Q4" s="38" t="n">
        <f aca="false">P4*10+19</f>
        <v>69</v>
      </c>
      <c r="R4" s="39" t="n">
        <v>1.5</v>
      </c>
      <c r="S4" s="31" t="n">
        <v>6</v>
      </c>
      <c r="T4" s="40" t="n">
        <f aca="false">(S4/7)^0.5</f>
        <v>0.925820099772551</v>
      </c>
      <c r="U4" s="40" t="n">
        <f aca="false">IF(S4=7,1,((S4+0.99)/7)^0.5)</f>
        <v>0.999285459001295</v>
      </c>
      <c r="V4" s="41" t="n">
        <v>880</v>
      </c>
      <c r="W4" s="42" t="n">
        <f aca="false">V4-AZ4</f>
        <v>0</v>
      </c>
      <c r="X4" s="43" t="n">
        <v>370</v>
      </c>
      <c r="Y4" s="44" t="n">
        <f aca="false">V4/X4</f>
        <v>2.37837837837838</v>
      </c>
      <c r="Z4" s="45" t="n">
        <f aca="false">(AK4+R4+M4)*(S4/7)^0.5</f>
        <v>3.61196984336414</v>
      </c>
      <c r="AA4" s="45" t="n">
        <f aca="false">(AK4+R4+M4)*(IF(S4=7, (S4/7)^0.5, ((S4+1)/7)^0.5))</f>
        <v>3.90137332755197</v>
      </c>
      <c r="AB4" s="44" t="n">
        <f aca="false">(((AJ4+R4+M4)+(AM4+R4+M4)*2)/8)*(S4/7)^0.5</f>
        <v>2.04885376609097</v>
      </c>
      <c r="AC4" s="44" t="n">
        <f aca="false">(1.66*(AN4+M4+R4)+0.55*(AO4+M4+R4)-7.6)*(S4/7)^0.5</f>
        <v>0.427761339690731</v>
      </c>
      <c r="AD4" s="44" t="n">
        <f aca="false">((AO4+M4+R4)*0.7+(AN4+M4+R4)*0.3)*(S4/7)^0.5</f>
        <v>4.63037195311395</v>
      </c>
      <c r="AE4" s="44" t="n">
        <f aca="false">(0.5*(AN4+R4+M4)+ 0.3*(AO4+R4+M4))/10</f>
        <v>0.322109866204158</v>
      </c>
      <c r="AF4" s="44" t="n">
        <f aca="false">(0.4*(AJ4+R4+M4)+0.3*(AO4+R4+M4))/10</f>
        <v>0.493096132928638</v>
      </c>
      <c r="AG4" s="46" t="n">
        <f aca="false">(AO4+R4+(LOG(L4)*4/3))*(S4/7)^0.5</f>
        <v>5.09201054874903</v>
      </c>
      <c r="AH4" s="46" t="n">
        <f aca="false">(AO4+R4+(LOG(L4)*4/3))*(IF(S4=7, (S4/7)^0.5, ((S4+1)/7)^0.5))</f>
        <v>5.5</v>
      </c>
      <c r="AI4" s="47" t="n">
        <v>0</v>
      </c>
      <c r="AJ4" s="35" t="n">
        <v>6</v>
      </c>
      <c r="AK4" s="47" t="n">
        <v>2</v>
      </c>
      <c r="AL4" s="35" t="n">
        <v>2</v>
      </c>
      <c r="AM4" s="47" t="n">
        <v>3</v>
      </c>
      <c r="AN4" s="35" t="n">
        <v>1</v>
      </c>
      <c r="AO4" s="47" t="n">
        <v>4</v>
      </c>
      <c r="AP4" s="48" t="n">
        <v>319</v>
      </c>
      <c r="AQ4" s="48" t="n">
        <v>1757</v>
      </c>
      <c r="AR4" s="49" t="n">
        <v>0</v>
      </c>
      <c r="AS4" s="49" t="n">
        <v>14</v>
      </c>
      <c r="AT4" s="49" t="n">
        <v>0</v>
      </c>
      <c r="AU4" s="49" t="n">
        <v>0</v>
      </c>
      <c r="AV4" s="49" t="n">
        <v>2</v>
      </c>
      <c r="AW4" s="49" t="n">
        <v>0</v>
      </c>
      <c r="AX4" s="49" t="n">
        <v>2</v>
      </c>
      <c r="AY4" s="50" t="n">
        <f aca="false">SUM(AR4:AX4)</f>
        <v>18</v>
      </c>
      <c r="AZ4" s="41" t="n">
        <v>880</v>
      </c>
      <c r="BA4" s="51" t="s">
        <v>56</v>
      </c>
    </row>
    <row r="5" customFormat="false" ht="15" hidden="false" customHeight="false" outlineLevel="0" collapsed="false">
      <c r="A5" s="24" t="s">
        <v>57</v>
      </c>
      <c r="B5" s="24" t="s">
        <v>58</v>
      </c>
      <c r="C5" s="26" t="n">
        <f aca="false">((36*112)-(E5*112)-(F5))/112</f>
        <v>14.7946428571429</v>
      </c>
      <c r="D5" s="52" t="s">
        <v>59</v>
      </c>
      <c r="E5" s="53" t="n">
        <v>21</v>
      </c>
      <c r="F5" s="54" t="n">
        <f aca="false">$D$1-43615</f>
        <v>23</v>
      </c>
      <c r="G5" s="30" t="s">
        <v>60</v>
      </c>
      <c r="H5" s="38" t="n">
        <v>3</v>
      </c>
      <c r="I5" s="38" t="n">
        <v>4</v>
      </c>
      <c r="J5" s="32" t="n">
        <f aca="false">IF(H5=4,IF(I5=0,0.137+0.0697,0.137+0.02),IF(H5=3,IF(I5=0,0.0958+0.0697,0.0958+0.02),IF(H5=2,IF(I5=0,0.0415+0.0697,0.0415+0.02),IF(H5=1,IF(I5=0,0.0294+0.0697,0.0294+0.02),IF(H5=0,IF(I5=0,0.0063+0.0697,0.0063+0.02))))))</f>
        <v>0.1158</v>
      </c>
      <c r="K5" s="55" t="n">
        <v>6</v>
      </c>
      <c r="L5" s="56" t="n">
        <v>2</v>
      </c>
      <c r="M5" s="35" t="n">
        <f aca="false">LOG(L5+1)*4/3</f>
        <v>0.63616167295955</v>
      </c>
      <c r="N5" s="36" t="n">
        <f aca="false">(K5)*(K5)*(L5)</f>
        <v>72</v>
      </c>
      <c r="O5" s="36" t="n">
        <f aca="false">(K5+1)*(K5+1)*L5</f>
        <v>98</v>
      </c>
      <c r="P5" s="57" t="n">
        <v>6</v>
      </c>
      <c r="Q5" s="38" t="n">
        <f aca="false">P5*10+19</f>
        <v>79</v>
      </c>
      <c r="R5" s="39" t="n">
        <v>1.5</v>
      </c>
      <c r="S5" s="38" t="n">
        <v>3</v>
      </c>
      <c r="T5" s="40" t="n">
        <f aca="false">(S5/7)^0.5</f>
        <v>0.654653670707977</v>
      </c>
      <c r="U5" s="40" t="n">
        <f aca="false">IF(S5=7,1,((S5+0.99)/7)^0.5)</f>
        <v>0.754983443527075</v>
      </c>
      <c r="V5" s="41" t="n">
        <v>1810</v>
      </c>
      <c r="W5" s="42" t="n">
        <f aca="false">V5-AZ5</f>
        <v>0</v>
      </c>
      <c r="X5" s="41" t="n">
        <v>990</v>
      </c>
      <c r="Y5" s="44" t="n">
        <f aca="false">V5/X5</f>
        <v>1.82828282828283</v>
      </c>
      <c r="Z5" s="45" t="n">
        <f aca="false">(AK5+R5+M5)*(S5/7)^0.5</f>
        <v>1.39844608042866</v>
      </c>
      <c r="AA5" s="45" t="n">
        <f aca="false">(AK5+R5+M5)*(IF(S5=7, (S5/7)^0.5, ((S5+1)/7)^0.5))</f>
        <v>1.61478644196533</v>
      </c>
      <c r="AB5" s="44" t="n">
        <f aca="false">(((AJ5+R5+M5)+(AM5+R5+M5)*2)/8)*(S5/7)^0.5</f>
        <v>0.688080697837743</v>
      </c>
      <c r="AC5" s="44" t="n">
        <f aca="false">(1.66*(AN5+M5+R5)+0.55*(AO5+M5+R5)-7.6)*(S5/7)^0.5</f>
        <v>-0.444563984075732</v>
      </c>
      <c r="AD5" s="44" t="n">
        <f aca="false">((AO5+M5+R5)*0.7+(AN5+M5+R5)*0.3)*(S5/7)^0.5</f>
        <v>3.231476358411</v>
      </c>
      <c r="AE5" s="44" t="n">
        <f aca="false">(0.5*(AN5+R5+M5)+ 0.3*(AO5+R5+M5))/10</f>
        <v>0.290892933836764</v>
      </c>
      <c r="AF5" s="44" t="n">
        <f aca="false">(0.4*(AJ5+R5+M5)+0.3*(AO5+R5+M5))/10</f>
        <v>0.349531317107168</v>
      </c>
      <c r="AG5" s="46" t="n">
        <f aca="false">(AO5+R5+(LOG(L5)*4/3))*(S5/7)^0.5</f>
        <v>3.86335571110005</v>
      </c>
      <c r="AH5" s="46" t="n">
        <f aca="false">(AO5+R5+(LOG(L5)*4/3))*(IF(S5=7, (S5/7)^0.5, ((S5+1)/7)^0.5))</f>
        <v>4.46101891955778</v>
      </c>
      <c r="AI5" s="47" t="n">
        <v>5</v>
      </c>
      <c r="AJ5" s="35" t="n">
        <v>2</v>
      </c>
      <c r="AK5" s="47" t="n">
        <v>0</v>
      </c>
      <c r="AL5" s="35" t="n">
        <v>0</v>
      </c>
      <c r="AM5" s="47" t="n">
        <v>0</v>
      </c>
      <c r="AN5" s="35" t="n">
        <v>0</v>
      </c>
      <c r="AO5" s="47" t="n">
        <v>4</v>
      </c>
      <c r="AP5" s="48" t="n">
        <v>143</v>
      </c>
      <c r="AQ5" s="48" t="n">
        <v>1124</v>
      </c>
      <c r="AR5" s="49" t="n">
        <v>5.5</v>
      </c>
      <c r="AS5" s="49" t="n">
        <v>0</v>
      </c>
      <c r="AT5" s="49" t="n">
        <v>0</v>
      </c>
      <c r="AU5" s="49" t="n">
        <v>0</v>
      </c>
      <c r="AV5" s="49" t="n">
        <v>0</v>
      </c>
      <c r="AW5" s="49" t="n">
        <v>0</v>
      </c>
      <c r="AX5" s="49" t="n">
        <v>2</v>
      </c>
      <c r="AY5" s="50" t="n">
        <f aca="false">SUM(AR5:AX5)</f>
        <v>7.5</v>
      </c>
      <c r="AZ5" s="41" t="n">
        <v>1810</v>
      </c>
      <c r="BA5" s="51" t="s">
        <v>56</v>
      </c>
    </row>
    <row r="6" customFormat="false" ht="15" hidden="false" customHeight="false" outlineLevel="0" collapsed="false">
      <c r="A6" s="24" t="s">
        <v>61</v>
      </c>
      <c r="B6" s="24" t="s">
        <v>58</v>
      </c>
      <c r="C6" s="26" t="n">
        <f aca="false">((36*112)-(E6*112)-(F6))/112</f>
        <v>8.90178571428571</v>
      </c>
      <c r="D6" s="52" t="s">
        <v>62</v>
      </c>
      <c r="E6" s="53" t="n">
        <v>27</v>
      </c>
      <c r="F6" s="54" t="n">
        <f aca="false">$D$1-43627</f>
        <v>11</v>
      </c>
      <c r="G6" s="30" t="s">
        <v>60</v>
      </c>
      <c r="H6" s="38" t="n">
        <v>2</v>
      </c>
      <c r="I6" s="38" t="n">
        <v>1</v>
      </c>
      <c r="J6" s="32" t="n">
        <f aca="false">IF(H6=4,IF(I6=0,0.137+0.0697,0.137+0.02),IF(H6=3,IF(I6=0,0.0958+0.0697,0.0958+0.02),IF(H6=2,IF(I6=0,0.0415+0.0697,0.0415+0.02),IF(H6=1,IF(I6=0,0.0294+0.0697,0.0294+0.02),IF(H6=0,IF(I6=0,0.0063+0.0697,0.0063+0.02))))))</f>
        <v>0.0615</v>
      </c>
      <c r="K6" s="33" t="n">
        <v>1</v>
      </c>
      <c r="L6" s="56" t="n">
        <v>3</v>
      </c>
      <c r="M6" s="35" t="n">
        <f aca="false">LOG(L6+1)*4/3</f>
        <v>0.80274665510395</v>
      </c>
      <c r="N6" s="36" t="n">
        <f aca="false">(K6)*(K6)*(L6)</f>
        <v>3</v>
      </c>
      <c r="O6" s="36" t="n">
        <f aca="false">(K6+1)*(K6+1)*L6</f>
        <v>12</v>
      </c>
      <c r="P6" s="57" t="n">
        <v>5</v>
      </c>
      <c r="Q6" s="38" t="n">
        <f aca="false">P6*10+19</f>
        <v>69</v>
      </c>
      <c r="R6" s="39" t="n">
        <v>1.5</v>
      </c>
      <c r="S6" s="38" t="n">
        <v>5</v>
      </c>
      <c r="T6" s="40" t="n">
        <f aca="false">(S6/7)^0.5</f>
        <v>0.845154254728516</v>
      </c>
      <c r="U6" s="40" t="n">
        <f aca="false">IF(S6=7,1,((S6+0.99)/7)^0.5)</f>
        <v>0.925048261289261</v>
      </c>
      <c r="V6" s="41" t="n">
        <v>1820</v>
      </c>
      <c r="W6" s="42" t="n">
        <f aca="false">V6-AZ6</f>
        <v>0</v>
      </c>
      <c r="X6" s="41" t="n">
        <v>890</v>
      </c>
      <c r="Y6" s="44" t="n">
        <f aca="false">V6/X6</f>
        <v>2.04494382022472</v>
      </c>
      <c r="Z6" s="45" t="n">
        <f aca="false">(AK6+R6+M6)*(S6/7)^0.5</f>
        <v>1.94617613312296</v>
      </c>
      <c r="AA6" s="45" t="n">
        <f aca="false">(AK6+R6+M6)*(IF(S6=7, (S6/7)^0.5, ((S6+1)/7)^0.5))</f>
        <v>2.13192913797925</v>
      </c>
      <c r="AB6" s="44" t="n">
        <f aca="false">(((AJ6+R6+M6)+(AM6+R6+M6)*2)/8)*(S6/7)^0.5</f>
        <v>1.46932602280856</v>
      </c>
      <c r="AC6" s="44" t="n">
        <f aca="false">(1.66*(AN6+M6+R6)+0.55*(AO6+M6+R6)-7.6)*(S6/7)^0.5</f>
        <v>-1.19245340153361</v>
      </c>
      <c r="AD6" s="44" t="n">
        <f aca="false">((AO6+M6+R6)*0.7+(AN6+M6+R6)*0.3)*(S6/7)^0.5</f>
        <v>3.12939208974289</v>
      </c>
      <c r="AE6" s="44" t="n">
        <f aca="false">(0.5*(AN6+R6+M6)+ 0.3*(AO6+R6+M6))/10</f>
        <v>0.244219732408316</v>
      </c>
      <c r="AF6" s="44" t="n">
        <f aca="false">(0.4*(AJ6+R6+M6)+0.3*(AO6+R6+M6))/10</f>
        <v>0.341192265857276</v>
      </c>
      <c r="AG6" s="46" t="n">
        <f aca="false">(AO6+R6+(LOG(L6)*4/3))*(S6/7)^0.5</f>
        <v>3.49569463614678</v>
      </c>
      <c r="AH6" s="46" t="n">
        <f aca="false">(AO6+R6+(LOG(L6)*4/3))*(IF(S6=7, (S6/7)^0.5, ((S6+1)/7)^0.5))</f>
        <v>3.82934161273481</v>
      </c>
      <c r="AI6" s="47" t="n">
        <v>5</v>
      </c>
      <c r="AJ6" s="35" t="n">
        <v>3</v>
      </c>
      <c r="AK6" s="47" t="n">
        <v>0</v>
      </c>
      <c r="AL6" s="35" t="n">
        <v>0</v>
      </c>
      <c r="AM6" s="47" t="n">
        <v>2</v>
      </c>
      <c r="AN6" s="35" t="n">
        <v>0</v>
      </c>
      <c r="AO6" s="47" t="n">
        <v>2</v>
      </c>
      <c r="AP6" s="48" t="n">
        <v>187</v>
      </c>
      <c r="AQ6" s="48" t="n">
        <v>310</v>
      </c>
      <c r="AR6" s="49" t="n">
        <v>5.5</v>
      </c>
      <c r="AS6" s="49" t="n">
        <v>3</v>
      </c>
      <c r="AT6" s="49" t="n">
        <v>0</v>
      </c>
      <c r="AU6" s="49" t="n">
        <v>0</v>
      </c>
      <c r="AV6" s="49" t="n">
        <v>0</v>
      </c>
      <c r="AW6" s="49" t="n">
        <v>0</v>
      </c>
      <c r="AX6" s="49" t="n">
        <v>0</v>
      </c>
      <c r="AY6" s="50" t="n">
        <f aca="false">SUM(AR6:AX6)</f>
        <v>8.5</v>
      </c>
      <c r="AZ6" s="41" t="n">
        <v>1820</v>
      </c>
      <c r="BA6" s="51" t="s">
        <v>56</v>
      </c>
    </row>
    <row r="7" customFormat="false" ht="15" hidden="false" customHeight="false" outlineLevel="0" collapsed="false">
      <c r="A7" s="24" t="s">
        <v>63</v>
      </c>
      <c r="B7" s="24" t="s">
        <v>58</v>
      </c>
      <c r="C7" s="26" t="n">
        <f aca="false">((36*112)-(E7*112)-(F7))/112</f>
        <v>17.8392857142857</v>
      </c>
      <c r="D7" s="52" t="s">
        <v>64</v>
      </c>
      <c r="E7" s="53" t="n">
        <v>18</v>
      </c>
      <c r="F7" s="54" t="n">
        <f aca="false">$D$1-43620</f>
        <v>18</v>
      </c>
      <c r="G7" s="30"/>
      <c r="H7" s="38" t="n">
        <v>2</v>
      </c>
      <c r="I7" s="38" t="n">
        <v>2</v>
      </c>
      <c r="J7" s="32" t="n">
        <f aca="false">IF(H7=4,IF(I7=0,0.137+0.0697,0.137+0.02),IF(H7=3,IF(I7=0,0.0958+0.0697,0.0958+0.02),IF(H7=2,IF(I7=0,0.0415+0.0697,0.0415+0.02),IF(H7=1,IF(I7=0,0.0294+0.0697,0.0294+0.02),IF(H7=0,IF(I7=0,0.0063+0.0697,0.0063+0.02))))))</f>
        <v>0.0615</v>
      </c>
      <c r="K7" s="58" t="n">
        <v>3</v>
      </c>
      <c r="L7" s="56" t="n">
        <v>0.1</v>
      </c>
      <c r="M7" s="35" t="n">
        <f aca="false">LOG(L7+1)*4/3</f>
        <v>0.0551902468776334</v>
      </c>
      <c r="N7" s="36" t="n">
        <f aca="false">(K7)*(K7)*(L7)</f>
        <v>0.9</v>
      </c>
      <c r="O7" s="36" t="n">
        <f aca="false">(K7+1)*(K7+1)*L7</f>
        <v>1.6</v>
      </c>
      <c r="P7" s="57" t="n">
        <v>4.5</v>
      </c>
      <c r="Q7" s="38" t="n">
        <f aca="false">P7*10+19</f>
        <v>64</v>
      </c>
      <c r="R7" s="39" t="n">
        <v>1.5</v>
      </c>
      <c r="S7" s="38" t="n">
        <v>5</v>
      </c>
      <c r="T7" s="40" t="n">
        <f aca="false">(S7/7)^0.5</f>
        <v>0.845154254728516</v>
      </c>
      <c r="U7" s="40" t="n">
        <f aca="false">IF(S7=7,1,((S7+0.99)/7)^0.5)</f>
        <v>0.925048261289261</v>
      </c>
      <c r="V7" s="41" t="n">
        <v>170</v>
      </c>
      <c r="W7" s="42" t="n">
        <f aca="false">V7-AZ7</f>
        <v>0</v>
      </c>
      <c r="X7" s="41" t="n">
        <v>390</v>
      </c>
      <c r="Y7" s="44" t="n">
        <f aca="false">V7/X7</f>
        <v>0.435897435897436</v>
      </c>
      <c r="Z7" s="45" t="n">
        <f aca="false">(AK7+R7+M7)*(S7/7)^0.5</f>
        <v>1.31437565406092</v>
      </c>
      <c r="AA7" s="45" t="n">
        <f aca="false">(AK7+R7+M7)*(IF(S7=7, (S7/7)^0.5, ((S7+1)/7)^0.5))</f>
        <v>1.43982638952955</v>
      </c>
      <c r="AB7" s="44" t="n">
        <f aca="false">(((AJ7+R7+M7)+(AM7+R7+M7)*2)/8)*(S7/7)^0.5</f>
        <v>0.704179433954976</v>
      </c>
      <c r="AC7" s="44" t="n">
        <f aca="false">(1.66*(AN7+M7+R7)+0.55*(AO7+M7+R7)-7.6)*(S7/7)^0.5</f>
        <v>-3.0535673003614</v>
      </c>
      <c r="AD7" s="44" t="n">
        <f aca="false">((AO7+M7+R7)*0.7+(AN7+M7+R7)*0.3)*(S7/7)^0.5</f>
        <v>1.90598363237089</v>
      </c>
      <c r="AE7" s="44" t="n">
        <f aca="false">(0.5*(AN7+R7+M7)+ 0.3*(AO7+R7+M7))/10</f>
        <v>0.154415219750211</v>
      </c>
      <c r="AF7" s="44" t="n">
        <f aca="false">(0.4*(AJ7+R7+M7)+0.3*(AO7+R7+M7))/10</f>
        <v>0.138863317281434</v>
      </c>
      <c r="AG7" s="46" t="n">
        <f aca="false">(AO7+R7+(LOG(L7)*4/3))*(S7/7)^0.5</f>
        <v>0.986013297183269</v>
      </c>
      <c r="AH7" s="46" t="n">
        <f aca="false">(AO7+R7+(LOG(L7)*4/3))*(IF(S7=7, (S7/7)^0.5, ((S7+1)/7)^0.5))</f>
        <v>1.08012344973464</v>
      </c>
      <c r="AI7" s="47" t="n">
        <v>2</v>
      </c>
      <c r="AJ7" s="35" t="n">
        <v>0</v>
      </c>
      <c r="AK7" s="47" t="n">
        <v>0</v>
      </c>
      <c r="AL7" s="35" t="n">
        <v>0</v>
      </c>
      <c r="AM7" s="47" t="n">
        <v>1</v>
      </c>
      <c r="AN7" s="35" t="n">
        <v>0</v>
      </c>
      <c r="AO7" s="47" t="n">
        <v>1</v>
      </c>
      <c r="AP7" s="48" t="n">
        <v>53</v>
      </c>
      <c r="AQ7" s="48" t="n">
        <v>1435</v>
      </c>
      <c r="AR7" s="49" t="n">
        <v>0</v>
      </c>
      <c r="AS7" s="49" t="n">
        <v>0</v>
      </c>
      <c r="AT7" s="49" t="n">
        <v>0</v>
      </c>
      <c r="AU7" s="49" t="n">
        <v>0</v>
      </c>
      <c r="AV7" s="49" t="n">
        <v>0</v>
      </c>
      <c r="AW7" s="49" t="n">
        <v>0</v>
      </c>
      <c r="AX7" s="49" t="n">
        <v>0</v>
      </c>
      <c r="AY7" s="50" t="n">
        <f aca="false">SUM(AR7:AX7)</f>
        <v>0</v>
      </c>
      <c r="AZ7" s="41" t="n">
        <v>170</v>
      </c>
      <c r="BA7" s="51" t="n">
        <v>43637</v>
      </c>
    </row>
    <row r="8" customFormat="false" ht="15" hidden="false" customHeight="false" outlineLevel="0" collapsed="false">
      <c r="A8" s="24" t="s">
        <v>65</v>
      </c>
      <c r="B8" s="25" t="s">
        <v>66</v>
      </c>
      <c r="C8" s="26" t="n">
        <f aca="false">((36*112)-(E8*112)-(F8))/112</f>
        <v>4</v>
      </c>
      <c r="D8" s="52" t="s">
        <v>67</v>
      </c>
      <c r="E8" s="28" t="n">
        <v>31</v>
      </c>
      <c r="F8" s="29" t="n">
        <f aca="false">$D$1-43526</f>
        <v>112</v>
      </c>
      <c r="G8" s="59"/>
      <c r="H8" s="31" t="n">
        <v>0</v>
      </c>
      <c r="I8" s="31" t="n">
        <v>2</v>
      </c>
      <c r="J8" s="32" t="n">
        <f aca="false">IF(H8=4,IF(I8=0,0.137+0.0697,0.137+0.02),IF(H8=3,IF(I8=0,0.0958+0.0697,0.0958+0.02),IF(H8=2,IF(I8=0,0.0415+0.0697,0.0415+0.02),IF(H8=1,IF(I8=0,0.0294+0.0697,0.0294+0.02),IF(H8=0,IF(I8=0,0.0063+0.0697,0.0063+0.02))))))</f>
        <v>0.0263</v>
      </c>
      <c r="K8" s="33" t="n">
        <v>3</v>
      </c>
      <c r="L8" s="34" t="n">
        <v>4</v>
      </c>
      <c r="M8" s="35" t="n">
        <f aca="false">LOG(L8+1)*4/3</f>
        <v>0.931960005781358</v>
      </c>
      <c r="N8" s="36" t="n">
        <f aca="false">(K8)*(K8)*(L8)</f>
        <v>36</v>
      </c>
      <c r="O8" s="36" t="n">
        <f aca="false">(K8+1)*(K8+1)*L8</f>
        <v>64</v>
      </c>
      <c r="P8" s="37" t="n">
        <v>5</v>
      </c>
      <c r="Q8" s="38" t="n">
        <f aca="false">P8*10+19</f>
        <v>69</v>
      </c>
      <c r="R8" s="39" t="n">
        <v>1.5</v>
      </c>
      <c r="S8" s="31" t="n">
        <v>3</v>
      </c>
      <c r="T8" s="40" t="n">
        <f aca="false">(S8/7)^0.5</f>
        <v>0.654653670707977</v>
      </c>
      <c r="U8" s="40" t="n">
        <f aca="false">IF(S8=7,1,((S8+0.99)/7)^0.5)</f>
        <v>0.754983443527075</v>
      </c>
      <c r="V8" s="41" t="n">
        <v>630</v>
      </c>
      <c r="W8" s="42" t="n">
        <f aca="false">V8-AZ8</f>
        <v>0</v>
      </c>
      <c r="X8" s="43" t="n">
        <v>310</v>
      </c>
      <c r="Y8" s="44" t="n">
        <f aca="false">V8/X8</f>
        <v>2.03225806451613</v>
      </c>
      <c r="Z8" s="45" t="n">
        <f aca="false">(AK8+R8+M8)*(S8/7)^0.5</f>
        <v>4.21070622763167</v>
      </c>
      <c r="AA8" s="45" t="n">
        <f aca="false">(AK8+R8+M8)*(IF(S8=7, (S8/7)^0.5, ((S8+1)/7)^0.5))</f>
        <v>4.86210474800315</v>
      </c>
      <c r="AB8" s="44" t="n">
        <f aca="false">(((AJ8+R8+M8)+(AM8+R8+M8)*2)/8)*(S8/7)^0.5</f>
        <v>1.66084654420037</v>
      </c>
      <c r="AC8" s="44" t="n">
        <f aca="false">(1.66*(AN8+M8+R8)+0.55*(AO8+M8+R8)-7.6)*(S8/7)^0.5</f>
        <v>2.51690219782426</v>
      </c>
      <c r="AD8" s="44" t="n">
        <f aca="false">((AO8+M8+R8)*0.7+(AN8+M8+R8)*0.3)*(S8/7)^0.5</f>
        <v>4.27617159470247</v>
      </c>
      <c r="AE8" s="44" t="n">
        <f aca="false">(0.5*(AN8+R8+M8)+ 0.3*(AO8+R8+M8))/10</f>
        <v>0.444556800462509</v>
      </c>
      <c r="AF8" s="44" t="n">
        <f aca="false">(0.4*(AJ8+R8+M8)+0.3*(AO8+R8+M8))/10</f>
        <v>0.520237200404695</v>
      </c>
      <c r="AG8" s="46" t="n">
        <f aca="false">(AO8+R8+(LOG(L8)*4/3))*(S8/7)^0.5</f>
        <v>4.7807699040142</v>
      </c>
      <c r="AH8" s="46" t="n">
        <f aca="false">(AO8+R8+(LOG(L8)*4/3))*(IF(S8=7, (S8/7)^0.5, ((S8+1)/7)^0.5))</f>
        <v>5.52035758203252</v>
      </c>
      <c r="AI8" s="47" t="n">
        <v>1</v>
      </c>
      <c r="AJ8" s="35" t="n">
        <v>5</v>
      </c>
      <c r="AK8" s="47" t="n">
        <v>4</v>
      </c>
      <c r="AL8" s="35" t="n">
        <v>5</v>
      </c>
      <c r="AM8" s="47" t="n">
        <v>4</v>
      </c>
      <c r="AN8" s="35" t="n">
        <v>2</v>
      </c>
      <c r="AO8" s="47" t="n">
        <v>5</v>
      </c>
      <c r="AP8" s="48" t="n">
        <v>443</v>
      </c>
      <c r="AQ8" s="48" t="n">
        <v>-53</v>
      </c>
      <c r="AR8" s="49" t="n">
        <v>0</v>
      </c>
      <c r="AS8" s="49" t="n">
        <v>10</v>
      </c>
      <c r="AT8" s="49" t="n">
        <v>6</v>
      </c>
      <c r="AU8" s="49" t="n">
        <v>5.5</v>
      </c>
      <c r="AV8" s="49" t="n">
        <v>4</v>
      </c>
      <c r="AW8" s="49" t="n">
        <v>0</v>
      </c>
      <c r="AX8" s="49" t="n">
        <v>3</v>
      </c>
      <c r="AY8" s="50" t="n">
        <f aca="false">SUM(AR8:AX8)</f>
        <v>28.5</v>
      </c>
      <c r="AZ8" s="41" t="n">
        <v>630</v>
      </c>
      <c r="BA8" s="51" t="s">
        <v>56</v>
      </c>
    </row>
    <row r="9" customFormat="false" ht="15" hidden="false" customHeight="false" outlineLevel="0" collapsed="false">
      <c r="A9" s="60" t="s">
        <v>68</v>
      </c>
      <c r="B9" s="25" t="s">
        <v>66</v>
      </c>
      <c r="C9" s="26" t="n">
        <f aca="false">((36*112)-(E9*112)-(F9))/112</f>
        <v>9.45535714285714</v>
      </c>
      <c r="D9" s="27" t="s">
        <v>69</v>
      </c>
      <c r="E9" s="28" t="n">
        <v>26</v>
      </c>
      <c r="F9" s="29" t="n">
        <f aca="false">$D$1-43577</f>
        <v>61</v>
      </c>
      <c r="G9" s="59"/>
      <c r="H9" s="31" t="n">
        <v>2</v>
      </c>
      <c r="I9" s="31" t="n">
        <v>4</v>
      </c>
      <c r="J9" s="32" t="n">
        <f aca="false">IF(H9=4,IF(I9=0,0.137+0.0697,0.137+0.02),IF(H9=3,IF(I9=0,0.0958+0.0697,0.0958+0.02),IF(H9=2,IF(I9=0,0.0415+0.0697,0.0415+0.02),IF(H9=1,IF(I9=0,0.0294+0.0697,0.0294+0.02),IF(H9=0,IF(I9=0,0.0063+0.0697,0.0063+0.02))))))</f>
        <v>0.0615</v>
      </c>
      <c r="K9" s="33" t="n">
        <v>3</v>
      </c>
      <c r="L9" s="34" t="n">
        <v>3</v>
      </c>
      <c r="M9" s="35" t="n">
        <f aca="false">LOG(L9+1)*4/3</f>
        <v>0.80274665510395</v>
      </c>
      <c r="N9" s="36" t="n">
        <f aca="false">(K9)*(K9)*(L9)</f>
        <v>27</v>
      </c>
      <c r="O9" s="36" t="n">
        <f aca="false">(K9+1)*(K9+1)*L9</f>
        <v>48</v>
      </c>
      <c r="P9" s="37" t="n">
        <v>4</v>
      </c>
      <c r="Q9" s="38" t="n">
        <f aca="false">P9*10+19</f>
        <v>59</v>
      </c>
      <c r="R9" s="39" t="n">
        <v>1.5</v>
      </c>
      <c r="S9" s="31" t="n">
        <v>4</v>
      </c>
      <c r="T9" s="40" t="n">
        <f aca="false">(S9/7)^0.5</f>
        <v>0.755928946018454</v>
      </c>
      <c r="U9" s="40" t="n">
        <f aca="false">IF(S9=7,1,((S9+0.99)/7)^0.5)</f>
        <v>0.844308677473555</v>
      </c>
      <c r="V9" s="41" t="n">
        <v>1050</v>
      </c>
      <c r="W9" s="42" t="n">
        <f aca="false">V9-AZ9</f>
        <v>0</v>
      </c>
      <c r="X9" s="43" t="n">
        <v>390</v>
      </c>
      <c r="Y9" s="44" t="n">
        <f aca="false">V9/X9</f>
        <v>2.69230769230769</v>
      </c>
      <c r="Z9" s="45" t="n">
        <f aca="false">(AK9+R9+M9)*(S9/7)^0.5</f>
        <v>3.25257074397716</v>
      </c>
      <c r="AA9" s="45" t="n">
        <f aca="false">(AK9+R9+M9)*(IF(S9=7, (S9/7)^0.5, ((S9+1)/7)^0.5))</f>
        <v>3.63648464258</v>
      </c>
      <c r="AB9" s="44" t="n">
        <f aca="false">(((AJ9+R9+M9)+(AM9+R9+M9)*2)/8)*(S9/7)^0.5</f>
        <v>1.78666073850528</v>
      </c>
      <c r="AC9" s="44" t="n">
        <f aca="false">(1.66*(AN9+M9+R9)+0.55*(AO9+M9+R9)-7.6)*(S9/7)^0.5</f>
        <v>1.01980114467893</v>
      </c>
      <c r="AD9" s="44" t="n">
        <f aca="false">((AO9+M9+R9)*0.7+(AN9+M9+R9)*0.3)*(S9/7)^0.5</f>
        <v>4.08409258459746</v>
      </c>
      <c r="AE9" s="44" t="n">
        <f aca="false">(0.5*(AN9+R9+M9)+ 0.3*(AO9+R9+M9))/10</f>
        <v>0.354219732408316</v>
      </c>
      <c r="AF9" s="44" t="n">
        <f aca="false">(0.4*(AJ9+R9+M9)+0.3*(AO9+R9+M9))/10</f>
        <v>0.521192265857277</v>
      </c>
      <c r="AG9" s="46" t="n">
        <f aca="false">(AO9+R9+(LOG(L9)*4/3))*(S9/7)^0.5</f>
        <v>4.63850222603915</v>
      </c>
      <c r="AH9" s="46" t="n">
        <f aca="false">(AO9+R9+(LOG(L9)*4/3))*(IF(S9=7, (S9/7)^0.5, ((S9+1)/7)^0.5))</f>
        <v>5.18600314560382</v>
      </c>
      <c r="AI9" s="47" t="n">
        <v>0</v>
      </c>
      <c r="AJ9" s="35" t="n">
        <v>6</v>
      </c>
      <c r="AK9" s="47" t="n">
        <v>2</v>
      </c>
      <c r="AL9" s="35" t="n">
        <v>5</v>
      </c>
      <c r="AM9" s="47" t="n">
        <v>3</v>
      </c>
      <c r="AN9" s="35" t="n">
        <v>1</v>
      </c>
      <c r="AO9" s="47" t="n">
        <v>4</v>
      </c>
      <c r="AP9" s="48" t="n">
        <v>375</v>
      </c>
      <c r="AQ9" s="48" t="n">
        <v>575</v>
      </c>
      <c r="AR9" s="49" t="n">
        <v>0</v>
      </c>
      <c r="AS9" s="49" t="n">
        <v>14</v>
      </c>
      <c r="AT9" s="49" t="n">
        <v>0</v>
      </c>
      <c r="AU9" s="49" t="n">
        <v>5.5</v>
      </c>
      <c r="AV9" s="49" t="n">
        <v>2</v>
      </c>
      <c r="AW9" s="49" t="n">
        <v>0</v>
      </c>
      <c r="AX9" s="49" t="n">
        <v>2</v>
      </c>
      <c r="AY9" s="50" t="n">
        <f aca="false">SUM(AR9:AX9)</f>
        <v>23.5</v>
      </c>
      <c r="AZ9" s="41" t="n">
        <v>1050</v>
      </c>
      <c r="BA9" s="51" t="s">
        <v>56</v>
      </c>
    </row>
    <row r="10" customFormat="false" ht="15" hidden="false" customHeight="false" outlineLevel="0" collapsed="false">
      <c r="A10" s="24" t="s">
        <v>70</v>
      </c>
      <c r="B10" s="24" t="s">
        <v>53</v>
      </c>
      <c r="C10" s="26" t="n">
        <f aca="false">((36*112)-(E10*112)-(F10))/112</f>
        <v>7.42857142857143</v>
      </c>
      <c r="D10" s="52" t="s">
        <v>71</v>
      </c>
      <c r="E10" s="53" t="n">
        <v>28</v>
      </c>
      <c r="F10" s="29" t="n">
        <f aca="false">$D$1-43574</f>
        <v>64</v>
      </c>
      <c r="G10" s="30"/>
      <c r="H10" s="38" t="n">
        <v>0</v>
      </c>
      <c r="I10" s="38" t="n">
        <v>4</v>
      </c>
      <c r="J10" s="32" t="n">
        <f aca="false">IF(H10=4,IF(I10=0,0.137+0.0697,0.137+0.02),IF(H10=3,IF(I10=0,0.0958+0.0697,0.0958+0.02),IF(H10=2,IF(I10=0,0.0415+0.0697,0.0415+0.02),IF(H10=1,IF(I10=0,0.0294+0.0697,0.0294+0.02),IF(H10=0,IF(I10=0,0.0063+0.0697,0.0063+0.02))))))</f>
        <v>0.0263</v>
      </c>
      <c r="K10" s="33" t="n">
        <v>5</v>
      </c>
      <c r="L10" s="56" t="n">
        <v>3</v>
      </c>
      <c r="M10" s="35" t="n">
        <f aca="false">LOG(L10+1)*4/3</f>
        <v>0.80274665510395</v>
      </c>
      <c r="N10" s="36" t="n">
        <f aca="false">(K10)*(K10)*(L10)</f>
        <v>75</v>
      </c>
      <c r="O10" s="36" t="n">
        <f aca="false">(K10+1)*(K10+1)*L10</f>
        <v>108</v>
      </c>
      <c r="P10" s="57" t="n">
        <v>6</v>
      </c>
      <c r="Q10" s="38" t="n">
        <f aca="false">P10*10+19</f>
        <v>79</v>
      </c>
      <c r="R10" s="39" t="n">
        <v>1.5</v>
      </c>
      <c r="S10" s="38" t="n">
        <v>6</v>
      </c>
      <c r="T10" s="40" t="n">
        <f aca="false">(S10/7)^0.5</f>
        <v>0.925820099772551</v>
      </c>
      <c r="U10" s="40" t="n">
        <f aca="false">IF(S10=7,1,((S10+0.99)/7)^0.5)</f>
        <v>0.999285459001295</v>
      </c>
      <c r="V10" s="41" t="n">
        <v>650</v>
      </c>
      <c r="W10" s="42" t="n">
        <f aca="false">V10-AZ10</f>
        <v>0</v>
      </c>
      <c r="X10" s="41" t="n">
        <v>300</v>
      </c>
      <c r="Y10" s="44" t="n">
        <f aca="false">V10/X10</f>
        <v>2.16666666666667</v>
      </c>
      <c r="Z10" s="45" t="n">
        <f aca="false">(AK10+R10+M10)*(S10/7)^0.5</f>
        <v>6.761029636842</v>
      </c>
      <c r="AA10" s="45" t="n">
        <f aca="false">(AK10+R10+M10)*(IF(S10=7, (S10/7)^0.5, ((S10+1)/7)^0.5))</f>
        <v>7.30274665510395</v>
      </c>
      <c r="AB10" s="44" t="n">
        <f aca="false">(((AJ10+R10+M10)+(AM10+R10+M10)*2)/8)*(S10/7)^0.5</f>
        <v>1.6095660140432</v>
      </c>
      <c r="AC10" s="44" t="n">
        <f aca="false">(1.66*(AN10+M10+R10)+0.55*(AO10+M10+R10)-7.6)*(S10/7)^0.5</f>
        <v>0.739795166909892</v>
      </c>
      <c r="AD10" s="44" t="n">
        <f aca="false">((AO10+M10+R10)*0.7+(AN10+M10+R10)*0.3)*(S10/7)^0.5</f>
        <v>4.35389737743337</v>
      </c>
      <c r="AE10" s="44" t="n">
        <f aca="false">(0.5*(AN10+R10+M10)+ 0.3*(AO10+R10+M10))/10</f>
        <v>0.324219732408316</v>
      </c>
      <c r="AF10" s="44" t="n">
        <f aca="false">(0.4*(AJ10+R10+M10)+0.3*(AO10+R10+M10))/10</f>
        <v>0.451192265857276</v>
      </c>
      <c r="AG10" s="46" t="n">
        <f aca="false">(AO10+R10+(LOG(L10)*4/3))*(S10/7)^0.5</f>
        <v>4.75516171250737</v>
      </c>
      <c r="AH10" s="46" t="n">
        <f aca="false">(AO10+R10+(LOG(L10)*4/3))*(IF(S10=7, (S10/7)^0.5, ((S10+1)/7)^0.5))</f>
        <v>5.13616167295955</v>
      </c>
      <c r="AI10" s="47" t="n">
        <v>0</v>
      </c>
      <c r="AJ10" s="35" t="n">
        <v>5</v>
      </c>
      <c r="AK10" s="47" t="n">
        <v>5</v>
      </c>
      <c r="AL10" s="35" t="n">
        <v>2</v>
      </c>
      <c r="AM10" s="47" t="n">
        <v>1</v>
      </c>
      <c r="AN10" s="35" t="n">
        <v>1</v>
      </c>
      <c r="AO10" s="47" t="n">
        <v>3</v>
      </c>
      <c r="AP10" s="48" t="n">
        <v>315</v>
      </c>
      <c r="AQ10" s="48" t="n">
        <v>241</v>
      </c>
      <c r="AR10" s="49" t="n">
        <v>0</v>
      </c>
      <c r="AS10" s="49" t="n">
        <v>10</v>
      </c>
      <c r="AT10" s="49" t="n">
        <v>9</v>
      </c>
      <c r="AU10" s="49" t="n">
        <v>0</v>
      </c>
      <c r="AV10" s="49" t="n">
        <v>0</v>
      </c>
      <c r="AW10" s="49" t="n">
        <v>0</v>
      </c>
      <c r="AX10" s="49" t="n">
        <v>1</v>
      </c>
      <c r="AY10" s="50" t="n">
        <f aca="false">SUM(AR10:AX10)</f>
        <v>20</v>
      </c>
      <c r="AZ10" s="41" t="n">
        <v>650</v>
      </c>
      <c r="BA10" s="51" t="s">
        <v>56</v>
      </c>
    </row>
    <row r="11" customFormat="false" ht="15" hidden="false" customHeight="false" outlineLevel="0" collapsed="false">
      <c r="A11" s="24" t="s">
        <v>72</v>
      </c>
      <c r="B11" s="24" t="s">
        <v>53</v>
      </c>
      <c r="C11" s="26" t="n">
        <f aca="false">((36*112)-(E11*112)-(F11))/112</f>
        <v>5.17857142857143</v>
      </c>
      <c r="D11" s="52" t="s">
        <v>73</v>
      </c>
      <c r="E11" s="53" t="n">
        <v>30</v>
      </c>
      <c r="F11" s="54" t="n">
        <f aca="false">$D$1-43546</f>
        <v>92</v>
      </c>
      <c r="G11" s="30"/>
      <c r="H11" s="38" t="n">
        <v>1</v>
      </c>
      <c r="I11" s="38" t="n">
        <v>2</v>
      </c>
      <c r="J11" s="32" t="n">
        <f aca="false">IF(H11=4,IF(I11=0,0.137+0.0697,0.137+0.02),IF(H11=3,IF(I11=0,0.0958+0.0697,0.0958+0.02),IF(H11=2,IF(I11=0,0.0415+0.0697,0.0415+0.02),IF(H11=1,IF(I11=0,0.0294+0.0697,0.0294+0.02),IF(H11=0,IF(I11=0,0.0063+0.0697,0.0063+0.02))))))</f>
        <v>0.0494</v>
      </c>
      <c r="K11" s="33" t="n">
        <v>4</v>
      </c>
      <c r="L11" s="56" t="n">
        <v>5</v>
      </c>
      <c r="M11" s="35" t="n">
        <f aca="false">LOG(L11+1)*4/3</f>
        <v>1.03753500051152</v>
      </c>
      <c r="N11" s="36" t="n">
        <f aca="false">(K11)*(K11)*(L11)</f>
        <v>80</v>
      </c>
      <c r="O11" s="36" t="n">
        <f aca="false">(K11+1)*(K11+1)*L11</f>
        <v>125</v>
      </c>
      <c r="P11" s="57" t="n">
        <v>6</v>
      </c>
      <c r="Q11" s="38" t="n">
        <f aca="false">P11*10+19</f>
        <v>79</v>
      </c>
      <c r="R11" s="39" t="n">
        <v>1.5</v>
      </c>
      <c r="S11" s="38" t="n">
        <v>6</v>
      </c>
      <c r="T11" s="40" t="n">
        <f aca="false">(S11/7)^0.5</f>
        <v>0.925820099772551</v>
      </c>
      <c r="U11" s="40" t="n">
        <f aca="false">IF(S11=7,1,((S11+0.99)/7)^0.5)</f>
        <v>0.999285459001295</v>
      </c>
      <c r="V11" s="41" t="n">
        <v>350</v>
      </c>
      <c r="W11" s="42" t="n">
        <f aca="false">V11-AZ11</f>
        <v>0</v>
      </c>
      <c r="X11" s="41" t="n">
        <v>280</v>
      </c>
      <c r="Y11" s="44" t="n">
        <f aca="false">V11/X11</f>
        <v>1.25</v>
      </c>
      <c r="Z11" s="45" t="n">
        <f aca="false">(AK11+R11+M11)*(S11/7)^0.5</f>
        <v>6.05258130644013</v>
      </c>
      <c r="AA11" s="45" t="n">
        <f aca="false">(AK11+R11+M11)*(IF(S11=7, (S11/7)^0.5, ((S11+1)/7)^0.5))</f>
        <v>6.53753500051153</v>
      </c>
      <c r="AB11" s="44" t="n">
        <f aca="false">(((AJ11+R11+M11)+(AM11+R11+M11)*2)/8)*(S11/7)^0.5</f>
        <v>1.92253545250034</v>
      </c>
      <c r="AC11" s="44" t="n">
        <f aca="false">(1.66*(AN11+M11+R11)+0.55*(AO11+M11+R11)-7.6)*(S11/7)^0.5</f>
        <v>1.21092857622136</v>
      </c>
      <c r="AD11" s="44" t="n">
        <f aca="false">((AO11+M11+R11)*0.7+(AN11+M11+R11)*0.3)*(S11/7)^0.5</f>
        <v>6.23774532639464</v>
      </c>
      <c r="AE11" s="44" t="n">
        <f aca="false">(0.5*(AN11+R11+M11)+ 0.3*(AO11+R11+M11))/10</f>
        <v>0.383002800040922</v>
      </c>
      <c r="AF11" s="44" t="n">
        <f aca="false">(0.4*(AJ11+R11+M11)+0.3*(AO11+R11+M11))/10</f>
        <v>0.557627450035807</v>
      </c>
      <c r="AG11" s="46" t="n">
        <f aca="false">(AO11+R11+(LOG(L11)*4/3))*(S11/7)^0.5</f>
        <v>7.80647805383066</v>
      </c>
      <c r="AH11" s="46" t="n">
        <f aca="false">(AO11+R11+(LOG(L11)*4/3))*(IF(S11=7, (S11/7)^0.5, ((S11+1)/7)^0.5))</f>
        <v>8.43196000578136</v>
      </c>
      <c r="AI11" s="47" t="n">
        <v>0</v>
      </c>
      <c r="AJ11" s="35" t="n">
        <v>5</v>
      </c>
      <c r="AK11" s="47" t="n">
        <v>4</v>
      </c>
      <c r="AL11" s="35" t="n">
        <v>3</v>
      </c>
      <c r="AM11" s="47" t="n">
        <v>2</v>
      </c>
      <c r="AN11" s="35" t="n">
        <v>0</v>
      </c>
      <c r="AO11" s="47" t="n">
        <v>6</v>
      </c>
      <c r="AP11" s="48" t="n">
        <v>324</v>
      </c>
      <c r="AQ11" s="48" t="n">
        <v>-33</v>
      </c>
      <c r="AR11" s="49" t="n">
        <v>0</v>
      </c>
      <c r="AS11" s="49" t="n">
        <v>10</v>
      </c>
      <c r="AT11" s="49" t="n">
        <v>6</v>
      </c>
      <c r="AU11" s="49" t="n">
        <v>1.5</v>
      </c>
      <c r="AV11" s="49" t="n">
        <v>0</v>
      </c>
      <c r="AW11" s="49" t="n">
        <v>0</v>
      </c>
      <c r="AX11" s="49" t="n">
        <v>4</v>
      </c>
      <c r="AY11" s="50" t="n">
        <f aca="false">SUM(AR11:AX11)</f>
        <v>21.5</v>
      </c>
      <c r="AZ11" s="41" t="n">
        <v>350</v>
      </c>
      <c r="BA11" s="51" t="s">
        <v>56</v>
      </c>
    </row>
    <row r="12" customFormat="false" ht="15" hidden="false" customHeight="false" outlineLevel="0" collapsed="false">
      <c r="A12" s="61" t="s">
        <v>74</v>
      </c>
      <c r="B12" s="25" t="s">
        <v>75</v>
      </c>
      <c r="C12" s="26" t="n">
        <f aca="false">((36*112)-(E12*112)-(F12))/112</f>
        <v>10.8660714285714</v>
      </c>
      <c r="D12" s="27" t="s">
        <v>76</v>
      </c>
      <c r="E12" s="28" t="n">
        <v>25</v>
      </c>
      <c r="F12" s="29" t="n">
        <f aca="false">$D$1-43623</f>
        <v>15</v>
      </c>
      <c r="G12" s="59" t="s">
        <v>77</v>
      </c>
      <c r="H12" s="31" t="n">
        <v>4</v>
      </c>
      <c r="I12" s="31" t="n">
        <v>2</v>
      </c>
      <c r="J12" s="32" t="n">
        <f aca="false">IF(H12=4,IF(I12=0,0.137+0.0697,0.137+0.02),IF(H12=3,IF(I12=0,0.0958+0.0697,0.0958+0.02),IF(H12=2,IF(I12=0,0.0415+0.0697,0.0415+0.02),IF(H12=1,IF(I12=0,0.0294+0.0697,0.0294+0.02),IF(H12=0,IF(I12=0,0.0063+0.0697,0.0063+0.02))))))</f>
        <v>0.157</v>
      </c>
      <c r="K12" s="58" t="n">
        <v>5</v>
      </c>
      <c r="L12" s="34" t="n">
        <v>2</v>
      </c>
      <c r="M12" s="35" t="n">
        <f aca="false">LOG(L12+1)*4/3</f>
        <v>0.63616167295955</v>
      </c>
      <c r="N12" s="36" t="n">
        <f aca="false">(K12)*(K12)*(L12)</f>
        <v>50</v>
      </c>
      <c r="O12" s="36" t="n">
        <f aca="false">(K12+1)*(K12+1)*L12</f>
        <v>72</v>
      </c>
      <c r="P12" s="37" t="n">
        <v>6</v>
      </c>
      <c r="Q12" s="38" t="n">
        <f aca="false">P12*10+19</f>
        <v>79</v>
      </c>
      <c r="R12" s="39" t="n">
        <v>1.5</v>
      </c>
      <c r="S12" s="31" t="n">
        <v>4</v>
      </c>
      <c r="T12" s="40" t="n">
        <f aca="false">(S12/7)^0.5</f>
        <v>0.755928946018454</v>
      </c>
      <c r="U12" s="40" t="n">
        <f aca="false">IF(S12=7,1,((S12+0.99)/7)^0.5)</f>
        <v>0.844308677473555</v>
      </c>
      <c r="V12" s="43" t="n">
        <v>840</v>
      </c>
      <c r="W12" s="42" t="n">
        <f aca="false">V12-AZ12</f>
        <v>0</v>
      </c>
      <c r="X12" s="43" t="n">
        <v>330</v>
      </c>
      <c r="Y12" s="44" t="n">
        <f aca="false">V12/X12</f>
        <v>2.54545454545455</v>
      </c>
      <c r="Z12" s="45" t="n">
        <f aca="false">(AK12+R12+M12)*(S12/7)^0.5</f>
        <v>5.3944311720576</v>
      </c>
      <c r="AA12" s="45" t="n">
        <f aca="false">(AK12+R12+M12)*(IF(S12=7, (S12/7)^0.5, ((S12+1)/7)^0.5))</f>
        <v>6.03115740033233</v>
      </c>
      <c r="AB12" s="44" t="n">
        <f aca="false">(((AJ12+R12+M12)+(AM12+R12+M12)*2)/8)*(S12/7)^0.5</f>
        <v>1.73943833476468</v>
      </c>
      <c r="AC12" s="44" t="n">
        <f aca="false">(1.66*(AN12+M12+R12)+0.55*(AO12+M12+R12)-7.6)*(S12/7)^0.5</f>
        <v>2.41210674933515</v>
      </c>
      <c r="AD12" s="44" t="n">
        <f aca="false">((AO12+M12+R12)*0.7+(AN12+M12+R12)*0.3)*(S12/7)^0.5</f>
        <v>4.71409512064099</v>
      </c>
      <c r="AE12" s="44" t="n">
        <f aca="false">(0.5*(AN12+R12+M12)+ 0.3*(AO12+R12+M12))/10</f>
        <v>0.420892933836764</v>
      </c>
      <c r="AF12" s="44" t="n">
        <f aca="false">(0.4*(AJ12+R12+M12)+0.3*(AO12+R12+M12))/10</f>
        <v>0.459531317107169</v>
      </c>
      <c r="AG12" s="46" t="n">
        <f aca="false">(AO12+R12+(LOG(L12)*4/3))*(S12/7)^0.5</f>
        <v>5.21694786557624</v>
      </c>
      <c r="AH12" s="46" t="n">
        <f aca="false">(AO12+R12+(LOG(L12)*4/3))*(IF(S12=7, (S12/7)^0.5, ((S12+1)/7)^0.5))</f>
        <v>5.83272503125045</v>
      </c>
      <c r="AI12" s="47" t="n">
        <v>1</v>
      </c>
      <c r="AJ12" s="35" t="n">
        <v>4</v>
      </c>
      <c r="AK12" s="47" t="n">
        <v>5</v>
      </c>
      <c r="AL12" s="35" t="n">
        <v>2</v>
      </c>
      <c r="AM12" s="47" t="n">
        <v>4</v>
      </c>
      <c r="AN12" s="35" t="n">
        <v>2</v>
      </c>
      <c r="AO12" s="47" t="n">
        <v>5</v>
      </c>
      <c r="AP12" s="48" t="n">
        <v>381</v>
      </c>
      <c r="AQ12" s="48" t="n">
        <v>779</v>
      </c>
      <c r="AR12" s="49" t="n">
        <v>0</v>
      </c>
      <c r="AS12" s="49" t="n">
        <v>6</v>
      </c>
      <c r="AT12" s="49" t="n">
        <v>9</v>
      </c>
      <c r="AU12" s="49" t="n">
        <v>0</v>
      </c>
      <c r="AV12" s="49" t="n">
        <v>4</v>
      </c>
      <c r="AW12" s="49" t="n">
        <v>0</v>
      </c>
      <c r="AX12" s="49" t="n">
        <v>3</v>
      </c>
      <c r="AY12" s="50" t="n">
        <f aca="false">SUM(AR12:AX12)</f>
        <v>22</v>
      </c>
      <c r="AZ12" s="41" t="n">
        <v>840</v>
      </c>
      <c r="BA12" s="51" t="s">
        <v>56</v>
      </c>
    </row>
    <row r="13" customFormat="false" ht="15" hidden="false" customHeight="false" outlineLevel="0" collapsed="false">
      <c r="A13" s="24" t="s">
        <v>78</v>
      </c>
      <c r="B13" s="24" t="s">
        <v>75</v>
      </c>
      <c r="C13" s="26" t="n">
        <f aca="false">((36*112)-(E13*112)-(F13))/112</f>
        <v>14.2053571428571</v>
      </c>
      <c r="D13" s="52" t="s">
        <v>79</v>
      </c>
      <c r="E13" s="53" t="n">
        <v>21</v>
      </c>
      <c r="F13" s="29" t="n">
        <f aca="false">$D$1-43549</f>
        <v>89</v>
      </c>
      <c r="G13" s="30"/>
      <c r="H13" s="38" t="n">
        <v>2</v>
      </c>
      <c r="I13" s="38" t="n">
        <v>1</v>
      </c>
      <c r="J13" s="32" t="n">
        <f aca="false">IF(H13=4,IF(I13=0,0.137+0.0697,0.137+0.02),IF(H13=3,IF(I13=0,0.0958+0.0697,0.0958+0.02),IF(H13=2,IF(I13=0,0.0415+0.0697,0.0415+0.02),IF(H13=1,IF(I13=0,0.0294+0.0697,0.0294+0.02),IF(H13=0,IF(I13=0,0.0063+0.0697,0.0063+0.02))))))</f>
        <v>0.0615</v>
      </c>
      <c r="K13" s="33" t="n">
        <v>2</v>
      </c>
      <c r="L13" s="56" t="n">
        <v>2</v>
      </c>
      <c r="M13" s="35" t="n">
        <f aca="false">LOG(L13+1)*4/3</f>
        <v>0.63616167295955</v>
      </c>
      <c r="N13" s="36" t="n">
        <f aca="false">(K13)*(K13)*(L13)</f>
        <v>8</v>
      </c>
      <c r="O13" s="36" t="n">
        <f aca="false">(K13+1)*(K13+1)*L13</f>
        <v>18</v>
      </c>
      <c r="P13" s="57" t="n">
        <v>5</v>
      </c>
      <c r="Q13" s="38" t="n">
        <f aca="false">P13*10+19</f>
        <v>69</v>
      </c>
      <c r="R13" s="39" t="n">
        <v>1.5</v>
      </c>
      <c r="S13" s="38" t="n">
        <v>6</v>
      </c>
      <c r="T13" s="40" t="n">
        <f aca="false">(S13/7)^0.5</f>
        <v>0.925820099772551</v>
      </c>
      <c r="U13" s="40" t="n">
        <f aca="false">IF(S13=7,1,((S13+0.99)/7)^0.5)</f>
        <v>0.999285459001295</v>
      </c>
      <c r="V13" s="41" t="n">
        <v>780</v>
      </c>
      <c r="W13" s="42" t="n">
        <f aca="false">V13-AZ13</f>
        <v>0</v>
      </c>
      <c r="X13" s="41" t="n">
        <v>310</v>
      </c>
      <c r="Y13" s="44" t="n">
        <f aca="false">V13/X13</f>
        <v>2.51612903225806</v>
      </c>
      <c r="Z13" s="45" t="n">
        <f aca="false">(AK13+R13+M13)*(S13/7)^0.5</f>
        <v>6.60680191205247</v>
      </c>
      <c r="AA13" s="45" t="n">
        <f aca="false">(AK13+R13+M13)*(IF(S13=7, (S13/7)^0.5, ((S13+1)/7)^0.5))</f>
        <v>7.13616167295955</v>
      </c>
      <c r="AB13" s="44" t="n">
        <f aca="false">(((AJ13+R13+M13)+(AM13+R13+M13)*2)/8)*(S13/7)^0.5</f>
        <v>1.89891315466183</v>
      </c>
      <c r="AC13" s="44" t="n">
        <f aca="false">(1.66*(AN13+M13+R13)+0.55*(AO13+M13+R13)-7.6)*(S13/7)^0.5</f>
        <v>0.908152949999919</v>
      </c>
      <c r="AD13" s="44" t="n">
        <f aca="false">((AO13+M13+R13)*0.7+(AN13+M13+R13)*0.3)*(S13/7)^0.5</f>
        <v>4.84774372248462</v>
      </c>
      <c r="AE13" s="44" t="n">
        <f aca="false">(0.5*(AN13+R13+M13)+ 0.3*(AO13+R13+M13))/10</f>
        <v>0.340892933836764</v>
      </c>
      <c r="AF13" s="44" t="n">
        <f aca="false">(0.4*(AJ13+R13+M13)+0.3*(AO13+R13+M13))/10</f>
        <v>0.429531317107169</v>
      </c>
      <c r="AG13" s="46" t="n">
        <f aca="false">(AO13+R13+(LOG(L13)*4/3))*(S13/7)^0.5</f>
        <v>5.46361004290924</v>
      </c>
      <c r="AH13" s="46" t="n">
        <f aca="false">(AO13+R13+(LOG(L13)*4/3))*(IF(S13=7, (S13/7)^0.5, ((S13+1)/7)^0.5))</f>
        <v>5.90137332755198</v>
      </c>
      <c r="AI13" s="47" t="n">
        <v>0</v>
      </c>
      <c r="AJ13" s="35" t="n">
        <v>4</v>
      </c>
      <c r="AK13" s="47" t="n">
        <v>5</v>
      </c>
      <c r="AL13" s="35" t="n">
        <v>3</v>
      </c>
      <c r="AM13" s="47" t="n">
        <v>3</v>
      </c>
      <c r="AN13" s="35" t="n">
        <v>1</v>
      </c>
      <c r="AO13" s="47" t="n">
        <v>4</v>
      </c>
      <c r="AP13" s="48" t="n">
        <v>338</v>
      </c>
      <c r="AQ13" s="48" t="n">
        <v>1229</v>
      </c>
      <c r="AR13" s="49" t="n">
        <v>0</v>
      </c>
      <c r="AS13" s="49" t="n">
        <v>6</v>
      </c>
      <c r="AT13" s="49" t="n">
        <v>9</v>
      </c>
      <c r="AU13" s="49" t="n">
        <v>1.5</v>
      </c>
      <c r="AV13" s="49" t="n">
        <v>2</v>
      </c>
      <c r="AW13" s="49" t="n">
        <v>0</v>
      </c>
      <c r="AX13" s="49" t="n">
        <v>2</v>
      </c>
      <c r="AY13" s="50" t="n">
        <f aca="false">SUM(AR13:AX13)</f>
        <v>20.5</v>
      </c>
      <c r="AZ13" s="41" t="n">
        <v>780</v>
      </c>
      <c r="BA13" s="51" t="s">
        <v>56</v>
      </c>
    </row>
    <row r="14" customFormat="false" ht="15" hidden="false" customHeight="false" outlineLevel="0" collapsed="false">
      <c r="A14" s="24" t="s">
        <v>80</v>
      </c>
      <c r="B14" s="24" t="s">
        <v>75</v>
      </c>
      <c r="C14" s="26" t="n">
        <f aca="false">((36*112)-(E14*112)-(F14))/112</f>
        <v>16.5178571428571</v>
      </c>
      <c r="D14" s="52" t="s">
        <v>81</v>
      </c>
      <c r="E14" s="53" t="n">
        <v>19</v>
      </c>
      <c r="F14" s="29" t="n">
        <f aca="false">$D$1-43584</f>
        <v>54</v>
      </c>
      <c r="G14" s="30"/>
      <c r="H14" s="38" t="n">
        <v>0</v>
      </c>
      <c r="I14" s="38" t="n">
        <v>4</v>
      </c>
      <c r="J14" s="32" t="n">
        <f aca="false">IF(H14=4,IF(I14=0,0.137+0.0697,0.137+0.02),IF(H14=3,IF(I14=0,0.0958+0.0697,0.0958+0.02),IF(H14=2,IF(I14=0,0.0415+0.0697,0.0415+0.02),IF(H14=1,IF(I14=0,0.0294+0.0697,0.0294+0.02),IF(H14=0,IF(I14=0,0.0063+0.0697,0.0063+0.02))))))</f>
        <v>0.0263</v>
      </c>
      <c r="K14" s="33" t="n">
        <v>2</v>
      </c>
      <c r="L14" s="56" t="n">
        <v>1</v>
      </c>
      <c r="M14" s="35" t="n">
        <f aca="false">LOG(L14+1)*4/3</f>
        <v>0.401373327551975</v>
      </c>
      <c r="N14" s="36" t="n">
        <f aca="false">(K14)*(K14)*(L14)</f>
        <v>4</v>
      </c>
      <c r="O14" s="36" t="n">
        <f aca="false">(K14+1)*(K14+1)*L14</f>
        <v>9</v>
      </c>
      <c r="P14" s="57" t="n">
        <v>5</v>
      </c>
      <c r="Q14" s="38" t="n">
        <f aca="false">P14*10+19</f>
        <v>69</v>
      </c>
      <c r="R14" s="39" t="n">
        <v>1.5</v>
      </c>
      <c r="S14" s="38" t="n">
        <v>5</v>
      </c>
      <c r="T14" s="40" t="n">
        <f aca="false">(S14/7)^0.5</f>
        <v>0.845154254728516</v>
      </c>
      <c r="U14" s="40" t="n">
        <f aca="false">IF(S14=7,1,((S14+0.99)/7)^0.5)</f>
        <v>0.925048261289261</v>
      </c>
      <c r="V14" s="41" t="n">
        <v>960</v>
      </c>
      <c r="W14" s="42" t="n">
        <f aca="false">V14-AZ14</f>
        <v>0</v>
      </c>
      <c r="X14" s="41" t="n">
        <v>330</v>
      </c>
      <c r="Y14" s="44" t="n">
        <f aca="false">V14/X14</f>
        <v>2.90909090909091</v>
      </c>
      <c r="Z14" s="45" t="n">
        <f aca="false">(AK14+R14+M14)*(S14/7)^0.5</f>
        <v>5.83272503125045</v>
      </c>
      <c r="AA14" s="45" t="n">
        <f aca="false">(AK14+R14+M14)*(IF(S14=7, (S14/7)^0.5, ((S14+1)/7)^0.5))</f>
        <v>6.3894301426818</v>
      </c>
      <c r="AB14" s="44" t="n">
        <f aca="false">(((AJ14+R14+M14)+(AM14+R14+M14)*2)/8)*(S14/7)^0.5</f>
        <v>1.97598332303679</v>
      </c>
      <c r="AC14" s="44" t="n">
        <f aca="false">(1.66*(AN14+M14+R14)+0.55*(AO14+M14+R14)-7.6)*(S14/7)^0.5</f>
        <v>2.25828179457876</v>
      </c>
      <c r="AD14" s="44" t="n">
        <f aca="false">((AO14+M14+R14)*0.7+(AN14+M14+R14)*0.3)*(S14/7)^0.5</f>
        <v>5.07208620199479</v>
      </c>
      <c r="AE14" s="44" t="n">
        <f aca="false">(0.5*(AN14+R14+M14)+ 0.3*(AO14+R14+M14))/10</f>
        <v>0.402109866204158</v>
      </c>
      <c r="AF14" s="44" t="n">
        <f aca="false">(0.4*(AJ14+R14+M14)+0.3*(AO14+R14+M14))/10</f>
        <v>0.403096132928638</v>
      </c>
      <c r="AG14" s="46" t="n">
        <f aca="false">(AO14+R14+(LOG(L14)*4/3))*(S14/7)^0.5</f>
        <v>5.49350265573536</v>
      </c>
      <c r="AH14" s="46" t="n">
        <f aca="false">(AO14+R14+(LOG(L14)*4/3))*(IF(S14=7, (S14/7)^0.5, ((S14+1)/7)^0.5))</f>
        <v>6.01783064852158</v>
      </c>
      <c r="AI14" s="47" t="n">
        <v>0</v>
      </c>
      <c r="AJ14" s="35" t="n">
        <v>3</v>
      </c>
      <c r="AK14" s="47" t="n">
        <v>5</v>
      </c>
      <c r="AL14" s="35" t="n">
        <v>1</v>
      </c>
      <c r="AM14" s="47" t="n">
        <v>5</v>
      </c>
      <c r="AN14" s="35" t="n">
        <v>2</v>
      </c>
      <c r="AO14" s="47" t="n">
        <v>5</v>
      </c>
      <c r="AP14" s="48" t="n">
        <v>354</v>
      </c>
      <c r="AQ14" s="48" t="n">
        <v>1602</v>
      </c>
      <c r="AR14" s="49" t="n">
        <v>0</v>
      </c>
      <c r="AS14" s="49" t="n">
        <v>3</v>
      </c>
      <c r="AT14" s="49" t="n">
        <v>9</v>
      </c>
      <c r="AU14" s="49" t="n">
        <v>0</v>
      </c>
      <c r="AV14" s="49" t="n">
        <v>7</v>
      </c>
      <c r="AW14" s="49" t="n">
        <v>0</v>
      </c>
      <c r="AX14" s="49" t="n">
        <v>3</v>
      </c>
      <c r="AY14" s="50" t="n">
        <f aca="false">SUM(AR14:AX14)</f>
        <v>22</v>
      </c>
      <c r="AZ14" s="41" t="n">
        <v>960</v>
      </c>
      <c r="BA14" s="51" t="s">
        <v>56</v>
      </c>
    </row>
    <row r="15" customFormat="false" ht="15" hidden="false" customHeight="false" outlineLevel="0" collapsed="false">
      <c r="A15" s="24" t="s">
        <v>82</v>
      </c>
      <c r="B15" s="24" t="s">
        <v>75</v>
      </c>
      <c r="C15" s="26" t="n">
        <f aca="false">((36*112)-(E15*112)-(F15))/112</f>
        <v>12.9642857142857</v>
      </c>
      <c r="D15" s="52" t="s">
        <v>83</v>
      </c>
      <c r="E15" s="53" t="n">
        <v>23</v>
      </c>
      <c r="F15" s="29" t="n">
        <f aca="false">$D$1-43634</f>
        <v>4</v>
      </c>
      <c r="G15" s="30"/>
      <c r="H15" s="38" t="n">
        <v>3</v>
      </c>
      <c r="I15" s="38" t="n">
        <v>4</v>
      </c>
      <c r="J15" s="32" t="n">
        <f aca="false">IF(H15=4,IF(I15=0,0.137+0.0697,0.137+0.02),IF(H15=3,IF(I15=0,0.0958+0.0697,0.0958+0.02),IF(H15=2,IF(I15=0,0.0415+0.0697,0.0415+0.02),IF(H15=1,IF(I15=0,0.0294+0.0697,0.0294+0.02),IF(H15=0,IF(I15=0,0.0063+0.0697,0.0063+0.02))))))</f>
        <v>0.1158</v>
      </c>
      <c r="K15" s="33" t="n">
        <v>5</v>
      </c>
      <c r="L15" s="56" t="n">
        <v>2</v>
      </c>
      <c r="M15" s="35" t="n">
        <f aca="false">LOG(L15+1)*4/3</f>
        <v>0.63616167295955</v>
      </c>
      <c r="N15" s="36" t="n">
        <f aca="false">(K15)*(K15)*(L15)</f>
        <v>50</v>
      </c>
      <c r="O15" s="36" t="n">
        <f aca="false">(K15+1)*(K15+1)*L15</f>
        <v>72</v>
      </c>
      <c r="P15" s="57" t="n">
        <v>5</v>
      </c>
      <c r="Q15" s="38" t="n">
        <f aca="false">P15*10+19</f>
        <v>69</v>
      </c>
      <c r="R15" s="39" t="n">
        <v>1.5</v>
      </c>
      <c r="S15" s="38" t="n">
        <v>4</v>
      </c>
      <c r="T15" s="40" t="n">
        <f aca="false">(S15/7)^0.5</f>
        <v>0.755928946018454</v>
      </c>
      <c r="U15" s="40" t="n">
        <f aca="false">IF(S15=7,1,((S15+0.99)/7)^0.5)</f>
        <v>0.844308677473555</v>
      </c>
      <c r="V15" s="41" t="n">
        <v>1370</v>
      </c>
      <c r="W15" s="42" t="n">
        <f aca="false">V15-AZ15</f>
        <v>0</v>
      </c>
      <c r="X15" s="41" t="n">
        <v>430</v>
      </c>
      <c r="Y15" s="44" t="n">
        <f aca="false">V15/X15</f>
        <v>3.18604651162791</v>
      </c>
      <c r="Z15" s="45" t="n">
        <f aca="false">(AK15+R15+M15)*(S15/7)^0.5</f>
        <v>6.15036011807606</v>
      </c>
      <c r="AA15" s="45" t="n">
        <f aca="false">(AK15+R15+M15)*(IF(S15=7, (S15/7)^0.5, ((S15+1)/7)^0.5))</f>
        <v>6.87631165506085</v>
      </c>
      <c r="AB15" s="44" t="n">
        <f aca="false">(((AJ15+R15+M15)+(AM15+R15+M15)*2)/8)*(S15/7)^0.5</f>
        <v>1.64494721651237</v>
      </c>
      <c r="AC15" s="44" t="n">
        <f aca="false">(1.66*(AN15+M15+R15)+0.55*(AO15+M15+R15)-7.6)*(S15/7)^0.5</f>
        <v>0.741503778634362</v>
      </c>
      <c r="AD15" s="44" t="n">
        <f aca="false">((AO15+M15+R15)*0.7+(AN15+M15+R15)*0.3)*(S15/7)^0.5</f>
        <v>3.95816617462254</v>
      </c>
      <c r="AE15" s="44" t="n">
        <f aca="false">(0.5*(AN15+R15+M15)+ 0.3*(AO15+R15+M15))/10</f>
        <v>0.340892933836764</v>
      </c>
      <c r="AF15" s="44" t="n">
        <f aca="false">(0.4*(AJ15+R15+M15)+0.3*(AO15+R15+M15))/10</f>
        <v>0.469531317107169</v>
      </c>
      <c r="AG15" s="46" t="n">
        <f aca="false">(AO15+R15+(LOG(L15)*4/3))*(S15/7)^0.5</f>
        <v>4.46101891955778</v>
      </c>
      <c r="AH15" s="46" t="n">
        <f aca="false">(AO15+R15+(LOG(L15)*4/3))*(IF(S15=7, (S15/7)^0.5, ((S15+1)/7)^0.5))</f>
        <v>4.98757077652194</v>
      </c>
      <c r="AI15" s="47" t="n">
        <v>0</v>
      </c>
      <c r="AJ15" s="35" t="n">
        <v>5</v>
      </c>
      <c r="AK15" s="47" t="n">
        <v>6</v>
      </c>
      <c r="AL15" s="35" t="n">
        <v>2</v>
      </c>
      <c r="AM15" s="47" t="n">
        <v>3</v>
      </c>
      <c r="AN15" s="35" t="n">
        <v>1</v>
      </c>
      <c r="AO15" s="47" t="n">
        <v>4</v>
      </c>
      <c r="AP15" s="48" t="n">
        <v>394</v>
      </c>
      <c r="AQ15" s="48" t="n">
        <v>1098</v>
      </c>
      <c r="AR15" s="49" t="n">
        <v>0</v>
      </c>
      <c r="AS15" s="49" t="n">
        <v>10</v>
      </c>
      <c r="AT15" s="49" t="n">
        <v>12</v>
      </c>
      <c r="AU15" s="49" t="n">
        <v>0</v>
      </c>
      <c r="AV15" s="49" t="n">
        <v>2</v>
      </c>
      <c r="AW15" s="49" t="n">
        <v>0</v>
      </c>
      <c r="AX15" s="49" t="n">
        <v>2</v>
      </c>
      <c r="AY15" s="50" t="n">
        <f aca="false">SUM(AR15:AX15)</f>
        <v>26</v>
      </c>
      <c r="AZ15" s="41" t="n">
        <v>1370</v>
      </c>
      <c r="BA15" s="51" t="s">
        <v>56</v>
      </c>
    </row>
    <row r="16" customFormat="false" ht="15" hidden="false" customHeight="false" outlineLevel="0" collapsed="false">
      <c r="A16" s="24" t="s">
        <v>84</v>
      </c>
      <c r="B16" s="24" t="s">
        <v>75</v>
      </c>
      <c r="C16" s="26" t="n">
        <f aca="false">((36*112)-(E16*112)-(F16))/112</f>
        <v>11.9821428571429</v>
      </c>
      <c r="D16" s="52" t="s">
        <v>85</v>
      </c>
      <c r="E16" s="53" t="n">
        <v>24</v>
      </c>
      <c r="F16" s="29" t="n">
        <f aca="false">$D$1-43636</f>
        <v>2</v>
      </c>
      <c r="G16" s="30"/>
      <c r="H16" s="38" t="n">
        <v>2</v>
      </c>
      <c r="I16" s="38" t="n">
        <v>2</v>
      </c>
      <c r="J16" s="32" t="n">
        <f aca="false">IF(H16=4,IF(I16=0,0.137+0.0697,0.137+0.02),IF(H16=3,IF(I16=0,0.0958+0.0697,0.0958+0.02),IF(H16=2,IF(I16=0,0.0415+0.0697,0.0415+0.02),IF(H16=1,IF(I16=0,0.0294+0.0697,0.0294+0.02),IF(H16=0,IF(I16=0,0.0063+0.0697,0.0063+0.02))))))</f>
        <v>0.0615</v>
      </c>
      <c r="K16" s="33" t="n">
        <v>3</v>
      </c>
      <c r="L16" s="56" t="n">
        <v>2</v>
      </c>
      <c r="M16" s="35" t="n">
        <f aca="false">LOG(L16+1)*4/3</f>
        <v>0.63616167295955</v>
      </c>
      <c r="N16" s="36" t="n">
        <f aca="false">(K16)*(K16)*(L16)</f>
        <v>18</v>
      </c>
      <c r="O16" s="36" t="n">
        <f aca="false">(K16+1)*(K16+1)*L16</f>
        <v>32</v>
      </c>
      <c r="P16" s="57" t="n">
        <v>5</v>
      </c>
      <c r="Q16" s="38" t="n">
        <f aca="false">P16*10+19</f>
        <v>69</v>
      </c>
      <c r="R16" s="39" t="n">
        <v>1.5</v>
      </c>
      <c r="S16" s="38" t="n">
        <v>4</v>
      </c>
      <c r="T16" s="40" t="n">
        <f aca="false">(S16/7)^0.5</f>
        <v>0.755928946018454</v>
      </c>
      <c r="U16" s="40" t="n">
        <f aca="false">IF(S16=7,1,((S16+0.99)/7)^0.5)</f>
        <v>0.844308677473555</v>
      </c>
      <c r="V16" s="41" t="n">
        <v>950</v>
      </c>
      <c r="W16" s="42" t="n">
        <f aca="false">V16-AZ16</f>
        <v>0</v>
      </c>
      <c r="X16" s="41" t="n">
        <v>410</v>
      </c>
      <c r="Y16" s="44" t="n">
        <f aca="false">V16/X16</f>
        <v>2.31707317073171</v>
      </c>
      <c r="Z16" s="45" t="n">
        <f aca="false">(AK16+R16+M16)*(S16/7)^0.5</f>
        <v>6.15036011807606</v>
      </c>
      <c r="AA16" s="45" t="n">
        <f aca="false">(AK16+R16+M16)*(IF(S16=7, (S16/7)^0.5, ((S16+1)/7)^0.5))</f>
        <v>6.87631165506085</v>
      </c>
      <c r="AB16" s="44" t="n">
        <f aca="false">(((AJ16+R16+M16)+(AM16+R16+M16)*2)/8)*(S16/7)^0.5</f>
        <v>1.64494721651237</v>
      </c>
      <c r="AC16" s="44" t="n">
        <f aca="false">(1.66*(AN16+M16+R16)+0.55*(AO16+M16+R16)-7.6)*(S16/7)^0.5</f>
        <v>3.25118787941563</v>
      </c>
      <c r="AD16" s="44" t="n">
        <f aca="false">((AO16+M16+R16)*0.7+(AN16+M16+R16)*0.3)*(S16/7)^0.5</f>
        <v>4.41172354223361</v>
      </c>
      <c r="AE16" s="44" t="n">
        <f aca="false">(0.5*(AN16+R16+M16)+ 0.3*(AO16+R16+M16))/10</f>
        <v>0.440892933836764</v>
      </c>
      <c r="AF16" s="44" t="n">
        <f aca="false">(0.4*(AJ16+R16+M16)+0.3*(AO16+R16+M16))/10</f>
        <v>0.389531317107168</v>
      </c>
      <c r="AG16" s="46" t="n">
        <f aca="false">(AO16+R16+(LOG(L16)*4/3))*(S16/7)^0.5</f>
        <v>4.46101891955778</v>
      </c>
      <c r="AH16" s="46" t="n">
        <f aca="false">(AO16+R16+(LOG(L16)*4/3))*(IF(S16=7, (S16/7)^0.5, ((S16+1)/7)^0.5))</f>
        <v>4.98757077652194</v>
      </c>
      <c r="AI16" s="47" t="n">
        <v>0</v>
      </c>
      <c r="AJ16" s="35" t="n">
        <v>3</v>
      </c>
      <c r="AK16" s="47" t="n">
        <v>6</v>
      </c>
      <c r="AL16" s="35" t="n">
        <v>2</v>
      </c>
      <c r="AM16" s="47" t="n">
        <v>4</v>
      </c>
      <c r="AN16" s="35" t="n">
        <v>3</v>
      </c>
      <c r="AO16" s="47" t="n">
        <v>4</v>
      </c>
      <c r="AP16" s="48" t="n">
        <v>391</v>
      </c>
      <c r="AQ16" s="48" t="n">
        <v>950</v>
      </c>
      <c r="AR16" s="49" t="n">
        <v>0</v>
      </c>
      <c r="AS16" s="49" t="n">
        <v>3</v>
      </c>
      <c r="AT16" s="49" t="n">
        <v>12</v>
      </c>
      <c r="AU16" s="49" t="n">
        <v>0</v>
      </c>
      <c r="AV16" s="49" t="n">
        <v>4</v>
      </c>
      <c r="AW16" s="49" t="n">
        <v>2</v>
      </c>
      <c r="AX16" s="49" t="n">
        <v>2</v>
      </c>
      <c r="AY16" s="50" t="n">
        <f aca="false">SUM(AR16:AX16)</f>
        <v>23</v>
      </c>
      <c r="AZ16" s="41" t="n">
        <v>950</v>
      </c>
      <c r="BA16" s="51" t="s">
        <v>56</v>
      </c>
    </row>
    <row r="17" customFormat="false" ht="15" hidden="false" customHeight="false" outlineLevel="0" collapsed="false">
      <c r="A17" s="24" t="s">
        <v>86</v>
      </c>
      <c r="B17" s="24" t="s">
        <v>75</v>
      </c>
      <c r="C17" s="26" t="n">
        <f aca="false">((36*112)-(E17*112)-(F17))/112</f>
        <v>8.94642857142857</v>
      </c>
      <c r="D17" s="52" t="s">
        <v>87</v>
      </c>
      <c r="E17" s="53" t="n">
        <v>27</v>
      </c>
      <c r="F17" s="29" t="n">
        <f aca="false">$D$1-43632</f>
        <v>6</v>
      </c>
      <c r="G17" s="30" t="s">
        <v>88</v>
      </c>
      <c r="H17" s="38" t="n">
        <v>3</v>
      </c>
      <c r="I17" s="38" t="n">
        <v>4</v>
      </c>
      <c r="J17" s="32" t="n">
        <f aca="false">IF(H17=4,IF(I17=0,0.137+0.0697,0.137+0.02),IF(H17=3,IF(I17=0,0.0958+0.0697,0.0958+0.02),IF(H17=2,IF(I17=0,0.0415+0.0697,0.0415+0.02),IF(H17=1,IF(I17=0,0.0294+0.0697,0.0294+0.02),IF(H17=0,IF(I17=0,0.0063+0.0697,0.0063+0.02))))))</f>
        <v>0.1158</v>
      </c>
      <c r="K17" s="33" t="n">
        <v>0</v>
      </c>
      <c r="L17" s="56" t="n">
        <v>4</v>
      </c>
      <c r="M17" s="35" t="n">
        <f aca="false">LOG(L17+1)*4/3</f>
        <v>0.931960005781358</v>
      </c>
      <c r="N17" s="36" t="n">
        <f aca="false">(K17)*(K17)*(L17)</f>
        <v>0</v>
      </c>
      <c r="O17" s="36" t="n">
        <f aca="false">(K17+1)*(K17+1)*L17</f>
        <v>4</v>
      </c>
      <c r="P17" s="57" t="n">
        <v>5</v>
      </c>
      <c r="Q17" s="38" t="n">
        <f aca="false">P17*10+19</f>
        <v>69</v>
      </c>
      <c r="R17" s="39" t="n">
        <v>1.5</v>
      </c>
      <c r="S17" s="38" t="n">
        <v>3</v>
      </c>
      <c r="T17" s="40" t="n">
        <f aca="false">(S17/7)^0.5</f>
        <v>0.654653670707977</v>
      </c>
      <c r="U17" s="40" t="n">
        <f aca="false">IF(S17=7,1,((S17+0.99)/7)^0.5)</f>
        <v>0.754983443527075</v>
      </c>
      <c r="V17" s="41" t="n">
        <v>1190</v>
      </c>
      <c r="W17" s="42" t="n">
        <f aca="false">V17-AZ17</f>
        <v>0</v>
      </c>
      <c r="X17" s="41" t="n">
        <v>330</v>
      </c>
      <c r="Y17" s="44" t="n">
        <f aca="false">V17/X17</f>
        <v>3.60606060606061</v>
      </c>
      <c r="Z17" s="45" t="n">
        <f aca="false">(AK17+R17+M17)*(S17/7)^0.5</f>
        <v>4.86535989833965</v>
      </c>
      <c r="AA17" s="45" t="n">
        <f aca="false">(AK17+R17+M17)*(IF(S17=7, (S17/7)^0.5, ((S17+1)/7)^0.5))</f>
        <v>5.61803369402161</v>
      </c>
      <c r="AB17" s="44" t="n">
        <f aca="false">(((AJ17+R17+M17)+(AM17+R17+M17)*2)/8)*(S17/7)^0.5</f>
        <v>1.49718312652338</v>
      </c>
      <c r="AC17" s="44" t="n">
        <f aca="false">(1.66*(AN17+M17+R17)+0.55*(AO17+M17+R17)-7.6)*(S17/7)^0.5</f>
        <v>1.4367236411561</v>
      </c>
      <c r="AD17" s="44" t="n">
        <f aca="false">((AO17+M17+R17)*0.7+(AN17+M17+R17)*0.3)*(S17/7)^0.5</f>
        <v>2.90139888621571</v>
      </c>
      <c r="AE17" s="44" t="n">
        <f aca="false">(0.5*(AN17+R17+M17)+ 0.3*(AO17+R17+M17))/10</f>
        <v>0.354556800462509</v>
      </c>
      <c r="AF17" s="44" t="n">
        <f aca="false">(0.4*(AJ17+R17+M17)+0.3*(AO17+R17+M17))/10</f>
        <v>0.430237200404695</v>
      </c>
      <c r="AG17" s="46" t="n">
        <f aca="false">(AO17+R17+(LOG(L17)*4/3))*(S17/7)^0.5</f>
        <v>2.81680889189027</v>
      </c>
      <c r="AH17" s="46" t="n">
        <f aca="false">(AO17+R17+(LOG(L17)*4/3))*(IF(S17=7, (S17/7)^0.5, ((S17+1)/7)^0.5))</f>
        <v>3.25257074397716</v>
      </c>
      <c r="AI17" s="47" t="n">
        <v>0</v>
      </c>
      <c r="AJ17" s="35" t="n">
        <v>5</v>
      </c>
      <c r="AK17" s="47" t="n">
        <v>5</v>
      </c>
      <c r="AL17" s="35" t="n">
        <v>5</v>
      </c>
      <c r="AM17" s="47" t="n">
        <v>3</v>
      </c>
      <c r="AN17" s="35" t="n">
        <v>2</v>
      </c>
      <c r="AO17" s="47" t="n">
        <v>2</v>
      </c>
      <c r="AP17" s="48" t="n">
        <v>423</v>
      </c>
      <c r="AQ17" s="48" t="n">
        <v>552</v>
      </c>
      <c r="AR17" s="49" t="n">
        <v>0</v>
      </c>
      <c r="AS17" s="49" t="n">
        <v>10</v>
      </c>
      <c r="AT17" s="49" t="n">
        <v>9</v>
      </c>
      <c r="AU17" s="49" t="n">
        <v>5.5</v>
      </c>
      <c r="AV17" s="49" t="n">
        <v>2</v>
      </c>
      <c r="AW17" s="49" t="n">
        <v>0</v>
      </c>
      <c r="AX17" s="49" t="n">
        <v>0</v>
      </c>
      <c r="AY17" s="50" t="n">
        <f aca="false">SUM(AR17:AX17)</f>
        <v>26.5</v>
      </c>
      <c r="AZ17" s="41" t="n">
        <v>1190</v>
      </c>
      <c r="BA17" s="51" t="s">
        <v>56</v>
      </c>
    </row>
    <row r="18" customFormat="false" ht="15" hidden="false" customHeight="false" outlineLevel="0" collapsed="false">
      <c r="A18" s="24" t="s">
        <v>89</v>
      </c>
      <c r="B18" s="24" t="s">
        <v>90</v>
      </c>
      <c r="C18" s="26" t="n">
        <f aca="false">((36*112)-(E18*112)-(F18))/112</f>
        <v>15.1964285714286</v>
      </c>
      <c r="D18" s="52" t="s">
        <v>91</v>
      </c>
      <c r="E18" s="53" t="n">
        <v>20</v>
      </c>
      <c r="F18" s="29" t="n">
        <f aca="false">$D$1-43548</f>
        <v>90</v>
      </c>
      <c r="G18" s="30"/>
      <c r="H18" s="38" t="n">
        <v>1</v>
      </c>
      <c r="I18" s="38" t="n">
        <v>1</v>
      </c>
      <c r="J18" s="32" t="n">
        <f aca="false">IF(H18=4,IF(I18=0,0.137+0.0697,0.137+0.02),IF(H18=3,IF(I18=0,0.0958+0.0697,0.0958+0.02),IF(H18=2,IF(I18=0,0.0415+0.0697,0.0415+0.02),IF(H18=1,IF(I18=0,0.0294+0.0697,0.0294+0.02),IF(H18=0,IF(I18=0,0.0063+0.0697,0.0063+0.02))))))</f>
        <v>0.0494</v>
      </c>
      <c r="K18" s="33" t="n">
        <v>5</v>
      </c>
      <c r="L18" s="56" t="n">
        <v>1</v>
      </c>
      <c r="M18" s="35" t="n">
        <f aca="false">LOG(L18+1)*4/3</f>
        <v>0.401373327551975</v>
      </c>
      <c r="N18" s="36" t="n">
        <f aca="false">(K18)*(K18)*(L18)</f>
        <v>25</v>
      </c>
      <c r="O18" s="36" t="n">
        <f aca="false">(K18+1)*(K18+1)*L18</f>
        <v>36</v>
      </c>
      <c r="P18" s="57" t="n">
        <v>6</v>
      </c>
      <c r="Q18" s="38" t="n">
        <f aca="false">P18*10+19</f>
        <v>79</v>
      </c>
      <c r="R18" s="39" t="n">
        <v>1.5</v>
      </c>
      <c r="S18" s="38" t="n">
        <v>3</v>
      </c>
      <c r="T18" s="40" t="n">
        <f aca="false">(S18/7)^0.5</f>
        <v>0.654653670707977</v>
      </c>
      <c r="U18" s="40" t="n">
        <f aca="false">IF(S18=7,1,((S18+0.99)/7)^0.5)</f>
        <v>0.754983443527075</v>
      </c>
      <c r="V18" s="41" t="n">
        <v>1230</v>
      </c>
      <c r="W18" s="42" t="n">
        <f aca="false">V18-AZ18</f>
        <v>0</v>
      </c>
      <c r="X18" s="41" t="n">
        <v>330</v>
      </c>
      <c r="Y18" s="44" t="n">
        <f aca="false">V18/X18</f>
        <v>3.72727272727273</v>
      </c>
      <c r="Z18" s="45" t="n">
        <f aca="false">(AK18+R18+M18)*(S18/7)^0.5</f>
        <v>4.51800938180803</v>
      </c>
      <c r="AA18" s="45" t="n">
        <f aca="false">(AK18+R18+M18)*(IF(S18=7, (S18/7)^0.5, ((S18+1)/7)^0.5))</f>
        <v>5.21694786557624</v>
      </c>
      <c r="AB18" s="44" t="n">
        <f aca="false">(((AJ18+R18+M18)+(AM18+R18+M18)*2)/8)*(S18/7)^0.5</f>
        <v>1.44875839166252</v>
      </c>
      <c r="AC18" s="44" t="n">
        <f aca="false">(1.66*(AN18+M18+R18)+0.55*(AO18+M18+R18)-7.6)*(S18/7)^0.5</f>
        <v>0.302472944024758</v>
      </c>
      <c r="AD18" s="44" t="n">
        <f aca="false">((AO18+M18+R18)*0.7+(AN18+M18+R18)*0.3)*(S18/7)^0.5</f>
        <v>3.27416740746287</v>
      </c>
      <c r="AE18" s="44" t="n">
        <f aca="false">(0.5*(AN18+R18+M18)+ 0.3*(AO18+R18+M18))/10</f>
        <v>0.322109866204158</v>
      </c>
      <c r="AF18" s="44" t="n">
        <f aca="false">(0.4*(AJ18+R18+M18)+0.3*(AO18+R18+M18))/10</f>
        <v>0.413096132928638</v>
      </c>
      <c r="AG18" s="46" t="n">
        <f aca="false">(AO18+R18+(LOG(L18)*4/3))*(S18/7)^0.5</f>
        <v>3.60059518889387</v>
      </c>
      <c r="AH18" s="46" t="n">
        <f aca="false">(AO18+R18+(LOG(L18)*4/3))*(IF(S18=7, (S18/7)^0.5, ((S18+1)/7)^0.5))</f>
        <v>4.1576092031015</v>
      </c>
      <c r="AI18" s="47" t="n">
        <v>0</v>
      </c>
      <c r="AJ18" s="35" t="n">
        <v>4</v>
      </c>
      <c r="AK18" s="47" t="n">
        <v>5</v>
      </c>
      <c r="AL18" s="35" t="n">
        <v>5</v>
      </c>
      <c r="AM18" s="47" t="n">
        <v>4</v>
      </c>
      <c r="AN18" s="35" t="n">
        <v>1</v>
      </c>
      <c r="AO18" s="47" t="n">
        <v>4</v>
      </c>
      <c r="AP18" s="48" t="n">
        <v>402</v>
      </c>
      <c r="AQ18" s="48" t="n">
        <v>1445</v>
      </c>
      <c r="AR18" s="49" t="n">
        <v>0</v>
      </c>
      <c r="AS18" s="49" t="n">
        <v>6</v>
      </c>
      <c r="AT18" s="49" t="n">
        <v>9</v>
      </c>
      <c r="AU18" s="49" t="n">
        <v>5.5</v>
      </c>
      <c r="AV18" s="49" t="n">
        <v>4</v>
      </c>
      <c r="AW18" s="49" t="n">
        <v>0</v>
      </c>
      <c r="AX18" s="49" t="n">
        <v>2</v>
      </c>
      <c r="AY18" s="50" t="n">
        <f aca="false">SUM(AR18:AX18)</f>
        <v>26.5</v>
      </c>
      <c r="AZ18" s="41" t="n">
        <v>1230</v>
      </c>
      <c r="BA18" s="51" t="s">
        <v>56</v>
      </c>
    </row>
    <row r="19" customFormat="false" ht="15" hidden="false" customHeight="false" outlineLevel="0" collapsed="false">
      <c r="A19" s="24" t="s">
        <v>92</v>
      </c>
      <c r="B19" s="24" t="s">
        <v>90</v>
      </c>
      <c r="C19" s="26" t="n">
        <f aca="false">((36*112)-(E19*112)-(F19))/112</f>
        <v>13.3571428571429</v>
      </c>
      <c r="D19" s="52" t="s">
        <v>93</v>
      </c>
      <c r="E19" s="53" t="n">
        <v>22</v>
      </c>
      <c r="F19" s="29" t="n">
        <f aca="false">$D$1-43566</f>
        <v>72</v>
      </c>
      <c r="G19" s="30"/>
      <c r="H19" s="38" t="n">
        <v>4</v>
      </c>
      <c r="I19" s="38" t="n">
        <v>0</v>
      </c>
      <c r="J19" s="32" t="n">
        <f aca="false">IF(H19=4,IF(I19=0,0.137+0.0697,0.137+0.02),IF(H19=3,IF(I19=0,0.0958+0.0697,0.0958+0.02),IF(H19=2,IF(I19=0,0.0415+0.0697,0.0415+0.02),IF(H19=1,IF(I19=0,0.0294+0.0697,0.0294+0.02),IF(H19=0,IF(I19=0,0.0063+0.0697,0.0063+0.02))))))</f>
        <v>0.2067</v>
      </c>
      <c r="K19" s="33" t="n">
        <v>1</v>
      </c>
      <c r="L19" s="56" t="n">
        <v>2</v>
      </c>
      <c r="M19" s="35" t="n">
        <f aca="false">LOG(L19+1)*4/3</f>
        <v>0.63616167295955</v>
      </c>
      <c r="N19" s="36" t="n">
        <f aca="false">(K19)*(K19)*(L19)</f>
        <v>2</v>
      </c>
      <c r="O19" s="36" t="n">
        <f aca="false">(K19+1)*(K19+1)*L19</f>
        <v>8</v>
      </c>
      <c r="P19" s="57" t="n">
        <v>4</v>
      </c>
      <c r="Q19" s="38" t="n">
        <f aca="false">P19*10+19</f>
        <v>59</v>
      </c>
      <c r="R19" s="39" t="n">
        <v>1.5</v>
      </c>
      <c r="S19" s="38" t="n">
        <v>4</v>
      </c>
      <c r="T19" s="40" t="n">
        <f aca="false">(S19/7)^0.5</f>
        <v>0.755928946018454</v>
      </c>
      <c r="U19" s="40" t="n">
        <f aca="false">IF(S19=7,1,((S19+0.99)/7)^0.5)</f>
        <v>0.844308677473555</v>
      </c>
      <c r="V19" s="41" t="n">
        <v>2310</v>
      </c>
      <c r="W19" s="42" t="n">
        <f aca="false">V19-AZ19</f>
        <v>0</v>
      </c>
      <c r="X19" s="41" t="n">
        <v>370</v>
      </c>
      <c r="Y19" s="44" t="n">
        <f aca="false">V19/X19</f>
        <v>6.24324324324324</v>
      </c>
      <c r="Z19" s="45" t="n">
        <f aca="false">(AK19+R19+M19)*(S19/7)^0.5</f>
        <v>5.3944311720576</v>
      </c>
      <c r="AA19" s="45" t="n">
        <f aca="false">(AK19+R19+M19)*(IF(S19=7, (S19/7)^0.5, ((S19+1)/7)^0.5))</f>
        <v>6.03115740033233</v>
      </c>
      <c r="AB19" s="44" t="n">
        <f aca="false">(((AJ19+R19+M19)+(AM19+R19+M19)*2)/8)*(S19/7)^0.5</f>
        <v>1.83392945301699</v>
      </c>
      <c r="AC19" s="44" t="n">
        <f aca="false">(1.66*(AN19+M19+R19)+0.55*(AO19+M19+R19)-7.6)*(S19/7)^0.5</f>
        <v>1.996345829025</v>
      </c>
      <c r="AD19" s="44" t="n">
        <f aca="false">((AO19+M19+R19)*0.7+(AN19+M19+R19)*0.3)*(S19/7)^0.5</f>
        <v>4.18494485842808</v>
      </c>
      <c r="AE19" s="44" t="n">
        <f aca="false">(0.5*(AN19+R19+M19)+ 0.3*(AO19+R19+M19))/10</f>
        <v>0.390892933836764</v>
      </c>
      <c r="AF19" s="44" t="n">
        <f aca="false">(0.4*(AJ19+R19+M19)+0.3*(AO19+R19+M19))/10</f>
        <v>0.389531317107168</v>
      </c>
      <c r="AG19" s="46" t="n">
        <f aca="false">(AO19+R19+(LOG(L19)*4/3))*(S19/7)^0.5</f>
        <v>4.46101891955778</v>
      </c>
      <c r="AH19" s="46" t="n">
        <f aca="false">(AO19+R19+(LOG(L19)*4/3))*(IF(S19=7, (S19/7)^0.5, ((S19+1)/7)^0.5))</f>
        <v>4.98757077652194</v>
      </c>
      <c r="AI19" s="47" t="n">
        <v>0</v>
      </c>
      <c r="AJ19" s="35" t="n">
        <v>3</v>
      </c>
      <c r="AK19" s="47" t="n">
        <v>5</v>
      </c>
      <c r="AL19" s="35" t="n">
        <v>6</v>
      </c>
      <c r="AM19" s="47" t="n">
        <v>5</v>
      </c>
      <c r="AN19" s="35" t="n">
        <v>2</v>
      </c>
      <c r="AO19" s="47" t="n">
        <v>4</v>
      </c>
      <c r="AP19" s="48" t="n">
        <v>441</v>
      </c>
      <c r="AQ19" s="48" t="n">
        <v>1204</v>
      </c>
      <c r="AR19" s="49" t="n">
        <v>0</v>
      </c>
      <c r="AS19" s="49" t="n">
        <v>3</v>
      </c>
      <c r="AT19" s="49" t="n">
        <v>9</v>
      </c>
      <c r="AU19" s="49" t="n">
        <v>8.5</v>
      </c>
      <c r="AV19" s="49" t="n">
        <v>7</v>
      </c>
      <c r="AW19" s="49" t="n">
        <v>0</v>
      </c>
      <c r="AX19" s="49" t="n">
        <v>2</v>
      </c>
      <c r="AY19" s="50" t="n">
        <f aca="false">SUM(AR19:AX19)</f>
        <v>29.5</v>
      </c>
      <c r="AZ19" s="41" t="n">
        <v>2310</v>
      </c>
      <c r="BA19" s="51" t="s">
        <v>56</v>
      </c>
    </row>
    <row r="20" customFormat="false" ht="15" hidden="false" customHeight="false" outlineLevel="0" collapsed="false">
      <c r="A20" s="24" t="s">
        <v>94</v>
      </c>
      <c r="B20" s="24" t="s">
        <v>95</v>
      </c>
      <c r="C20" s="26" t="n">
        <f aca="false">((36*112)-(E20*112)-(F20))/112</f>
        <v>17.9464285714286</v>
      </c>
      <c r="D20" s="52" t="s">
        <v>96</v>
      </c>
      <c r="E20" s="53" t="n">
        <v>18</v>
      </c>
      <c r="F20" s="29" t="n">
        <f aca="false">$D$1-43632</f>
        <v>6</v>
      </c>
      <c r="G20" s="30"/>
      <c r="H20" s="38" t="n">
        <v>2</v>
      </c>
      <c r="I20" s="38" t="n">
        <v>1</v>
      </c>
      <c r="J20" s="32" t="n">
        <f aca="false">IF(H20=4,IF(I20=0,0.137+0.0697,0.137+0.02),IF(H20=3,IF(I20=0,0.0958+0.0697,0.0958+0.02),IF(H20=2,IF(I20=0,0.0415+0.0697,0.0415+0.02),IF(H20=1,IF(I20=0,0.0294+0.0697,0.0294+0.02),IF(H20=0,IF(I20=0,0.0063+0.0697,0.0063+0.02))))))</f>
        <v>0.0615</v>
      </c>
      <c r="K20" s="33" t="n">
        <v>2</v>
      </c>
      <c r="L20" s="56" t="n">
        <v>1</v>
      </c>
      <c r="M20" s="35" t="n">
        <f aca="false">LOG(L20+1)*4/3</f>
        <v>0.401373327551975</v>
      </c>
      <c r="N20" s="36" t="n">
        <f aca="false">(K20)*(K20)*(L20)</f>
        <v>4</v>
      </c>
      <c r="O20" s="36" t="n">
        <f aca="false">(K20+1)*(K20+1)*L20</f>
        <v>9</v>
      </c>
      <c r="P20" s="57" t="n">
        <v>4</v>
      </c>
      <c r="Q20" s="38" t="n">
        <f aca="false">P20*10+19</f>
        <v>59</v>
      </c>
      <c r="R20" s="39" t="n">
        <v>1.5</v>
      </c>
      <c r="S20" s="38" t="n">
        <v>4</v>
      </c>
      <c r="T20" s="40" t="n">
        <f aca="false">(S20/7)^0.5</f>
        <v>0.755928946018454</v>
      </c>
      <c r="U20" s="40" t="n">
        <f aca="false">IF(S20=7,1,((S20+0.99)/7)^0.5)</f>
        <v>0.844308677473555</v>
      </c>
      <c r="V20" s="41" t="n">
        <v>1260</v>
      </c>
      <c r="W20" s="42" t="n">
        <f aca="false">V20-AZ20</f>
        <v>0</v>
      </c>
      <c r="X20" s="41" t="n">
        <v>410</v>
      </c>
      <c r="Y20" s="44" t="n">
        <f aca="false">V20/X20</f>
        <v>3.07317073170732</v>
      </c>
      <c r="Z20" s="45" t="n">
        <f aca="false">(AK20+R20+M20)*(S20/7)^0.5</f>
        <v>3.70508997353933</v>
      </c>
      <c r="AA20" s="45" t="n">
        <f aca="false">(AK20+R20+M20)*(IF(S20=7, (S20/7)^0.5, ((S20+1)/7)^0.5))</f>
        <v>4.14241652179342</v>
      </c>
      <c r="AB20" s="44" t="n">
        <f aca="false">(((AJ20+R20+M20)+(AM20+R20+M20)*2)/8)*(S20/7)^0.5</f>
        <v>1.20042650357264</v>
      </c>
      <c r="AC20" s="44" t="n">
        <f aca="false">(1.66*(AN20+M20+R20)+0.55*(AO20+M20+R20)-7.6)*(S20/7)^0.5</f>
        <v>7.03923684357387</v>
      </c>
      <c r="AD20" s="44" t="n">
        <f aca="false">((AO20+M20+R20)*0.7+(AN20+M20+R20)*0.3)*(S20/7)^0.5</f>
        <v>5.44372654938177</v>
      </c>
      <c r="AE20" s="44" t="n">
        <f aca="false">(0.5*(AN20+R20+M20)+ 0.3*(AO20+R20+M20))/10</f>
        <v>0.602109866204158</v>
      </c>
      <c r="AF20" s="44" t="n">
        <f aca="false">(0.4*(AJ20+R20+M20)+0.3*(AO20+R20+M20))/10</f>
        <v>0.323096132928638</v>
      </c>
      <c r="AG20" s="46" t="n">
        <f aca="false">(AO20+R20+(LOG(L20)*4/3))*(S20/7)^0.5</f>
        <v>4.91353814911995</v>
      </c>
      <c r="AH20" s="46" t="n">
        <f aca="false">(AO20+R20+(LOG(L20)*4/3))*(IF(S20=7, (S20/7)^0.5, ((S20+1)/7)^0.5))</f>
        <v>5.49350265573536</v>
      </c>
      <c r="AI20" s="47" t="n">
        <v>0</v>
      </c>
      <c r="AJ20" s="35" t="n">
        <v>1</v>
      </c>
      <c r="AK20" s="47" t="n">
        <v>3</v>
      </c>
      <c r="AL20" s="35" t="n">
        <v>5</v>
      </c>
      <c r="AM20" s="47" t="n">
        <v>3</v>
      </c>
      <c r="AN20" s="35" t="n">
        <v>6</v>
      </c>
      <c r="AO20" s="47" t="n">
        <v>5</v>
      </c>
      <c r="AP20" s="48" t="n">
        <v>386</v>
      </c>
      <c r="AQ20" s="48" t="n">
        <v>1860</v>
      </c>
      <c r="AR20" s="49" t="n">
        <v>0</v>
      </c>
      <c r="AS20" s="49" t="n">
        <v>0</v>
      </c>
      <c r="AT20" s="49" t="n">
        <v>3</v>
      </c>
      <c r="AU20" s="49" t="n">
        <v>5.5</v>
      </c>
      <c r="AV20" s="49" t="n">
        <v>2</v>
      </c>
      <c r="AW20" s="49" t="n">
        <v>12</v>
      </c>
      <c r="AX20" s="49" t="n">
        <v>3</v>
      </c>
      <c r="AY20" s="50" t="n">
        <f aca="false">SUM(AR20:AX20)</f>
        <v>25.5</v>
      </c>
      <c r="AZ20" s="41" t="n">
        <v>1260</v>
      </c>
      <c r="BA20" s="51" t="s">
        <v>56</v>
      </c>
    </row>
    <row r="21" customFormat="false" ht="15" hidden="false" customHeight="false" outlineLevel="0" collapsed="false">
      <c r="A21" s="24" t="s">
        <v>97</v>
      </c>
      <c r="B21" s="24" t="s">
        <v>95</v>
      </c>
      <c r="C21" s="26" t="n">
        <f aca="false">((36*112)-(E21*112)-(F21))/112</f>
        <v>2.99107142857143</v>
      </c>
      <c r="D21" s="52" t="s">
        <v>98</v>
      </c>
      <c r="E21" s="53" t="n">
        <v>33</v>
      </c>
      <c r="F21" s="29" t="n">
        <f aca="false">$D$1-43637</f>
        <v>1</v>
      </c>
      <c r="G21" s="30"/>
      <c r="H21" s="38" t="n">
        <v>0</v>
      </c>
      <c r="I21" s="38" t="n">
        <v>4</v>
      </c>
      <c r="J21" s="32" t="n">
        <f aca="false">IF(H21=4,IF(I21=0,0.137+0.0697,0.137+0.02),IF(H21=3,IF(I21=0,0.0958+0.0697,0.0958+0.02),IF(H21=2,IF(I21=0,0.0415+0.0697,0.0415+0.02),IF(H21=1,IF(I21=0,0.0294+0.0697,0.0294+0.02),IF(H21=0,IF(I21=0,0.0063+0.0697,0.0063+0.02))))))</f>
        <v>0.0263</v>
      </c>
      <c r="K21" s="33" t="n">
        <v>2</v>
      </c>
      <c r="L21" s="56" t="n">
        <v>5</v>
      </c>
      <c r="M21" s="35" t="n">
        <f aca="false">LOG(L21+1)*4/3</f>
        <v>1.03753500051152</v>
      </c>
      <c r="N21" s="36" t="n">
        <f aca="false">(K21)*(K21)*(L21)</f>
        <v>20</v>
      </c>
      <c r="O21" s="36" t="n">
        <f aca="false">(K21+1)*(K21+1)*L21</f>
        <v>45</v>
      </c>
      <c r="P21" s="57" t="n">
        <v>5</v>
      </c>
      <c r="Q21" s="38" t="n">
        <f aca="false">P21*10+19</f>
        <v>69</v>
      </c>
      <c r="R21" s="39" t="n">
        <v>1.5</v>
      </c>
      <c r="S21" s="38" t="n">
        <v>5</v>
      </c>
      <c r="T21" s="40" t="n">
        <f aca="false">(S21/7)^0.5</f>
        <v>0.845154254728516</v>
      </c>
      <c r="U21" s="40" t="n">
        <f aca="false">IF(S21=7,1,((S21+0.99)/7)^0.5)</f>
        <v>0.925048261289261</v>
      </c>
      <c r="V21" s="41" t="n">
        <v>220</v>
      </c>
      <c r="W21" s="42" t="n">
        <f aca="false">V21-AZ21</f>
        <v>0</v>
      </c>
      <c r="X21" s="41" t="n">
        <v>310</v>
      </c>
      <c r="Y21" s="44" t="n">
        <f aca="false">V21/X21</f>
        <v>0.709677419354839</v>
      </c>
      <c r="Z21" s="45" t="n">
        <f aca="false">(AK21+R21+M21)*(S21/7)^0.5</f>
        <v>4.68007126639039</v>
      </c>
      <c r="AA21" s="45" t="n">
        <f aca="false">(AK21+R21+M21)*(IF(S21=7, (S21/7)^0.5, ((S21+1)/7)^0.5))</f>
        <v>5.12676120666758</v>
      </c>
      <c r="AB21" s="44" t="n">
        <f aca="false">(((AJ21+R21+M21)+(AM21+R21+M21)*2)/8)*(S21/7)^0.5</f>
        <v>1.64938244305533</v>
      </c>
      <c r="AC21" s="44" t="n">
        <f aca="false">(1.66*(AN21+M21+R21)+0.55*(AO21+M21+R21)-7.6)*(S21/7)^0.5</f>
        <v>8.12865335133406</v>
      </c>
      <c r="AD21" s="44" t="n">
        <f aca="false">((AO21+M21+R21)*0.7+(AN21+M21+R21)*0.3)*(S21/7)^0.5</f>
        <v>5.44071009564606</v>
      </c>
      <c r="AE21" s="44" t="n">
        <f aca="false">(0.5*(AN21+R21+M21)+ 0.3*(AO21+R21+M21))/10</f>
        <v>0.593002800040922</v>
      </c>
      <c r="AF21" s="44" t="n">
        <f aca="false">(0.4*(AJ21+R21+M21)+0.3*(AO21+R21+M21))/10</f>
        <v>0.347627450035807</v>
      </c>
      <c r="AG21" s="46" t="n">
        <f aca="false">(AO21+R21+(LOG(L21)*4/3))*(S21/7)^0.5</f>
        <v>4.59084411040125</v>
      </c>
      <c r="AH21" s="46" t="n">
        <f aca="false">(AO21+R21+(LOG(L21)*4/3))*(IF(S21=7, (S21/7)^0.5, ((S21+1)/7)^0.5))</f>
        <v>5.02901775451301</v>
      </c>
      <c r="AI21" s="47" t="n">
        <v>0</v>
      </c>
      <c r="AJ21" s="35" t="n">
        <v>2</v>
      </c>
      <c r="AK21" s="47" t="n">
        <v>3</v>
      </c>
      <c r="AL21" s="35" t="n">
        <v>2</v>
      </c>
      <c r="AM21" s="47" t="n">
        <v>3</v>
      </c>
      <c r="AN21" s="35" t="n">
        <v>6</v>
      </c>
      <c r="AO21" s="47" t="n">
        <v>3</v>
      </c>
      <c r="AP21" s="48" t="n">
        <v>339</v>
      </c>
      <c r="AQ21" s="48" t="n">
        <v>-275</v>
      </c>
      <c r="AR21" s="49" t="n">
        <v>0</v>
      </c>
      <c r="AS21" s="49" t="n">
        <v>0</v>
      </c>
      <c r="AT21" s="49" t="n">
        <v>3</v>
      </c>
      <c r="AU21" s="49" t="n">
        <v>0</v>
      </c>
      <c r="AV21" s="49" t="n">
        <v>2</v>
      </c>
      <c r="AW21" s="49" t="n">
        <v>12</v>
      </c>
      <c r="AX21" s="49" t="n">
        <v>1</v>
      </c>
      <c r="AY21" s="50" t="n">
        <f aca="false">SUM(AR21:AX21)</f>
        <v>18</v>
      </c>
      <c r="AZ21" s="41" t="n">
        <v>220</v>
      </c>
      <c r="BA21" s="51" t="s">
        <v>56</v>
      </c>
    </row>
    <row r="22" customFormat="false" ht="15" hidden="false" customHeight="false" outlineLevel="0" collapsed="false">
      <c r="A22" s="24" t="s">
        <v>99</v>
      </c>
      <c r="B22" s="24" t="s">
        <v>95</v>
      </c>
      <c r="C22" s="26" t="n">
        <f aca="false">((36*112)-(E22*112)-(F22))/112</f>
        <v>10.0446428571429</v>
      </c>
      <c r="D22" s="52" t="s">
        <v>100</v>
      </c>
      <c r="E22" s="53" t="n">
        <v>25</v>
      </c>
      <c r="F22" s="29" t="n">
        <f aca="false">$D$1-43531</f>
        <v>107</v>
      </c>
      <c r="G22" s="30"/>
      <c r="H22" s="38" t="n">
        <v>3</v>
      </c>
      <c r="I22" s="38" t="n">
        <v>3</v>
      </c>
      <c r="J22" s="32" t="n">
        <f aca="false">IF(H22=4,IF(I22=0,0.137+0.0697,0.137+0.02),IF(H22=3,IF(I22=0,0.0958+0.0697,0.0958+0.02),IF(H22=2,IF(I22=0,0.0415+0.0697,0.0415+0.02),IF(H22=1,IF(I22=0,0.0294+0.0697,0.0294+0.02),IF(H22=0,IF(I22=0,0.0063+0.0697,0.0063+0.02))))))</f>
        <v>0.1158</v>
      </c>
      <c r="K22" s="33" t="n">
        <v>4</v>
      </c>
      <c r="L22" s="56" t="n">
        <v>3</v>
      </c>
      <c r="M22" s="35" t="n">
        <f aca="false">LOG(L22+1)*4/3</f>
        <v>0.80274665510395</v>
      </c>
      <c r="N22" s="36" t="n">
        <f aca="false">(K22)*(K22)*(L22)</f>
        <v>48</v>
      </c>
      <c r="O22" s="36" t="n">
        <f aca="false">(K22+1)*(K22+1)*L22</f>
        <v>75</v>
      </c>
      <c r="P22" s="57" t="n">
        <v>5</v>
      </c>
      <c r="Q22" s="38" t="n">
        <f aca="false">P22*10+19</f>
        <v>69</v>
      </c>
      <c r="R22" s="39" t="n">
        <v>1.5</v>
      </c>
      <c r="S22" s="38" t="n">
        <v>3</v>
      </c>
      <c r="T22" s="40" t="n">
        <f aca="false">(S22/7)^0.5</f>
        <v>0.654653670707977</v>
      </c>
      <c r="U22" s="40" t="n">
        <f aca="false">IF(S22=7,1,((S22+0.99)/7)^0.5)</f>
        <v>0.754983443527075</v>
      </c>
      <c r="V22" s="41" t="n">
        <v>800</v>
      </c>
      <c r="W22" s="42" t="n">
        <f aca="false">V22-AZ22</f>
        <v>0</v>
      </c>
      <c r="X22" s="41" t="n">
        <v>310</v>
      </c>
      <c r="Y22" s="44" t="n">
        <f aca="false">V22/X22</f>
        <v>2.58064516129032</v>
      </c>
      <c r="Z22" s="45" t="n">
        <f aca="false">(AK22+R22+M22)*(S22/7)^0.5</f>
        <v>3.47146256259825</v>
      </c>
      <c r="AA22" s="45" t="n">
        <f aca="false">(AK22+R22+M22)*(IF(S22=7, (S22/7)^0.5, ((S22+1)/7)^0.5))</f>
        <v>4.00849968999561</v>
      </c>
      <c r="AB22" s="44" t="n">
        <f aca="false">(((AJ22+R22+M22)+(AM22+R22+M22)*2)/8)*(S22/7)^0.5</f>
        <v>1.54729358748983</v>
      </c>
      <c r="AC22" s="44" t="n">
        <f aca="false">(1.66*(AN22+M22+R22)+0.55*(AO22+M22+R22)-7.6)*(S22/7)^0.5</f>
        <v>4.5099550338226</v>
      </c>
      <c r="AD22" s="44" t="n">
        <f aca="false">((AO22+M22+R22)*0.7+(AN22+M22+R22)*0.3)*(S22/7)^0.5</f>
        <v>3.40599719552745</v>
      </c>
      <c r="AE22" s="44" t="n">
        <f aca="false">(0.5*(AN22+R22+M22)+ 0.3*(AO22+R22+M22))/10</f>
        <v>0.494219732408316</v>
      </c>
      <c r="AF22" s="44" t="n">
        <f aca="false">(0.4*(AJ22+R22+M22)+0.3*(AO22+R22+M22))/10</f>
        <v>0.301192265857276</v>
      </c>
      <c r="AG22" s="46" t="n">
        <f aca="false">(AO22+R22+(LOG(L22)*4/3))*(S22/7)^0.5</f>
        <v>2.70775342184462</v>
      </c>
      <c r="AH22" s="46" t="n">
        <f aca="false">(AO22+R22+(LOG(L22)*4/3))*(IF(S22=7, (S22/7)^0.5, ((S22+1)/7)^0.5))</f>
        <v>3.12664433400224</v>
      </c>
      <c r="AI22" s="47" t="n">
        <v>0</v>
      </c>
      <c r="AJ22" s="35" t="n">
        <v>2</v>
      </c>
      <c r="AK22" s="47" t="n">
        <v>3</v>
      </c>
      <c r="AL22" s="35" t="n">
        <v>2</v>
      </c>
      <c r="AM22" s="47" t="n">
        <v>5</v>
      </c>
      <c r="AN22" s="35" t="n">
        <v>5</v>
      </c>
      <c r="AO22" s="47" t="n">
        <v>2</v>
      </c>
      <c r="AP22" s="48" t="n">
        <v>351</v>
      </c>
      <c r="AQ22" s="48" t="n">
        <v>633</v>
      </c>
      <c r="AR22" s="49" t="n">
        <v>0</v>
      </c>
      <c r="AS22" s="49" t="n">
        <v>0</v>
      </c>
      <c r="AT22" s="49" t="n">
        <v>3</v>
      </c>
      <c r="AU22" s="49" t="n">
        <v>0</v>
      </c>
      <c r="AV22" s="49" t="n">
        <v>7</v>
      </c>
      <c r="AW22" s="49" t="n">
        <v>8</v>
      </c>
      <c r="AX22" s="49" t="n">
        <v>0</v>
      </c>
      <c r="AY22" s="50" t="n">
        <f aca="false">SUM(AR22:AX22)</f>
        <v>18</v>
      </c>
      <c r="AZ22" s="41" t="n">
        <v>800</v>
      </c>
      <c r="BA22" s="51" t="s">
        <v>56</v>
      </c>
    </row>
    <row r="23" customFormat="false" ht="15" hidden="false" customHeight="false" outlineLevel="0" collapsed="false">
      <c r="C23" s="62"/>
      <c r="D23" s="63"/>
      <c r="G23" s="64"/>
      <c r="L23" s="65"/>
      <c r="M23" s="65"/>
      <c r="P23" s="65"/>
      <c r="Q23" s="65"/>
      <c r="R23" s="65"/>
      <c r="S23" s="65"/>
      <c r="T23" s="65"/>
      <c r="U23" s="65"/>
      <c r="V23" s="66" t="n">
        <f aca="false">SUM(V5:V22)</f>
        <v>18390</v>
      </c>
      <c r="W23" s="66" t="n">
        <f aca="false">SUM(W5:W22)</f>
        <v>0</v>
      </c>
      <c r="X23" s="66" t="n">
        <f aca="false">SUM(X5:X22)</f>
        <v>7420</v>
      </c>
      <c r="Y23" s="67" t="n">
        <f aca="false">V23/X23</f>
        <v>2.47843665768194</v>
      </c>
      <c r="AB23" s="66"/>
      <c r="AC23" s="66"/>
      <c r="AD23" s="66"/>
      <c r="AE23" s="66"/>
      <c r="AF23" s="66"/>
      <c r="AG23" s="66"/>
      <c r="AH23" s="66"/>
      <c r="AO23" s="65"/>
      <c r="AP23" s="66"/>
      <c r="AQ23" s="66"/>
      <c r="BA23" s="65"/>
    </row>
    <row r="24" customFormat="false" ht="15" hidden="false" customHeight="false" outlineLevel="0" collapsed="false">
      <c r="C24" s="62"/>
      <c r="D24" s="63"/>
      <c r="G24" s="65"/>
      <c r="K24" s="64"/>
      <c r="N24" s="65"/>
      <c r="P24" s="65"/>
      <c r="Q24" s="65"/>
      <c r="R24" s="65"/>
      <c r="S24" s="65"/>
      <c r="T24" s="65"/>
      <c r="U24" s="65"/>
      <c r="V24" s="68"/>
      <c r="W24" s="68"/>
      <c r="X24" s="68"/>
      <c r="Y24" s="15"/>
      <c r="AB24" s="15"/>
      <c r="AC24" s="15"/>
      <c r="AD24" s="15"/>
      <c r="AE24" s="15"/>
      <c r="AF24" s="15"/>
      <c r="AG24" s="15"/>
      <c r="AH24" s="15"/>
      <c r="AI24" s="69"/>
      <c r="AP24" s="15"/>
      <c r="AQ24" s="15"/>
      <c r="BA24" s="65"/>
    </row>
    <row r="25" customFormat="false" ht="15" hidden="false" customHeight="false" outlineLevel="0" collapsed="false">
      <c r="C25" s="62"/>
      <c r="D25" s="63"/>
      <c r="G25" s="65"/>
      <c r="K25" s="64"/>
      <c r="L25" s="70"/>
      <c r="N25" s="65"/>
      <c r="P25" s="65"/>
      <c r="Q25" s="65"/>
      <c r="R25" s="65"/>
      <c r="S25" s="65"/>
      <c r="T25" s="65"/>
      <c r="U25" s="65"/>
      <c r="X25" s="69"/>
      <c r="Y25" s="69"/>
      <c r="AB25" s="69"/>
      <c r="AC25" s="69"/>
      <c r="AE25" s="69"/>
      <c r="AF25" s="69"/>
      <c r="AG25" s="69"/>
      <c r="AH25" s="69"/>
      <c r="AI25" s="69"/>
      <c r="AJ25" s="71"/>
      <c r="AP25" s="69"/>
      <c r="AQ25" s="69"/>
      <c r="BA25" s="65"/>
    </row>
    <row r="26" customFormat="false" ht="15" hidden="false" customHeight="false" outlineLevel="0" collapsed="false">
      <c r="C26" s="62"/>
      <c r="D26" s="72"/>
      <c r="G26" s="65"/>
      <c r="K26" s="64"/>
      <c r="L26" s="70"/>
      <c r="N26" s="65"/>
      <c r="P26" s="65"/>
      <c r="Q26" s="65"/>
      <c r="R26" s="73"/>
      <c r="S26" s="65"/>
      <c r="T26" s="65"/>
      <c r="U26" s="65"/>
      <c r="X26" s="69"/>
      <c r="Y26" s="69"/>
      <c r="AB26" s="69"/>
      <c r="AC26" s="69"/>
      <c r="AE26" s="69"/>
      <c r="AF26" s="69"/>
      <c r="AG26" s="69"/>
      <c r="AH26" s="69"/>
      <c r="AI26" s="69"/>
      <c r="AJ26" s="71"/>
      <c r="AP26" s="74"/>
      <c r="AQ26" s="74"/>
      <c r="BA26" s="65"/>
    </row>
    <row r="27" customFormat="false" ht="15" hidden="false" customHeight="false" outlineLevel="0" collapsed="false">
      <c r="C27" s="62"/>
      <c r="D27" s="72"/>
      <c r="G27" s="65"/>
      <c r="K27" s="64"/>
      <c r="L27" s="70"/>
      <c r="N27" s="65"/>
      <c r="P27" s="65"/>
      <c r="Q27" s="65"/>
      <c r="R27" s="73"/>
      <c r="S27" s="65"/>
      <c r="T27" s="65"/>
      <c r="U27" s="65"/>
      <c r="X27" s="75"/>
      <c r="Y27" s="69"/>
      <c r="AB27" s="69"/>
      <c r="AC27" s="69"/>
      <c r="AE27" s="69"/>
      <c r="AF27" s="69"/>
      <c r="AG27" s="69"/>
      <c r="AH27" s="69"/>
      <c r="AI27" s="69"/>
      <c r="AJ27" s="71"/>
      <c r="AP27" s="69"/>
      <c r="AQ27" s="69"/>
      <c r="BA27" s="65"/>
    </row>
    <row r="28" customFormat="false" ht="15" hidden="false" customHeight="false" outlineLevel="0" collapsed="false">
      <c r="C28" s="62"/>
      <c r="D28" s="65"/>
      <c r="G28" s="65"/>
      <c r="K28" s="64"/>
      <c r="L28" s="70"/>
      <c r="N28" s="65"/>
      <c r="P28" s="65"/>
      <c r="Q28" s="65"/>
      <c r="R28" s="65"/>
      <c r="S28" s="65"/>
      <c r="T28" s="65"/>
      <c r="U28" s="65"/>
      <c r="X28" s="75"/>
      <c r="Y28" s="69"/>
      <c r="AB28" s="69"/>
      <c r="AC28" s="69"/>
      <c r="AE28" s="69"/>
      <c r="AF28" s="69"/>
      <c r="AG28" s="69"/>
      <c r="AH28" s="69"/>
      <c r="AI28" s="69"/>
      <c r="AJ28" s="71"/>
      <c r="AP28" s="69"/>
      <c r="AQ28" s="69"/>
      <c r="BA28" s="65"/>
    </row>
    <row r="29" customFormat="false" ht="15" hidden="false" customHeight="false" outlineLevel="0" collapsed="false">
      <c r="C29" s="62"/>
      <c r="D29" s="63"/>
      <c r="G29" s="65"/>
      <c r="K29" s="64"/>
      <c r="L29" s="70"/>
      <c r="N29" s="65"/>
      <c r="P29" s="65"/>
      <c r="Q29" s="65"/>
      <c r="R29" s="65"/>
      <c r="S29" s="65"/>
      <c r="T29" s="65"/>
      <c r="U29" s="65"/>
      <c r="X29" s="69"/>
      <c r="Y29" s="69"/>
      <c r="AB29" s="69"/>
      <c r="AC29" s="69"/>
      <c r="AE29" s="69"/>
      <c r="AF29" s="69"/>
      <c r="AG29" s="69"/>
      <c r="AH29" s="69"/>
      <c r="AI29" s="69"/>
      <c r="AJ29" s="71"/>
      <c r="AP29" s="69"/>
      <c r="AQ29" s="69"/>
      <c r="BA29" s="65"/>
    </row>
    <row r="30" customFormat="false" ht="15" hidden="false" customHeight="false" outlineLevel="0" collapsed="false">
      <c r="C30" s="62"/>
      <c r="D30" s="63"/>
      <c r="G30" s="65"/>
      <c r="K30" s="64"/>
      <c r="L30" s="70"/>
      <c r="N30" s="65"/>
      <c r="P30" s="65"/>
      <c r="Q30" s="65"/>
      <c r="R30" s="65"/>
      <c r="S30" s="65"/>
      <c r="T30" s="65"/>
      <c r="U30" s="65"/>
      <c r="X30" s="75"/>
      <c r="Y30" s="69"/>
      <c r="AB30" s="69"/>
      <c r="AC30" s="69"/>
      <c r="AE30" s="69"/>
      <c r="AF30" s="69"/>
      <c r="AG30" s="69"/>
      <c r="AH30" s="69"/>
      <c r="AI30" s="69"/>
      <c r="AJ30" s="71"/>
      <c r="AP30" s="69"/>
      <c r="AQ30" s="69"/>
      <c r="BA30" s="65"/>
    </row>
    <row r="31" customFormat="false" ht="15" hidden="false" customHeight="false" outlineLevel="0" collapsed="false">
      <c r="C31" s="62"/>
      <c r="D31" s="63"/>
      <c r="G31" s="65"/>
      <c r="K31" s="64"/>
      <c r="L31" s="70"/>
      <c r="N31" s="65"/>
      <c r="P31" s="65"/>
      <c r="Q31" s="65"/>
      <c r="R31" s="65"/>
      <c r="S31" s="65"/>
      <c r="T31" s="65"/>
      <c r="U31" s="65"/>
      <c r="X31" s="69"/>
      <c r="Y31" s="69"/>
      <c r="AB31" s="69"/>
      <c r="AC31" s="69"/>
      <c r="AE31" s="69"/>
      <c r="AF31" s="69"/>
      <c r="AG31" s="69"/>
      <c r="AH31" s="69"/>
      <c r="AI31" s="69"/>
      <c r="AJ31" s="71"/>
      <c r="AP31" s="69"/>
      <c r="AQ31" s="69"/>
      <c r="BA31" s="65"/>
    </row>
  </sheetData>
  <mergeCells count="1">
    <mergeCell ref="E1:G1"/>
  </mergeCells>
  <conditionalFormatting sqref="Q6:Q22 Q4">
    <cfRule type="cellIs" priority="2" operator="greaterThan" aboveAverage="0" equalAverage="0" bottom="0" percent="0" rank="0" text="" dxfId="0">
      <formula>82</formula>
    </cfRule>
    <cfRule type="cellIs" priority="3" operator="lessThan" aboveAverage="0" equalAverage="0" bottom="0" percent="0" rank="0" text="" dxfId="1">
      <formula>79</formula>
    </cfRule>
  </conditionalFormatting>
  <conditionalFormatting sqref="S6:S22 S4">
    <cfRule type="cellIs" priority="4" operator="greaterThan" aboveAverage="0" equalAverage="0" bottom="0" percent="0" rank="0" text="" dxfId="2">
      <formula>6</formula>
    </cfRule>
    <cfRule type="cellIs" priority="5" operator="lessThan" aboveAverage="0" equalAverage="0" bottom="0" percent="0" rank="0" text="" dxfId="3">
      <formula>5</formula>
    </cfRule>
  </conditionalFormatting>
  <conditionalFormatting sqref="T6:U22 T4:U4">
    <cfRule type="cellIs" priority="6" operator="greaterThan" aboveAverage="0" equalAverage="0" bottom="0" percent="0" rank="0" text="" dxfId="4">
      <formula>0.95</formula>
    </cfRule>
    <cfRule type="cellIs" priority="7" operator="lessThan" aboveAverage="0" equalAverage="0" bottom="0" percent="0" rank="0" text="" dxfId="5">
      <formula>0.85</formula>
    </cfRule>
  </conditionalFormatting>
  <conditionalFormatting sqref="Q5">
    <cfRule type="cellIs" priority="8" operator="greaterThan" aboveAverage="0" equalAverage="0" bottom="0" percent="0" rank="0" text="" dxfId="6">
      <formula>82</formula>
    </cfRule>
    <cfRule type="cellIs" priority="9" operator="lessThan" aboveAverage="0" equalAverage="0" bottom="0" percent="0" rank="0" text="" dxfId="7">
      <formula>79</formula>
    </cfRule>
  </conditionalFormatting>
  <conditionalFormatting sqref="S5">
    <cfRule type="cellIs" priority="10" operator="greaterThan" aboveAverage="0" equalAverage="0" bottom="0" percent="0" rank="0" text="" dxfId="8">
      <formula>6</formula>
    </cfRule>
    <cfRule type="cellIs" priority="11" operator="lessThan" aboveAverage="0" equalAverage="0" bottom="0" percent="0" rank="0" text="" dxfId="9">
      <formula>5</formula>
    </cfRule>
  </conditionalFormatting>
  <conditionalFormatting sqref="T5:U5">
    <cfRule type="cellIs" priority="12" operator="greaterThan" aboveAverage="0" equalAverage="0" bottom="0" percent="0" rank="0" text="" dxfId="10">
      <formula>0.95</formula>
    </cfRule>
    <cfRule type="cellIs" priority="13" operator="lessThan" aboveAverage="0" equalAverage="0" bottom="0" percent="0" rank="0" text="" dxfId="11">
      <formula>0.85</formula>
    </cfRule>
  </conditionalFormatting>
  <conditionalFormatting sqref="J4:J22">
    <cfRule type="cellIs" priority="14" operator="lessThan" aboveAverage="0" equalAverage="0" bottom="0" percent="0" rank="0" text="" dxfId="12">
      <formula>0.07</formula>
    </cfRule>
    <cfRule type="cellIs" priority="15" operator="greaterThan" aboveAverage="0" equalAverage="0" bottom="0" percent="0" rank="0" text="" dxfId="13">
      <formula>0.1</formula>
    </cfRule>
  </conditionalFormatting>
  <conditionalFormatting sqref="X4:X22"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{2C9331B5-667B-4661-A3F3-70577FF1FB9C}</x14:id>
        </ext>
      </extLst>
    </cfRule>
  </conditionalFormatting>
  <conditionalFormatting sqref="Y4:Y22">
    <cfRule type="dataBar" priority="1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{87FAB8D6-4B87-4594-AC49-5BA1FD1713EB}</x14:id>
        </ext>
      </extLst>
    </cfRule>
  </conditionalFormatting>
  <conditionalFormatting sqref="V4:V22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{4710CC91-A9BD-48D0-A9DC-FC17D0E08317}</x14:id>
        </ext>
      </extLst>
    </cfRule>
  </conditionalFormatting>
  <conditionalFormatting sqref="AQ4:AQ22">
    <cfRule type="dataBar" priority="19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{753566C1-F965-4E12-9892-27C299FFDE3C}</x14:id>
        </ext>
      </extLst>
    </cfRule>
  </conditionalFormatting>
  <conditionalFormatting sqref="R4:R22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C4:C2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:AA2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2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C4:AC2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:AD22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E4:AF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22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I4:AO22">
    <cfRule type="cellIs" priority="28" operator="greaterThan" aboveAverage="0" equalAverage="0" bottom="0" percent="0" rank="0" text="" dxfId="14">
      <formula>10</formula>
    </cfRule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L4:L2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:AX22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Z4:AZ22">
    <cfRule type="dataBar" priority="3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{C595E1DE-B097-4E2A-A8F9-DC228A52E0AA}</x14:id>
        </ext>
      </extLst>
    </cfRule>
  </conditionalFormatting>
  <conditionalFormatting sqref="W4:W22">
    <cfRule type="dataBar" priority="3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{D0A3B081-32A1-4A2B-BA5E-8495B0CE35AF}</x14:id>
        </ext>
      </extLst>
    </cfRule>
  </conditionalFormatting>
  <conditionalFormatting sqref="AY4:AY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P22">
    <cfRule type="dataBar" priority="3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{A4CBB450-A01C-4417-A865-3C98CF813ED8}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9331B5-667B-4661-A3F3-70577FF1FB9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87FAB8D6-4B87-4594-AC49-5BA1FD1713E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4710CC91-A9BD-48D0-A9DC-FC17D0E0831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753566C1-F965-4E12-9892-27C299FFDE3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C595E1DE-B097-4E2A-A8F9-DC228A52E0A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D0A3B081-32A1-4A2B-BA5E-8495B0CE35A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A4CBB450-A01C-4417-A865-3C98CF813ED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L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8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23.42"/>
    <col collapsed="false" customWidth="true" hidden="false" outlineLevel="0" max="3" min="3" style="0" width="18"/>
    <col collapsed="false" customWidth="true" hidden="false" outlineLevel="0" max="8" min="4" style="0" width="15.74"/>
    <col collapsed="false" customWidth="true" hidden="false" outlineLevel="0" max="19" min="9" style="0" width="16.57"/>
    <col collapsed="false" customWidth="true" hidden="false" outlineLevel="0" max="20" min="20" style="0" width="13.65"/>
    <col collapsed="false" customWidth="true" hidden="false" outlineLevel="0" max="21" min="21" style="0" width="16.57"/>
    <col collapsed="false" customWidth="true" hidden="false" outlineLevel="0" max="26" min="22" style="0" width="10.67"/>
    <col collapsed="false" customWidth="true" hidden="false" outlineLevel="0" max="27" min="27" style="0" width="15.42"/>
    <col collapsed="false" customWidth="true" hidden="false" outlineLevel="0" max="28" min="28" style="0" width="9.71"/>
    <col collapsed="false" customWidth="true" hidden="false" outlineLevel="0" max="1025" min="29" style="0" width="10.67"/>
  </cols>
  <sheetData>
    <row r="1" customFormat="false" ht="22.05" hidden="false" customHeight="false" outlineLevel="0" collapsed="false">
      <c r="A1" s="76" t="s">
        <v>101</v>
      </c>
      <c r="B1" s="77"/>
      <c r="C1" s="77"/>
      <c r="D1" s="65"/>
      <c r="F1" s="78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</row>
    <row r="2" customFormat="false" ht="13.8" hidden="false" customHeight="false" outlineLevel="0" collapsed="false">
      <c r="A2" s="80"/>
      <c r="B2" s="81"/>
      <c r="C2" s="81"/>
      <c r="D2" s="82" t="n">
        <v>43637</v>
      </c>
      <c r="E2" s="82" t="n">
        <f aca="false">B2+7</f>
        <v>43644</v>
      </c>
      <c r="F2" s="82" t="n">
        <f aca="false">C2+7</f>
        <v>43651</v>
      </c>
      <c r="G2" s="82" t="n">
        <f aca="false">D2+7</f>
        <v>43658</v>
      </c>
      <c r="H2" s="82" t="n">
        <f aca="false">E2+7</f>
        <v>43665</v>
      </c>
      <c r="I2" s="82" t="n">
        <f aca="false">F2+7</f>
        <v>43672</v>
      </c>
      <c r="J2" s="82" t="n">
        <f aca="false">G2+7</f>
        <v>43679</v>
      </c>
      <c r="K2" s="82" t="n">
        <f aca="false">H2+7</f>
        <v>43686</v>
      </c>
      <c r="L2" s="82" t="n">
        <f aca="false">I2+7</f>
        <v>43693</v>
      </c>
      <c r="M2" s="82" t="n">
        <f aca="false">J2+7</f>
        <v>43700</v>
      </c>
      <c r="N2" s="82" t="n">
        <f aca="false">K2+7</f>
        <v>43707</v>
      </c>
      <c r="O2" s="82" t="n">
        <f aca="false">L2+7</f>
        <v>43714</v>
      </c>
      <c r="P2" s="82" t="n">
        <f aca="false">M2+7</f>
        <v>43721</v>
      </c>
      <c r="Q2" s="82" t="n">
        <f aca="false">N2+7</f>
        <v>43728</v>
      </c>
      <c r="R2" s="82" t="n">
        <f aca="false">O2+7</f>
        <v>43735</v>
      </c>
      <c r="S2" s="82" t="n">
        <f aca="false">P2+7</f>
        <v>43728</v>
      </c>
      <c r="T2" s="82" t="n">
        <f aca="false">Q2+7</f>
        <v>43735</v>
      </c>
      <c r="U2" s="82" t="n">
        <f aca="false">R2+7</f>
        <v>43742</v>
      </c>
      <c r="V2" s="8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</row>
    <row r="3" customFormat="false" ht="13.8" hidden="false" customHeight="false" outlineLevel="0" collapsed="false">
      <c r="A3" s="84"/>
      <c r="B3" s="84"/>
      <c r="C3" s="84" t="s">
        <v>102</v>
      </c>
      <c r="D3" s="85" t="s">
        <v>103</v>
      </c>
      <c r="E3" s="85" t="s">
        <v>104</v>
      </c>
      <c r="F3" s="85" t="s">
        <v>105</v>
      </c>
      <c r="G3" s="85" t="s">
        <v>106</v>
      </c>
      <c r="H3" s="85" t="s">
        <v>107</v>
      </c>
      <c r="I3" s="85" t="s">
        <v>108</v>
      </c>
      <c r="J3" s="85" t="s">
        <v>109</v>
      </c>
      <c r="K3" s="85" t="s">
        <v>110</v>
      </c>
      <c r="L3" s="85" t="s">
        <v>111</v>
      </c>
      <c r="M3" s="85" t="s">
        <v>112</v>
      </c>
      <c r="N3" s="85" t="s">
        <v>113</v>
      </c>
      <c r="O3" s="85" t="s">
        <v>114</v>
      </c>
      <c r="P3" s="85" t="s">
        <v>115</v>
      </c>
      <c r="Q3" s="85" t="s">
        <v>116</v>
      </c>
      <c r="R3" s="85" t="s">
        <v>117</v>
      </c>
      <c r="S3" s="85" t="s">
        <v>118</v>
      </c>
      <c r="T3" s="85" t="s">
        <v>103</v>
      </c>
      <c r="U3" s="85" t="s">
        <v>104</v>
      </c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customFormat="false" ht="13.8" hidden="false" customHeight="false" outlineLevel="0" collapsed="false">
      <c r="A4" s="87"/>
      <c r="B4" s="88"/>
      <c r="C4" s="88" t="s">
        <v>119</v>
      </c>
      <c r="D4" s="89" t="n">
        <v>100</v>
      </c>
      <c r="E4" s="89" t="n">
        <f aca="false">B4+(B11/30)</f>
        <v>100</v>
      </c>
      <c r="F4" s="89" t="n">
        <f aca="false">C4+(C11/30)</f>
        <v>110</v>
      </c>
      <c r="G4" s="89" t="n">
        <f aca="false">D4+(D11/30)</f>
        <v>120</v>
      </c>
      <c r="H4" s="89" t="n">
        <f aca="false">E4+(E11/30)</f>
        <v>130</v>
      </c>
      <c r="I4" s="89" t="n">
        <f aca="false">F4+(F11/30)</f>
        <v>140</v>
      </c>
      <c r="J4" s="89" t="n">
        <f aca="false">G4+(G11/30)</f>
        <v>150</v>
      </c>
      <c r="K4" s="89" t="n">
        <f aca="false">H4+(H11/30)</f>
        <v>160</v>
      </c>
      <c r="L4" s="89" t="n">
        <f aca="false">I4+(I11/30)</f>
        <v>170</v>
      </c>
      <c r="M4" s="89" t="n">
        <f aca="false">J4+(J11/30)</f>
        <v>180</v>
      </c>
      <c r="N4" s="89" t="n">
        <f aca="false">K4+(K11/30)</f>
        <v>190</v>
      </c>
      <c r="O4" s="89" t="n">
        <f aca="false">L4+(L11/30)</f>
        <v>200</v>
      </c>
      <c r="P4" s="89" t="n">
        <f aca="false">M4+(M11/30)</f>
        <v>210</v>
      </c>
      <c r="Q4" s="89" t="n">
        <f aca="false">N4+(N11/30)</f>
        <v>220</v>
      </c>
      <c r="R4" s="89" t="n">
        <f aca="false">O4+(O11/30)</f>
        <v>230</v>
      </c>
      <c r="S4" s="89" t="n">
        <f aca="false">P4+(P11/30)</f>
        <v>220</v>
      </c>
      <c r="T4" s="89" t="n">
        <f aca="false">Q4+(Q11/30)</f>
        <v>230</v>
      </c>
      <c r="U4" s="89" t="n">
        <f aca="false">R4+(R11/30)</f>
        <v>240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</row>
    <row r="5" customFormat="false" ht="17.35" hidden="false" customHeight="false" outlineLevel="0" collapsed="false">
      <c r="A5" s="91" t="s">
        <v>120</v>
      </c>
      <c r="B5" s="91"/>
      <c r="C5" s="92" t="n">
        <v>300000</v>
      </c>
      <c r="D5" s="93" t="n">
        <f aca="false">C5</f>
        <v>300000</v>
      </c>
      <c r="E5" s="93" t="n">
        <f aca="false">D24</f>
        <v>185000</v>
      </c>
      <c r="F5" s="93" t="n">
        <f aca="false">E24</f>
        <v>785665</v>
      </c>
      <c r="G5" s="93" t="n">
        <f aca="false">F24</f>
        <v>719565</v>
      </c>
      <c r="H5" s="93" t="n">
        <f aca="false">G24</f>
        <v>654365</v>
      </c>
      <c r="I5" s="93" t="n">
        <f aca="false">H24</f>
        <v>686565</v>
      </c>
      <c r="J5" s="93" t="n">
        <f aca="false">I24</f>
        <v>623165</v>
      </c>
      <c r="K5" s="93" t="n">
        <f aca="false">J24</f>
        <v>657165</v>
      </c>
      <c r="L5" s="93" t="n">
        <f aca="false">K24</f>
        <v>595565</v>
      </c>
      <c r="M5" s="93" t="n">
        <f aca="false">L24</f>
        <v>631365</v>
      </c>
      <c r="N5" s="93" t="n">
        <f aca="false">M24</f>
        <v>571565</v>
      </c>
      <c r="O5" s="93" t="n">
        <f aca="false">N24</f>
        <v>609165</v>
      </c>
      <c r="P5" s="93" t="n">
        <f aca="false">O24</f>
        <v>551165</v>
      </c>
      <c r="Q5" s="93" t="n">
        <f aca="false">P24</f>
        <v>590565</v>
      </c>
      <c r="R5" s="93" t="n">
        <f aca="false">Q24</f>
        <v>534365</v>
      </c>
      <c r="S5" s="93" t="n">
        <f aca="false">R24</f>
        <v>575565</v>
      </c>
      <c r="T5" s="93" t="n">
        <f aca="false">S24</f>
        <v>617666</v>
      </c>
      <c r="U5" s="93" t="n">
        <f aca="false">T24</f>
        <v>564166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</row>
    <row r="6" customFormat="false" ht="13.8" hidden="false" customHeight="false" outlineLevel="0" collapsed="false">
      <c r="A6" s="95" t="s">
        <v>121</v>
      </c>
      <c r="B6" s="95" t="s">
        <v>121</v>
      </c>
      <c r="C6" s="96" t="n">
        <f aca="false">SUM(D6:U6)</f>
        <v>735001</v>
      </c>
      <c r="D6" s="97" t="n">
        <v>0</v>
      </c>
      <c r="E6" s="97" t="n">
        <v>3500</v>
      </c>
      <c r="F6" s="97" t="n">
        <v>3500</v>
      </c>
      <c r="G6" s="97" t="n">
        <v>3500</v>
      </c>
      <c r="H6" s="97" t="n">
        <v>100000</v>
      </c>
      <c r="I6" s="97" t="n">
        <v>3500</v>
      </c>
      <c r="J6" s="97" t="n">
        <v>100000</v>
      </c>
      <c r="K6" s="97" t="n">
        <v>3500</v>
      </c>
      <c r="L6" s="97" t="n">
        <v>100000</v>
      </c>
      <c r="M6" s="97" t="n">
        <v>3500</v>
      </c>
      <c r="N6" s="97" t="n">
        <v>100000</v>
      </c>
      <c r="O6" s="97" t="n">
        <v>3500</v>
      </c>
      <c r="P6" s="97" t="n">
        <v>100000</v>
      </c>
      <c r="Q6" s="97" t="n">
        <v>3500</v>
      </c>
      <c r="R6" s="98" t="n">
        <v>100000</v>
      </c>
      <c r="S6" s="98" t="n">
        <v>100001</v>
      </c>
      <c r="T6" s="98" t="n">
        <v>3500</v>
      </c>
      <c r="U6" s="98" t="n">
        <v>3500</v>
      </c>
      <c r="V6" s="79"/>
      <c r="W6" s="79"/>
      <c r="X6" s="79"/>
      <c r="Y6" s="79"/>
      <c r="Z6" s="79"/>
      <c r="AA6" s="95" t="s">
        <v>121</v>
      </c>
      <c r="AB6" s="99" t="n">
        <f aca="false">C6/$C$13</f>
        <v>0.361455873428653</v>
      </c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customFormat="false" ht="13.8" hidden="false" customHeight="false" outlineLevel="0" collapsed="false">
      <c r="A7" s="95" t="s">
        <v>122</v>
      </c>
      <c r="B7" s="95" t="s">
        <v>122</v>
      </c>
      <c r="C7" s="96" t="n">
        <f aca="false">SUM(D7:U7)</f>
        <v>390345</v>
      </c>
      <c r="D7" s="100" t="n">
        <v>0</v>
      </c>
      <c r="E7" s="100" t="n">
        <v>30345</v>
      </c>
      <c r="F7" s="100" t="n">
        <v>15000</v>
      </c>
      <c r="G7" s="100" t="n">
        <f aca="false">F7+1000</f>
        <v>16000</v>
      </c>
      <c r="H7" s="100" t="n">
        <f aca="false">G7+1000</f>
        <v>17000</v>
      </c>
      <c r="I7" s="100" t="n">
        <f aca="false">H7+1000</f>
        <v>18000</v>
      </c>
      <c r="J7" s="100" t="n">
        <f aca="false">I7+1000</f>
        <v>19000</v>
      </c>
      <c r="K7" s="100" t="n">
        <f aca="false">J7+1000</f>
        <v>20000</v>
      </c>
      <c r="L7" s="100" t="n">
        <f aca="false">K7+1000</f>
        <v>21000</v>
      </c>
      <c r="M7" s="100" t="n">
        <f aca="false">L7+1000</f>
        <v>22000</v>
      </c>
      <c r="N7" s="100" t="n">
        <f aca="false">M7+1000</f>
        <v>23000</v>
      </c>
      <c r="O7" s="100" t="n">
        <f aca="false">N7+1000</f>
        <v>24000</v>
      </c>
      <c r="P7" s="100" t="n">
        <f aca="false">O7+1000</f>
        <v>25000</v>
      </c>
      <c r="Q7" s="100" t="n">
        <f aca="false">P7+1000</f>
        <v>26000</v>
      </c>
      <c r="R7" s="100" t="n">
        <f aca="false">Q7+1000</f>
        <v>27000</v>
      </c>
      <c r="S7" s="100" t="n">
        <f aca="false">R7+1000</f>
        <v>28000</v>
      </c>
      <c r="T7" s="100" t="n">
        <f aca="false">S7+1000</f>
        <v>29000</v>
      </c>
      <c r="U7" s="100" t="n">
        <f aca="false">T7+1000</f>
        <v>30000</v>
      </c>
      <c r="V7" s="79"/>
      <c r="W7" s="79"/>
      <c r="X7" s="79"/>
      <c r="Y7" s="79"/>
      <c r="Z7" s="79"/>
      <c r="AA7" s="95" t="s">
        <v>122</v>
      </c>
      <c r="AB7" s="99" t="n">
        <f aca="false">C7/$C$13</f>
        <v>0.19196231421931</v>
      </c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customFormat="false" ht="13.8" hidden="false" customHeight="false" outlineLevel="0" collapsed="false">
      <c r="A8" s="95" t="s">
        <v>123</v>
      </c>
      <c r="B8" s="95" t="s">
        <v>124</v>
      </c>
      <c r="C8" s="96" t="n">
        <f aca="false">SUM(D8:U8)</f>
        <v>0</v>
      </c>
      <c r="D8" s="97" t="n">
        <v>0</v>
      </c>
      <c r="E8" s="97" t="n">
        <v>0</v>
      </c>
      <c r="F8" s="97" t="n">
        <v>0</v>
      </c>
      <c r="G8" s="97" t="n">
        <v>0</v>
      </c>
      <c r="H8" s="97" t="n">
        <v>0</v>
      </c>
      <c r="I8" s="97" t="n">
        <v>0</v>
      </c>
      <c r="J8" s="97" t="n">
        <v>0</v>
      </c>
      <c r="K8" s="97" t="n">
        <v>0</v>
      </c>
      <c r="L8" s="97" t="n">
        <v>0</v>
      </c>
      <c r="M8" s="97" t="n">
        <v>0</v>
      </c>
      <c r="N8" s="97" t="n">
        <v>0</v>
      </c>
      <c r="O8" s="97" t="n">
        <v>0</v>
      </c>
      <c r="P8" s="97" t="n">
        <v>0</v>
      </c>
      <c r="Q8" s="97" t="n">
        <v>0</v>
      </c>
      <c r="R8" s="97" t="n">
        <v>0</v>
      </c>
      <c r="S8" s="97" t="n">
        <v>0</v>
      </c>
      <c r="T8" s="97" t="n">
        <v>0</v>
      </c>
      <c r="U8" s="97" t="n">
        <v>0</v>
      </c>
      <c r="V8" s="79"/>
      <c r="W8" s="79"/>
      <c r="X8" s="79"/>
      <c r="Y8" s="79"/>
      <c r="Z8" s="79"/>
      <c r="AA8" s="95" t="s">
        <v>124</v>
      </c>
      <c r="AB8" s="99" t="n">
        <f aca="false">C8/$C$13</f>
        <v>0</v>
      </c>
      <c r="AC8" s="79"/>
      <c r="AD8" s="79"/>
      <c r="AE8" s="79"/>
      <c r="AF8" s="79"/>
      <c r="AG8" s="79"/>
      <c r="AH8" s="79"/>
      <c r="AI8" s="79"/>
      <c r="AJ8" s="79"/>
      <c r="AK8" s="79"/>
      <c r="AL8" s="79"/>
    </row>
    <row r="9" customFormat="false" ht="13.8" hidden="false" customHeight="false" outlineLevel="0" collapsed="false">
      <c r="A9" s="95"/>
      <c r="B9" s="95" t="s">
        <v>125</v>
      </c>
      <c r="C9" s="96" t="n">
        <f aca="false">SUM(D9:U9)</f>
        <v>0</v>
      </c>
      <c r="D9" s="97" t="n">
        <v>0</v>
      </c>
      <c r="E9" s="97" t="n">
        <v>0</v>
      </c>
      <c r="F9" s="97" t="n">
        <v>0</v>
      </c>
      <c r="G9" s="97" t="n">
        <v>0</v>
      </c>
      <c r="H9" s="97" t="n">
        <v>0</v>
      </c>
      <c r="I9" s="97" t="n">
        <v>0</v>
      </c>
      <c r="J9" s="97" t="n">
        <v>0</v>
      </c>
      <c r="K9" s="97" t="n">
        <v>0</v>
      </c>
      <c r="L9" s="97" t="n">
        <v>0</v>
      </c>
      <c r="M9" s="97" t="n">
        <v>0</v>
      </c>
      <c r="N9" s="97" t="n">
        <v>0</v>
      </c>
      <c r="O9" s="97" t="n">
        <v>0</v>
      </c>
      <c r="P9" s="97" t="n">
        <v>0</v>
      </c>
      <c r="Q9" s="97" t="n">
        <v>0</v>
      </c>
      <c r="R9" s="97" t="n">
        <v>0</v>
      </c>
      <c r="S9" s="97" t="n">
        <v>0</v>
      </c>
      <c r="T9" s="97" t="n">
        <v>0</v>
      </c>
      <c r="U9" s="97" t="n">
        <v>0</v>
      </c>
      <c r="V9" s="79"/>
      <c r="W9" s="79"/>
      <c r="X9" s="79"/>
      <c r="Y9" s="79"/>
      <c r="Z9" s="79"/>
      <c r="AA9" s="95" t="s">
        <v>125</v>
      </c>
      <c r="AB9" s="99" t="n">
        <f aca="false">C9/$C$13</f>
        <v>0</v>
      </c>
      <c r="AC9" s="79"/>
      <c r="AD9" s="79"/>
      <c r="AE9" s="79"/>
      <c r="AF9" s="79"/>
      <c r="AG9" s="79"/>
      <c r="AH9" s="79"/>
      <c r="AI9" s="79"/>
      <c r="AJ9" s="79"/>
      <c r="AK9" s="79"/>
      <c r="AL9" s="79"/>
    </row>
    <row r="10" customFormat="false" ht="13.8" hidden="false" customHeight="false" outlineLevel="0" collapsed="false">
      <c r="A10" s="95" t="s">
        <v>126</v>
      </c>
      <c r="B10" s="95" t="s">
        <v>126</v>
      </c>
      <c r="C10" s="96" t="n">
        <f aca="false">SUM(D10:U10)</f>
        <v>0</v>
      </c>
      <c r="D10" s="100" t="n">
        <v>0</v>
      </c>
      <c r="E10" s="100" t="n">
        <v>0</v>
      </c>
      <c r="F10" s="100" t="n">
        <v>0</v>
      </c>
      <c r="G10" s="100" t="n">
        <v>0</v>
      </c>
      <c r="H10" s="100" t="n">
        <v>0</v>
      </c>
      <c r="I10" s="100" t="n">
        <v>0</v>
      </c>
      <c r="J10" s="100" t="n">
        <v>0</v>
      </c>
      <c r="K10" s="100" t="n">
        <v>0</v>
      </c>
      <c r="L10" s="100" t="n">
        <v>0</v>
      </c>
      <c r="M10" s="100" t="n">
        <v>0</v>
      </c>
      <c r="N10" s="100" t="n">
        <v>0</v>
      </c>
      <c r="O10" s="100" t="n">
        <v>0</v>
      </c>
      <c r="P10" s="100" t="n">
        <v>0</v>
      </c>
      <c r="Q10" s="100" t="n">
        <v>0</v>
      </c>
      <c r="R10" s="100" t="n">
        <v>0</v>
      </c>
      <c r="S10" s="97" t="n">
        <v>0</v>
      </c>
      <c r="T10" s="97" t="n">
        <v>0</v>
      </c>
      <c r="U10" s="97" t="n">
        <v>0</v>
      </c>
      <c r="V10" s="79"/>
      <c r="W10" s="79"/>
      <c r="X10" s="79"/>
      <c r="Y10" s="79"/>
      <c r="Z10" s="79"/>
      <c r="AA10" s="95" t="s">
        <v>126</v>
      </c>
      <c r="AB10" s="99" t="n">
        <f aca="false">C10/$C$13</f>
        <v>0</v>
      </c>
      <c r="AC10" s="79"/>
      <c r="AD10" s="79"/>
      <c r="AE10" s="79"/>
      <c r="AF10" s="79"/>
      <c r="AG10" s="79"/>
      <c r="AH10" s="79"/>
      <c r="AI10" s="79"/>
      <c r="AJ10" s="79"/>
      <c r="AK10" s="79"/>
      <c r="AL10" s="79"/>
    </row>
    <row r="11" customFormat="false" ht="13.8" hidden="false" customHeight="true" outlineLevel="0" collapsed="false">
      <c r="A11" s="101" t="s">
        <v>127</v>
      </c>
      <c r="B11" s="95" t="s">
        <v>128</v>
      </c>
      <c r="C11" s="96" t="n">
        <f aca="false">SUM(D11:U11)</f>
        <v>5100</v>
      </c>
      <c r="D11" s="100" t="n">
        <v>0</v>
      </c>
      <c r="E11" s="100" t="n">
        <v>300</v>
      </c>
      <c r="F11" s="100" t="n">
        <v>300</v>
      </c>
      <c r="G11" s="100" t="n">
        <v>300</v>
      </c>
      <c r="H11" s="100" t="n">
        <v>300</v>
      </c>
      <c r="I11" s="100" t="n">
        <v>300</v>
      </c>
      <c r="J11" s="100" t="n">
        <v>300</v>
      </c>
      <c r="K11" s="100" t="n">
        <v>300</v>
      </c>
      <c r="L11" s="100" t="n">
        <v>300</v>
      </c>
      <c r="M11" s="100" t="n">
        <v>300</v>
      </c>
      <c r="N11" s="100" t="n">
        <v>300</v>
      </c>
      <c r="O11" s="100" t="n">
        <v>300</v>
      </c>
      <c r="P11" s="100" t="n">
        <v>300</v>
      </c>
      <c r="Q11" s="100" t="n">
        <v>300</v>
      </c>
      <c r="R11" s="100" t="n">
        <v>300</v>
      </c>
      <c r="S11" s="100" t="n">
        <v>300</v>
      </c>
      <c r="T11" s="100" t="n">
        <v>300</v>
      </c>
      <c r="U11" s="100" t="n">
        <v>300</v>
      </c>
      <c r="V11" s="79"/>
      <c r="W11" s="79"/>
      <c r="X11" s="79"/>
      <c r="Y11" s="79"/>
      <c r="Z11" s="79"/>
      <c r="AA11" s="95" t="s">
        <v>128</v>
      </c>
      <c r="AB11" s="99" t="n">
        <f aca="false">C11/$C$13</f>
        <v>0.00250805775024269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</row>
    <row r="12" customFormat="false" ht="13.8" hidden="false" customHeight="false" outlineLevel="0" collapsed="false">
      <c r="A12" s="101"/>
      <c r="B12" s="95" t="s">
        <v>129</v>
      </c>
      <c r="C12" s="96" t="n">
        <f aca="false">SUM(D12:U12)</f>
        <v>903000</v>
      </c>
      <c r="D12" s="100" t="n">
        <v>0</v>
      </c>
      <c r="E12" s="100" t="n">
        <v>903000</v>
      </c>
      <c r="F12" s="100" t="n">
        <v>0</v>
      </c>
      <c r="G12" s="100" t="n">
        <v>0</v>
      </c>
      <c r="H12" s="100" t="n">
        <v>0</v>
      </c>
      <c r="I12" s="100" t="n">
        <v>0</v>
      </c>
      <c r="J12" s="100" t="n">
        <v>0</v>
      </c>
      <c r="K12" s="100" t="n">
        <v>0</v>
      </c>
      <c r="L12" s="100" t="n">
        <v>0</v>
      </c>
      <c r="M12" s="100" t="n">
        <v>0</v>
      </c>
      <c r="N12" s="100" t="n">
        <v>0</v>
      </c>
      <c r="O12" s="100" t="n">
        <v>0</v>
      </c>
      <c r="P12" s="100" t="n">
        <v>0</v>
      </c>
      <c r="Q12" s="100" t="n">
        <v>0</v>
      </c>
      <c r="R12" s="100" t="n">
        <v>0</v>
      </c>
      <c r="S12" s="100" t="n">
        <v>0</v>
      </c>
      <c r="T12" s="100" t="n">
        <v>0</v>
      </c>
      <c r="U12" s="100" t="n">
        <v>0</v>
      </c>
      <c r="V12" s="79"/>
      <c r="W12" s="79"/>
      <c r="X12" s="79"/>
      <c r="Y12" s="79"/>
      <c r="Z12" s="79"/>
      <c r="AA12" s="95" t="s">
        <v>129</v>
      </c>
      <c r="AB12" s="99" t="n">
        <f aca="false">C12/$C$13</f>
        <v>0.444073754601794</v>
      </c>
      <c r="AC12" s="79"/>
      <c r="AD12" s="79"/>
      <c r="AE12" s="79"/>
      <c r="AF12" s="79"/>
      <c r="AG12" s="79"/>
      <c r="AH12" s="79"/>
      <c r="AI12" s="79"/>
      <c r="AJ12" s="79"/>
      <c r="AK12" s="79"/>
      <c r="AL12" s="79"/>
    </row>
    <row r="13" customFormat="false" ht="17.35" hidden="false" customHeight="false" outlineLevel="0" collapsed="false">
      <c r="A13" s="102" t="s">
        <v>130</v>
      </c>
      <c r="B13" s="103"/>
      <c r="C13" s="104" t="n">
        <f aca="false">SUM(D13:U13)</f>
        <v>2033446</v>
      </c>
      <c r="D13" s="105" t="n">
        <f aca="false">SUM(D6:D12)</f>
        <v>0</v>
      </c>
      <c r="E13" s="105" t="n">
        <f aca="false">SUM(E6:E12)</f>
        <v>937145</v>
      </c>
      <c r="F13" s="105" t="n">
        <f aca="false">F12+F11+F10+F9+F8+F7+F6</f>
        <v>18800</v>
      </c>
      <c r="G13" s="105" t="n">
        <f aca="false">SUM(G6:G12)</f>
        <v>19800</v>
      </c>
      <c r="H13" s="105" t="n">
        <f aca="false">SUM(H6:H12)</f>
        <v>117300</v>
      </c>
      <c r="I13" s="105" t="n">
        <f aca="false">SUM(I6:I12)</f>
        <v>21800</v>
      </c>
      <c r="J13" s="105" t="n">
        <f aca="false">SUM(J6:J12)</f>
        <v>119300</v>
      </c>
      <c r="K13" s="105" t="n">
        <f aca="false">SUM(K6:K12)</f>
        <v>23800</v>
      </c>
      <c r="L13" s="105" t="n">
        <f aca="false">SUM(L6:L12)</f>
        <v>121300</v>
      </c>
      <c r="M13" s="105" t="n">
        <f aca="false">SUM(M6:M12)</f>
        <v>25800</v>
      </c>
      <c r="N13" s="105" t="n">
        <f aca="false">SUM(N6:N12)</f>
        <v>123300</v>
      </c>
      <c r="O13" s="105" t="n">
        <f aca="false">SUM(O6:O12)</f>
        <v>27800</v>
      </c>
      <c r="P13" s="105" t="n">
        <f aca="false">SUM(P6:P12)</f>
        <v>125300</v>
      </c>
      <c r="Q13" s="105" t="n">
        <f aca="false">SUM(Q6:Q12)</f>
        <v>29800</v>
      </c>
      <c r="R13" s="105" t="n">
        <f aca="false">SUM(R6:R12)</f>
        <v>127300</v>
      </c>
      <c r="S13" s="105" t="n">
        <f aca="false">SUM(S6:S12)</f>
        <v>128301</v>
      </c>
      <c r="T13" s="105" t="n">
        <f aca="false">SUM(T6:T12)</f>
        <v>32800</v>
      </c>
      <c r="U13" s="105" t="n">
        <f aca="false">SUM(U6:U12)</f>
        <v>33800</v>
      </c>
      <c r="V13" s="106"/>
      <c r="W13" s="106"/>
      <c r="X13" s="106"/>
      <c r="Y13" s="106"/>
      <c r="Z13" s="106"/>
      <c r="AA13" s="106"/>
      <c r="AB13" s="107" t="n">
        <f aca="false">SUM(AB6:AB12)</f>
        <v>1</v>
      </c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</row>
    <row r="14" customFormat="false" ht="17.35" hidden="false" customHeight="false" outlineLevel="0" collapsed="false">
      <c r="A14" s="108" t="s">
        <v>131</v>
      </c>
      <c r="B14" s="109" t="str">
        <f aca="false">A14</f>
        <v>Sueldos</v>
      </c>
      <c r="C14" s="110" t="n">
        <f aca="false">SUM(D14:U14)</f>
        <v>150280</v>
      </c>
      <c r="D14" s="111" t="n">
        <v>0</v>
      </c>
      <c r="E14" s="111" t="n">
        <v>8040</v>
      </c>
      <c r="F14" s="111" t="n">
        <f aca="false">E14+100</f>
        <v>8140</v>
      </c>
      <c r="G14" s="111" t="n">
        <f aca="false">F14+100</f>
        <v>8240</v>
      </c>
      <c r="H14" s="111" t="n">
        <f aca="false">G14+100</f>
        <v>8340</v>
      </c>
      <c r="I14" s="111" t="n">
        <f aca="false">H14+100</f>
        <v>8440</v>
      </c>
      <c r="J14" s="111" t="n">
        <f aca="false">I14+100</f>
        <v>8540</v>
      </c>
      <c r="K14" s="111" t="n">
        <f aca="false">J14+100</f>
        <v>8640</v>
      </c>
      <c r="L14" s="111" t="n">
        <f aca="false">K14+100</f>
        <v>8740</v>
      </c>
      <c r="M14" s="111" t="n">
        <f aca="false">L14+100</f>
        <v>8840</v>
      </c>
      <c r="N14" s="111" t="n">
        <f aca="false">M14+100</f>
        <v>8940</v>
      </c>
      <c r="O14" s="111" t="n">
        <f aca="false">N14+100</f>
        <v>9040</v>
      </c>
      <c r="P14" s="111" t="n">
        <f aca="false">O14+100</f>
        <v>9140</v>
      </c>
      <c r="Q14" s="111" t="n">
        <f aca="false">P14+100</f>
        <v>9240</v>
      </c>
      <c r="R14" s="111" t="n">
        <f aca="false">Q14+100</f>
        <v>9340</v>
      </c>
      <c r="S14" s="111" t="n">
        <f aca="false">R14+100</f>
        <v>9440</v>
      </c>
      <c r="T14" s="111" t="n">
        <f aca="false">S14+100</f>
        <v>9540</v>
      </c>
      <c r="U14" s="111" t="n">
        <f aca="false">T14+100</f>
        <v>9640</v>
      </c>
      <c r="V14" s="79"/>
      <c r="W14" s="79"/>
      <c r="X14" s="79"/>
      <c r="Y14" s="79"/>
      <c r="Z14" s="79"/>
      <c r="AA14" s="112" t="n">
        <f aca="false">C13</f>
        <v>2033446</v>
      </c>
      <c r="AB14" s="112"/>
      <c r="AC14" s="79"/>
      <c r="AD14" s="79"/>
      <c r="AE14" s="79"/>
      <c r="AF14" s="79"/>
      <c r="AG14" s="79"/>
      <c r="AH14" s="79"/>
      <c r="AI14" s="79"/>
      <c r="AJ14" s="79"/>
      <c r="AK14" s="79"/>
      <c r="AL14" s="79"/>
    </row>
    <row r="15" customFormat="false" ht="13.8" hidden="false" customHeight="false" outlineLevel="0" collapsed="false">
      <c r="A15" s="108" t="s">
        <v>132</v>
      </c>
      <c r="B15" s="109" t="str">
        <f aca="false">A15</f>
        <v>Mantenimiento </v>
      </c>
      <c r="C15" s="110" t="n">
        <f aca="false">SUM(D15:U15)</f>
        <v>131900</v>
      </c>
      <c r="D15" s="111" t="n">
        <v>0</v>
      </c>
      <c r="E15" s="111" t="n">
        <v>7100</v>
      </c>
      <c r="F15" s="111" t="n">
        <v>7800</v>
      </c>
      <c r="G15" s="111" t="n">
        <f aca="false">F15</f>
        <v>7800</v>
      </c>
      <c r="H15" s="111" t="n">
        <f aca="false">G15</f>
        <v>7800</v>
      </c>
      <c r="I15" s="111" t="n">
        <f aca="false">H15</f>
        <v>7800</v>
      </c>
      <c r="J15" s="111" t="n">
        <f aca="false">I15</f>
        <v>7800</v>
      </c>
      <c r="K15" s="111" t="n">
        <f aca="false">J15</f>
        <v>7800</v>
      </c>
      <c r="L15" s="111" t="n">
        <f aca="false">K15</f>
        <v>7800</v>
      </c>
      <c r="M15" s="111" t="n">
        <f aca="false">L15</f>
        <v>7800</v>
      </c>
      <c r="N15" s="111" t="n">
        <f aca="false">M15</f>
        <v>7800</v>
      </c>
      <c r="O15" s="111" t="n">
        <f aca="false">N15</f>
        <v>7800</v>
      </c>
      <c r="P15" s="111" t="n">
        <f aca="false">O15</f>
        <v>7800</v>
      </c>
      <c r="Q15" s="111" t="n">
        <f aca="false">P15</f>
        <v>7800</v>
      </c>
      <c r="R15" s="111" t="n">
        <f aca="false">Q15</f>
        <v>7800</v>
      </c>
      <c r="S15" s="111" t="n">
        <f aca="false">R15</f>
        <v>7800</v>
      </c>
      <c r="T15" s="111" t="n">
        <f aca="false">S15</f>
        <v>7800</v>
      </c>
      <c r="U15" s="111" t="n">
        <f aca="false">T15</f>
        <v>7800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</row>
    <row r="16" customFormat="false" ht="23.25" hidden="false" customHeight="true" outlineLevel="0" collapsed="false">
      <c r="A16" s="108" t="s">
        <v>133</v>
      </c>
      <c r="B16" s="109" t="s">
        <v>134</v>
      </c>
      <c r="C16" s="110" t="n">
        <f aca="false">SUM(D16:U16)</f>
        <v>88000</v>
      </c>
      <c r="D16" s="111" t="n">
        <v>88000</v>
      </c>
      <c r="E16" s="111" t="n">
        <v>0</v>
      </c>
      <c r="F16" s="111" t="n">
        <v>0</v>
      </c>
      <c r="G16" s="111" t="n">
        <v>0</v>
      </c>
      <c r="H16" s="111" t="n">
        <v>0</v>
      </c>
      <c r="I16" s="111" t="n">
        <v>0</v>
      </c>
      <c r="J16" s="111" t="n">
        <v>0</v>
      </c>
      <c r="K16" s="111" t="n">
        <v>0</v>
      </c>
      <c r="L16" s="111" t="n">
        <v>0</v>
      </c>
      <c r="M16" s="111" t="n">
        <v>0</v>
      </c>
      <c r="N16" s="111" t="n">
        <v>0</v>
      </c>
      <c r="O16" s="111" t="n">
        <v>0</v>
      </c>
      <c r="P16" s="111" t="n">
        <v>0</v>
      </c>
      <c r="Q16" s="111" t="n">
        <v>0</v>
      </c>
      <c r="R16" s="111" t="n">
        <v>0</v>
      </c>
      <c r="S16" s="111" t="n">
        <v>0</v>
      </c>
      <c r="T16" s="111" t="n">
        <v>0</v>
      </c>
      <c r="U16" s="111" t="n">
        <v>0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</row>
    <row r="17" customFormat="false" ht="13.8" hidden="false" customHeight="false" outlineLevel="0" collapsed="false">
      <c r="A17" s="108" t="s">
        <v>135</v>
      </c>
      <c r="B17" s="109" t="str">
        <f aca="false">A17</f>
        <v>Empleados</v>
      </c>
      <c r="C17" s="110" t="n">
        <f aca="false">SUM(D17:U17)</f>
        <v>816000</v>
      </c>
      <c r="D17" s="111" t="n">
        <v>0</v>
      </c>
      <c r="E17" s="111" t="n">
        <v>32640</v>
      </c>
      <c r="F17" s="111" t="n">
        <v>48960</v>
      </c>
      <c r="G17" s="111" t="n">
        <f aca="false">F17</f>
        <v>48960</v>
      </c>
      <c r="H17" s="111" t="n">
        <f aca="false">G17</f>
        <v>48960</v>
      </c>
      <c r="I17" s="111" t="n">
        <f aca="false">H17</f>
        <v>48960</v>
      </c>
      <c r="J17" s="111" t="n">
        <f aca="false">I17</f>
        <v>48960</v>
      </c>
      <c r="K17" s="111" t="n">
        <f aca="false">J17</f>
        <v>48960</v>
      </c>
      <c r="L17" s="111" t="n">
        <f aca="false">K17</f>
        <v>48960</v>
      </c>
      <c r="M17" s="111" t="n">
        <f aca="false">L17</f>
        <v>48960</v>
      </c>
      <c r="N17" s="111" t="n">
        <f aca="false">M17</f>
        <v>48960</v>
      </c>
      <c r="O17" s="111" t="n">
        <f aca="false">N17</f>
        <v>48960</v>
      </c>
      <c r="P17" s="111" t="n">
        <f aca="false">O17</f>
        <v>48960</v>
      </c>
      <c r="Q17" s="111" t="n">
        <f aca="false">P17</f>
        <v>48960</v>
      </c>
      <c r="R17" s="111" t="n">
        <f aca="false">Q17</f>
        <v>48960</v>
      </c>
      <c r="S17" s="111" t="n">
        <f aca="false">R17</f>
        <v>48960</v>
      </c>
      <c r="T17" s="111" t="n">
        <f aca="false">S17</f>
        <v>48960</v>
      </c>
      <c r="U17" s="111" t="n">
        <f aca="false">T17</f>
        <v>48960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</row>
    <row r="18" customFormat="false" ht="13.8" hidden="false" customHeight="false" outlineLevel="0" collapsed="false">
      <c r="A18" s="108" t="s">
        <v>136</v>
      </c>
      <c r="B18" s="109" t="str">
        <f aca="false">A18</f>
        <v>Juveniles</v>
      </c>
      <c r="C18" s="110" t="n">
        <f aca="false">SUM(D18:U18)</f>
        <v>360000</v>
      </c>
      <c r="D18" s="111" t="n">
        <f aca="false">[1]EconomiaT49!S18</f>
        <v>20000</v>
      </c>
      <c r="E18" s="111" t="n">
        <f aca="false">D18</f>
        <v>20000</v>
      </c>
      <c r="F18" s="111" t="n">
        <f aca="false">E18</f>
        <v>20000</v>
      </c>
      <c r="G18" s="111" t="n">
        <f aca="false">F18</f>
        <v>20000</v>
      </c>
      <c r="H18" s="111" t="n">
        <f aca="false">G18</f>
        <v>20000</v>
      </c>
      <c r="I18" s="111" t="n">
        <f aca="false">H18</f>
        <v>20000</v>
      </c>
      <c r="J18" s="111" t="n">
        <f aca="false">I18</f>
        <v>20000</v>
      </c>
      <c r="K18" s="111" t="n">
        <f aca="false">J18</f>
        <v>20000</v>
      </c>
      <c r="L18" s="111" t="n">
        <f aca="false">K18</f>
        <v>20000</v>
      </c>
      <c r="M18" s="111" t="n">
        <f aca="false">L18</f>
        <v>20000</v>
      </c>
      <c r="N18" s="111" t="n">
        <f aca="false">M18</f>
        <v>20000</v>
      </c>
      <c r="O18" s="111" t="n">
        <f aca="false">N18</f>
        <v>20000</v>
      </c>
      <c r="P18" s="111" t="n">
        <f aca="false">O18</f>
        <v>20000</v>
      </c>
      <c r="Q18" s="111" t="n">
        <f aca="false">P18</f>
        <v>20000</v>
      </c>
      <c r="R18" s="111" t="n">
        <f aca="false">Q18</f>
        <v>20000</v>
      </c>
      <c r="S18" s="111" t="n">
        <f aca="false">R18</f>
        <v>20000</v>
      </c>
      <c r="T18" s="111" t="n">
        <f aca="false">S18</f>
        <v>20000</v>
      </c>
      <c r="U18" s="111" t="n">
        <f aca="false">T18</f>
        <v>20000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</row>
    <row r="19" customFormat="false" ht="13.8" hidden="false" customHeight="false" outlineLevel="0" collapsed="false">
      <c r="A19" s="108" t="s">
        <v>137</v>
      </c>
      <c r="B19" s="109" t="s">
        <v>138</v>
      </c>
      <c r="C19" s="110" t="n">
        <f aca="false">SUM(D19:U19)</f>
        <v>0</v>
      </c>
      <c r="D19" s="111" t="n">
        <f aca="false">[1]EconomiaT49!S19</f>
        <v>0</v>
      </c>
      <c r="E19" s="111" t="n">
        <f aca="false">D19</f>
        <v>0</v>
      </c>
      <c r="F19" s="111" t="n">
        <f aca="false">E19</f>
        <v>0</v>
      </c>
      <c r="G19" s="111" t="n">
        <f aca="false">F19</f>
        <v>0</v>
      </c>
      <c r="H19" s="111" t="n">
        <f aca="false">G19</f>
        <v>0</v>
      </c>
      <c r="I19" s="111" t="n">
        <f aca="false">H19</f>
        <v>0</v>
      </c>
      <c r="J19" s="111" t="n">
        <f aca="false">I19</f>
        <v>0</v>
      </c>
      <c r="K19" s="111" t="n">
        <f aca="false">J19</f>
        <v>0</v>
      </c>
      <c r="L19" s="111" t="n">
        <f aca="false">K19</f>
        <v>0</v>
      </c>
      <c r="M19" s="111" t="n">
        <f aca="false">L19</f>
        <v>0</v>
      </c>
      <c r="N19" s="111" t="n">
        <f aca="false">M19</f>
        <v>0</v>
      </c>
      <c r="O19" s="111" t="n">
        <f aca="false">N19</f>
        <v>0</v>
      </c>
      <c r="P19" s="111" t="n">
        <f aca="false">O19</f>
        <v>0</v>
      </c>
      <c r="Q19" s="111" t="n">
        <f aca="false">P19</f>
        <v>0</v>
      </c>
      <c r="R19" s="111" t="n">
        <f aca="false">Q19</f>
        <v>0</v>
      </c>
      <c r="S19" s="111" t="n">
        <f aca="false">R19</f>
        <v>0</v>
      </c>
      <c r="T19" s="111" t="n">
        <f aca="false">S19</f>
        <v>0</v>
      </c>
      <c r="U19" s="111" t="n">
        <f aca="false">T19</f>
        <v>0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</row>
    <row r="20" customFormat="false" ht="13.8" hidden="false" customHeight="false" outlineLevel="0" collapsed="false">
      <c r="A20" s="113" t="s">
        <v>127</v>
      </c>
      <c r="B20" s="109" t="s">
        <v>139</v>
      </c>
      <c r="C20" s="110" t="n">
        <f aca="false">SUM(D20:U20)</f>
        <v>268700</v>
      </c>
      <c r="D20" s="111" t="n">
        <f aca="false">[1]EconomiaT49!S20</f>
        <v>0</v>
      </c>
      <c r="E20" s="111" t="n">
        <v>268700</v>
      </c>
      <c r="F20" s="111" t="n">
        <v>0</v>
      </c>
      <c r="G20" s="111" t="n">
        <f aca="false">F20</f>
        <v>0</v>
      </c>
      <c r="H20" s="111" t="n">
        <f aca="false">G20</f>
        <v>0</v>
      </c>
      <c r="I20" s="111" t="n">
        <f aca="false">H20</f>
        <v>0</v>
      </c>
      <c r="J20" s="111" t="n">
        <f aca="false">I20</f>
        <v>0</v>
      </c>
      <c r="K20" s="111" t="n">
        <f aca="false">J20</f>
        <v>0</v>
      </c>
      <c r="L20" s="111" t="n">
        <f aca="false">K20</f>
        <v>0</v>
      </c>
      <c r="M20" s="111" t="n">
        <f aca="false">L20</f>
        <v>0</v>
      </c>
      <c r="N20" s="111" t="n">
        <f aca="false">M20</f>
        <v>0</v>
      </c>
      <c r="O20" s="111" t="n">
        <f aca="false">N20</f>
        <v>0</v>
      </c>
      <c r="P20" s="111" t="n">
        <f aca="false">O20</f>
        <v>0</v>
      </c>
      <c r="Q20" s="111" t="n">
        <f aca="false">P20</f>
        <v>0</v>
      </c>
      <c r="R20" s="111" t="n">
        <f aca="false">Q20</f>
        <v>0</v>
      </c>
      <c r="S20" s="111" t="n">
        <f aca="false">R20</f>
        <v>0</v>
      </c>
      <c r="T20" s="111" t="n">
        <f aca="false">S20</f>
        <v>0</v>
      </c>
      <c r="U20" s="111" t="n">
        <f aca="false">T20</f>
        <v>0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</row>
    <row r="21" customFormat="false" ht="13.8" hidden="false" customHeight="false" outlineLevel="0" collapsed="false">
      <c r="A21" s="113"/>
      <c r="B21" s="109" t="s">
        <v>140</v>
      </c>
      <c r="C21" s="110" t="n">
        <f aca="false">SUM(D21:U21)</f>
        <v>7000</v>
      </c>
      <c r="D21" s="111" t="n">
        <v>7000</v>
      </c>
      <c r="E21" s="111" t="n">
        <v>0</v>
      </c>
      <c r="F21" s="111" t="n">
        <v>0</v>
      </c>
      <c r="G21" s="111" t="n">
        <v>0</v>
      </c>
      <c r="H21" s="111" t="n">
        <v>0</v>
      </c>
      <c r="I21" s="111" t="n">
        <v>0</v>
      </c>
      <c r="J21" s="111" t="n">
        <v>0</v>
      </c>
      <c r="K21" s="111" t="n">
        <v>0</v>
      </c>
      <c r="L21" s="111" t="n">
        <v>0</v>
      </c>
      <c r="M21" s="111" t="n">
        <v>0</v>
      </c>
      <c r="N21" s="111" t="n">
        <v>0</v>
      </c>
      <c r="O21" s="111" t="n">
        <v>0</v>
      </c>
      <c r="P21" s="111" t="n">
        <v>0</v>
      </c>
      <c r="Q21" s="111" t="n">
        <v>0</v>
      </c>
      <c r="R21" s="111" t="n">
        <v>0</v>
      </c>
      <c r="S21" s="111" t="n">
        <v>0</v>
      </c>
      <c r="T21" s="111" t="n">
        <v>0</v>
      </c>
      <c r="U21" s="111" t="n">
        <v>0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</row>
    <row r="22" customFormat="false" ht="13.8" hidden="false" customHeight="false" outlineLevel="0" collapsed="false">
      <c r="A22" s="108" t="s">
        <v>141</v>
      </c>
      <c r="B22" s="109" t="str">
        <f aca="false">A22</f>
        <v>Intereses</v>
      </c>
      <c r="C22" s="110" t="n">
        <f aca="false">SUM(D22:U22)</f>
        <v>0</v>
      </c>
      <c r="D22" s="111" t="n">
        <f aca="false">[1]EconomiaT49!S22</f>
        <v>0</v>
      </c>
      <c r="E22" s="111" t="n">
        <f aca="false">D22</f>
        <v>0</v>
      </c>
      <c r="F22" s="111" t="n">
        <f aca="false">E22</f>
        <v>0</v>
      </c>
      <c r="G22" s="111" t="n">
        <f aca="false">F22</f>
        <v>0</v>
      </c>
      <c r="H22" s="111" t="n">
        <f aca="false">G22</f>
        <v>0</v>
      </c>
      <c r="I22" s="111" t="n">
        <f aca="false">H22</f>
        <v>0</v>
      </c>
      <c r="J22" s="111" t="n">
        <f aca="false">I22</f>
        <v>0</v>
      </c>
      <c r="K22" s="111" t="n">
        <f aca="false">J22</f>
        <v>0</v>
      </c>
      <c r="L22" s="111" t="n">
        <f aca="false">K22</f>
        <v>0</v>
      </c>
      <c r="M22" s="111" t="n">
        <f aca="false">L22</f>
        <v>0</v>
      </c>
      <c r="N22" s="111" t="n">
        <f aca="false">M22</f>
        <v>0</v>
      </c>
      <c r="O22" s="111" t="n">
        <f aca="false">N22</f>
        <v>0</v>
      </c>
      <c r="P22" s="111" t="n">
        <f aca="false">O22</f>
        <v>0</v>
      </c>
      <c r="Q22" s="111" t="n">
        <f aca="false">P22</f>
        <v>0</v>
      </c>
      <c r="R22" s="111" t="n">
        <f aca="false">Q22</f>
        <v>0</v>
      </c>
      <c r="S22" s="111" t="n">
        <f aca="false">R22</f>
        <v>0</v>
      </c>
      <c r="T22" s="111" t="n">
        <f aca="false">S22</f>
        <v>0</v>
      </c>
      <c r="U22" s="111" t="n">
        <f aca="false">T22</f>
        <v>0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</row>
    <row r="23" customFormat="false" ht="17.35" hidden="false" customHeight="false" outlineLevel="0" collapsed="false">
      <c r="A23" s="114" t="s">
        <v>142</v>
      </c>
      <c r="B23" s="115"/>
      <c r="C23" s="116" t="n">
        <f aca="false">SUM(D23:U23)</f>
        <v>1821880</v>
      </c>
      <c r="D23" s="117" t="n">
        <f aca="false">SUM(D14:D22)</f>
        <v>115000</v>
      </c>
      <c r="E23" s="117" t="n">
        <f aca="false">SUM(E14:E22)</f>
        <v>336480</v>
      </c>
      <c r="F23" s="117" t="n">
        <f aca="false">SUM(F14:F22)</f>
        <v>84900</v>
      </c>
      <c r="G23" s="117" t="n">
        <f aca="false">SUM(G14:G22)</f>
        <v>85000</v>
      </c>
      <c r="H23" s="117" t="n">
        <f aca="false">SUM(H14:H22)</f>
        <v>85100</v>
      </c>
      <c r="I23" s="117" t="n">
        <f aca="false">SUM(I14:I22)</f>
        <v>85200</v>
      </c>
      <c r="J23" s="117" t="n">
        <f aca="false">SUM(J14:J22)</f>
        <v>85300</v>
      </c>
      <c r="K23" s="117" t="n">
        <f aca="false">SUM(K14:K22)</f>
        <v>85400</v>
      </c>
      <c r="L23" s="117" t="n">
        <f aca="false">SUM(L14:L22)</f>
        <v>85500</v>
      </c>
      <c r="M23" s="117" t="n">
        <f aca="false">SUM(M14:M22)</f>
        <v>85600</v>
      </c>
      <c r="N23" s="117" t="n">
        <f aca="false">SUM(N14:N22)</f>
        <v>85700</v>
      </c>
      <c r="O23" s="117" t="n">
        <f aca="false">SUM(O14:O22)</f>
        <v>85800</v>
      </c>
      <c r="P23" s="117" t="n">
        <f aca="false">SUM(P14:P22)</f>
        <v>85900</v>
      </c>
      <c r="Q23" s="117" t="n">
        <f aca="false">SUM(Q14:Q22)</f>
        <v>86000</v>
      </c>
      <c r="R23" s="117" t="n">
        <f aca="false">SUM(R14:R22)</f>
        <v>86100</v>
      </c>
      <c r="S23" s="117" t="n">
        <f aca="false">SUM(S14:S22)</f>
        <v>86200</v>
      </c>
      <c r="T23" s="117" t="n">
        <f aca="false">SUM(T14:T22)</f>
        <v>86300</v>
      </c>
      <c r="U23" s="117" t="n">
        <f aca="false">SUM(U14:U22)</f>
        <v>86400</v>
      </c>
      <c r="V23" s="118"/>
      <c r="W23" s="118"/>
      <c r="X23" s="118"/>
      <c r="Y23" s="118"/>
      <c r="Z23" s="118"/>
      <c r="AA23" s="109" t="s">
        <v>131</v>
      </c>
      <c r="AB23" s="119" t="n">
        <f aca="false">C14/$C$23</f>
        <v>0.0824862230223725</v>
      </c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</row>
    <row r="24" customFormat="false" ht="17.35" hidden="false" customHeight="false" outlineLevel="0" collapsed="false">
      <c r="A24" s="120" t="s">
        <v>143</v>
      </c>
      <c r="B24" s="120"/>
      <c r="C24" s="93" t="n">
        <f aca="false">C5+C13-C23</f>
        <v>511566</v>
      </c>
      <c r="D24" s="93" t="n">
        <f aca="false">D5+D13-D23</f>
        <v>185000</v>
      </c>
      <c r="E24" s="93" t="n">
        <f aca="false">E5+E13-E23</f>
        <v>785665</v>
      </c>
      <c r="F24" s="93" t="n">
        <f aca="false">F5+F13-F23</f>
        <v>719565</v>
      </c>
      <c r="G24" s="93" t="n">
        <f aca="false">G5+G13-G23</f>
        <v>654365</v>
      </c>
      <c r="H24" s="93" t="n">
        <f aca="false">H5+H13-H23</f>
        <v>686565</v>
      </c>
      <c r="I24" s="93" t="n">
        <f aca="false">I5+I13-I23</f>
        <v>623165</v>
      </c>
      <c r="J24" s="93" t="n">
        <f aca="false">J5+J13-J23</f>
        <v>657165</v>
      </c>
      <c r="K24" s="93" t="n">
        <f aca="false">K5+K13-K23</f>
        <v>595565</v>
      </c>
      <c r="L24" s="93" t="n">
        <f aca="false">L5+L13-L23</f>
        <v>631365</v>
      </c>
      <c r="M24" s="93" t="n">
        <f aca="false">M5+M13-M23</f>
        <v>571565</v>
      </c>
      <c r="N24" s="93" t="n">
        <f aca="false">N5+N13-N23</f>
        <v>609165</v>
      </c>
      <c r="O24" s="93" t="n">
        <f aca="false">O5+O13-O23</f>
        <v>551165</v>
      </c>
      <c r="P24" s="93" t="n">
        <f aca="false">P5+P13-P23</f>
        <v>590565</v>
      </c>
      <c r="Q24" s="93" t="n">
        <f aca="false">Q5+Q13-Q23</f>
        <v>534365</v>
      </c>
      <c r="R24" s="93" t="n">
        <f aca="false">R5+R13-R23</f>
        <v>575565</v>
      </c>
      <c r="S24" s="93" t="n">
        <f aca="false">S5+S13-S23</f>
        <v>617666</v>
      </c>
      <c r="T24" s="93" t="n">
        <f aca="false">T5+T13-T23</f>
        <v>564166</v>
      </c>
      <c r="U24" s="93" t="n">
        <f aca="false">U5+U13-U23</f>
        <v>511566</v>
      </c>
      <c r="V24" s="94"/>
      <c r="W24" s="94"/>
      <c r="X24" s="94"/>
      <c r="Y24" s="94"/>
      <c r="Z24" s="94"/>
      <c r="AA24" s="109" t="s">
        <v>132</v>
      </c>
      <c r="AB24" s="119" t="n">
        <f aca="false">C15/$C$23</f>
        <v>0.0723977429907568</v>
      </c>
      <c r="AC24" s="94"/>
      <c r="AD24" s="94"/>
      <c r="AE24" s="94"/>
      <c r="AF24" s="94"/>
      <c r="AG24" s="94"/>
      <c r="AH24" s="94"/>
      <c r="AI24" s="94"/>
      <c r="AJ24" s="94"/>
      <c r="AK24" s="94"/>
      <c r="AL24" s="94"/>
    </row>
    <row r="25" customFormat="false" ht="13.8" hidden="false" customHeight="false" outlineLevel="0" collapsed="false">
      <c r="A25" s="121"/>
      <c r="B25" s="121"/>
      <c r="C25" s="121"/>
      <c r="D25" s="122" t="n">
        <f aca="false">D2+7</f>
        <v>43644</v>
      </c>
      <c r="E25" s="122" t="n">
        <f aca="false">B25+7</f>
        <v>43651</v>
      </c>
      <c r="F25" s="122" t="n">
        <f aca="false">C25+7</f>
        <v>43658</v>
      </c>
      <c r="G25" s="122" t="n">
        <f aca="false">D25+7</f>
        <v>43665</v>
      </c>
      <c r="H25" s="122" t="n">
        <f aca="false">E25+7</f>
        <v>43672</v>
      </c>
      <c r="I25" s="122" t="n">
        <f aca="false">F25+7</f>
        <v>43679</v>
      </c>
      <c r="J25" s="122" t="n">
        <f aca="false">G25+7</f>
        <v>43686</v>
      </c>
      <c r="K25" s="122" t="n">
        <f aca="false">H25+7</f>
        <v>43693</v>
      </c>
      <c r="L25" s="122" t="n">
        <f aca="false">I25+7</f>
        <v>43700</v>
      </c>
      <c r="M25" s="122" t="n">
        <f aca="false">J25+7</f>
        <v>43707</v>
      </c>
      <c r="N25" s="122" t="n">
        <f aca="false">K25+7</f>
        <v>43714</v>
      </c>
      <c r="O25" s="122" t="n">
        <f aca="false">L25+7</f>
        <v>43721</v>
      </c>
      <c r="P25" s="122" t="n">
        <f aca="false">M25+7</f>
        <v>43728</v>
      </c>
      <c r="Q25" s="122" t="n">
        <f aca="false">N25+7</f>
        <v>43735</v>
      </c>
      <c r="R25" s="122" t="n">
        <f aca="false">O25+7</f>
        <v>43742</v>
      </c>
      <c r="S25" s="122" t="n">
        <f aca="false">P25+7</f>
        <v>43735</v>
      </c>
      <c r="T25" s="122" t="n">
        <f aca="false">Q25+7</f>
        <v>43742</v>
      </c>
      <c r="U25" s="122" t="n">
        <f aca="false">R25+7</f>
        <v>43749</v>
      </c>
      <c r="V25" s="80"/>
      <c r="W25" s="80"/>
      <c r="X25" s="80"/>
      <c r="Y25" s="80"/>
      <c r="Z25" s="80"/>
      <c r="AA25" s="109" t="s">
        <v>134</v>
      </c>
      <c r="AB25" s="119" t="n">
        <f aca="false">C16/$C$23</f>
        <v>0.0483017542318923</v>
      </c>
      <c r="AC25" s="80"/>
      <c r="AD25" s="80"/>
      <c r="AE25" s="80"/>
      <c r="AF25" s="80"/>
      <c r="AG25" s="80"/>
      <c r="AH25" s="80"/>
      <c r="AI25" s="80"/>
      <c r="AJ25" s="80"/>
      <c r="AK25" s="80"/>
      <c r="AL25" s="80"/>
    </row>
    <row r="26" customFormat="false" ht="13.8" hidden="false" customHeight="true" outlineLevel="0" collapsed="false">
      <c r="A26" s="123" t="s">
        <v>144</v>
      </c>
      <c r="B26" s="123"/>
      <c r="C26" s="124" t="n">
        <f aca="false">C6+C7+C11</f>
        <v>1130446</v>
      </c>
      <c r="D26" s="124" t="n">
        <f aca="false">D6+D7+D11</f>
        <v>0</v>
      </c>
      <c r="E26" s="124" t="n">
        <f aca="false">E6+E7+E11</f>
        <v>34145</v>
      </c>
      <c r="F26" s="124" t="n">
        <f aca="false">F6+F7+F11</f>
        <v>18800</v>
      </c>
      <c r="G26" s="124" t="n">
        <f aca="false">G6+G7+G11</f>
        <v>19800</v>
      </c>
      <c r="H26" s="124" t="n">
        <f aca="false">H6+H7+H11</f>
        <v>117300</v>
      </c>
      <c r="I26" s="124" t="n">
        <f aca="false">I6+I7+I11</f>
        <v>21800</v>
      </c>
      <c r="J26" s="124" t="n">
        <f aca="false">J6+J7+J11</f>
        <v>119300</v>
      </c>
      <c r="K26" s="124" t="n">
        <f aca="false">K6+K7+K11</f>
        <v>23800</v>
      </c>
      <c r="L26" s="124" t="n">
        <f aca="false">L6+L7+L11</f>
        <v>121300</v>
      </c>
      <c r="M26" s="124" t="n">
        <f aca="false">M6+M7+M11</f>
        <v>25800</v>
      </c>
      <c r="N26" s="124" t="n">
        <f aca="false">N6+N7+N11</f>
        <v>123300</v>
      </c>
      <c r="O26" s="124" t="n">
        <f aca="false">O6+O7+O11</f>
        <v>27800</v>
      </c>
      <c r="P26" s="124" t="n">
        <f aca="false">P6+P7+P11</f>
        <v>125300</v>
      </c>
      <c r="Q26" s="124" t="n">
        <f aca="false">Q6+Q7+Q11</f>
        <v>29800</v>
      </c>
      <c r="R26" s="124" t="n">
        <f aca="false">R6+R7+R11</f>
        <v>127300</v>
      </c>
      <c r="S26" s="124"/>
      <c r="T26" s="124"/>
      <c r="U26" s="124" t="n">
        <f aca="false">U6+U7+U11</f>
        <v>33800</v>
      </c>
      <c r="V26" s="125"/>
      <c r="W26" s="80"/>
      <c r="X26" s="80"/>
      <c r="Y26" s="80"/>
      <c r="Z26" s="80"/>
      <c r="AA26" s="109" t="s">
        <v>135</v>
      </c>
      <c r="AB26" s="119" t="n">
        <f aca="false">C17/$C$23</f>
        <v>0.447888993786638</v>
      </c>
      <c r="AC26" s="80"/>
      <c r="AD26" s="80"/>
      <c r="AE26" s="80"/>
      <c r="AF26" s="80"/>
      <c r="AG26" s="80"/>
      <c r="AH26" s="80"/>
      <c r="AI26" s="80"/>
      <c r="AJ26" s="80"/>
      <c r="AK26" s="80"/>
      <c r="AL26" s="80"/>
    </row>
    <row r="27" customFormat="false" ht="13.8" hidden="false" customHeight="true" outlineLevel="0" collapsed="false">
      <c r="A27" s="126" t="s">
        <v>145</v>
      </c>
      <c r="B27" s="126"/>
      <c r="C27" s="127" t="n">
        <f aca="false">C14+C15+C17+C18+C21</f>
        <v>1465180</v>
      </c>
      <c r="D27" s="127" t="n">
        <f aca="false">D14+D15+D17+D18+D21</f>
        <v>27000</v>
      </c>
      <c r="E27" s="127" t="n">
        <f aca="false">E14+E15+E17+E18+E21</f>
        <v>67780</v>
      </c>
      <c r="F27" s="127" t="n">
        <f aca="false">F14+F15+F17+F18+F21</f>
        <v>84900</v>
      </c>
      <c r="G27" s="127" t="n">
        <f aca="false">G14+G15+G17+G18+G21</f>
        <v>85000</v>
      </c>
      <c r="H27" s="127" t="n">
        <f aca="false">H14+H15+H17+H18+H21</f>
        <v>85100</v>
      </c>
      <c r="I27" s="127" t="n">
        <f aca="false">I14+I15+I17+I18+I21</f>
        <v>85200</v>
      </c>
      <c r="J27" s="127" t="n">
        <f aca="false">J14+J15+J17+J18+J21</f>
        <v>85300</v>
      </c>
      <c r="K27" s="127" t="n">
        <f aca="false">K14+K15+K17+K18+K21</f>
        <v>85400</v>
      </c>
      <c r="L27" s="127" t="n">
        <f aca="false">L14+L15+L17+L18+L21</f>
        <v>85500</v>
      </c>
      <c r="M27" s="127" t="n">
        <f aca="false">M14+M15+M17+M18+M21</f>
        <v>85600</v>
      </c>
      <c r="N27" s="127" t="n">
        <f aca="false">N14+N15+N17+N18+N21</f>
        <v>85700</v>
      </c>
      <c r="O27" s="127" t="n">
        <f aca="false">O14+O15+O17+O18+O21</f>
        <v>85800</v>
      </c>
      <c r="P27" s="127" t="n">
        <f aca="false">P14+P15+P17+P18+P21</f>
        <v>85900</v>
      </c>
      <c r="Q27" s="127" t="n">
        <f aca="false">Q14+Q15+Q17+Q18+Q21</f>
        <v>86000</v>
      </c>
      <c r="R27" s="127" t="n">
        <f aca="false">R14+R15+R17+R18+R21</f>
        <v>86100</v>
      </c>
      <c r="S27" s="127"/>
      <c r="T27" s="127"/>
      <c r="U27" s="127" t="n">
        <f aca="false">U14+U15+U17+U18+U21</f>
        <v>86400</v>
      </c>
      <c r="V27" s="128"/>
      <c r="W27" s="80"/>
      <c r="X27" s="80"/>
      <c r="Y27" s="80"/>
      <c r="Z27" s="80"/>
      <c r="AA27" s="109" t="s">
        <v>136</v>
      </c>
      <c r="AB27" s="119" t="n">
        <f aca="false">C18/$C$23</f>
        <v>0.197598085494105</v>
      </c>
      <c r="AC27" s="80"/>
      <c r="AD27" s="80"/>
      <c r="AE27" s="80"/>
      <c r="AF27" s="80"/>
      <c r="AG27" s="80"/>
      <c r="AH27" s="80"/>
      <c r="AI27" s="80"/>
      <c r="AJ27" s="80"/>
      <c r="AK27" s="80"/>
      <c r="AL27" s="80"/>
    </row>
    <row r="28" customFormat="false" ht="13.8" hidden="false" customHeight="false" outlineLevel="0" collapsed="false">
      <c r="A28" s="129" t="s">
        <v>146</v>
      </c>
      <c r="B28" s="129"/>
      <c r="C28" s="130" t="n">
        <f aca="false">C26-C27</f>
        <v>-334734</v>
      </c>
      <c r="D28" s="130" t="n">
        <f aca="false">D26-D27</f>
        <v>-27000</v>
      </c>
      <c r="E28" s="130" t="n">
        <f aca="false">E26-E27</f>
        <v>-33635</v>
      </c>
      <c r="F28" s="130" t="n">
        <f aca="false">F26-F27</f>
        <v>-66100</v>
      </c>
      <c r="G28" s="130" t="n">
        <f aca="false">G26-G27</f>
        <v>-65200</v>
      </c>
      <c r="H28" s="130" t="n">
        <f aca="false">H26-H27</f>
        <v>32200</v>
      </c>
      <c r="I28" s="130" t="n">
        <f aca="false">I26-I27</f>
        <v>-63400</v>
      </c>
      <c r="J28" s="130" t="n">
        <f aca="false">J26-J27</f>
        <v>34000</v>
      </c>
      <c r="K28" s="130" t="n">
        <f aca="false">K26-K27</f>
        <v>-61600</v>
      </c>
      <c r="L28" s="130" t="n">
        <f aca="false">L26-L27</f>
        <v>35800</v>
      </c>
      <c r="M28" s="130" t="n">
        <f aca="false">M26-M27</f>
        <v>-59800</v>
      </c>
      <c r="N28" s="130" t="n">
        <f aca="false">N26-N27</f>
        <v>37600</v>
      </c>
      <c r="O28" s="130" t="n">
        <f aca="false">O26-O27</f>
        <v>-58000</v>
      </c>
      <c r="P28" s="130" t="n">
        <f aca="false">P26-P27</f>
        <v>39400</v>
      </c>
      <c r="Q28" s="130" t="n">
        <f aca="false">Q26-Q27</f>
        <v>-56200</v>
      </c>
      <c r="R28" s="130" t="n">
        <f aca="false">R26-R27</f>
        <v>41200</v>
      </c>
      <c r="S28" s="130"/>
      <c r="T28" s="130"/>
      <c r="U28" s="130" t="n">
        <f aca="false">U26-U27</f>
        <v>-52600</v>
      </c>
      <c r="V28" s="131"/>
      <c r="W28" s="79"/>
      <c r="X28" s="79"/>
      <c r="Y28" s="79"/>
      <c r="Z28" s="79"/>
      <c r="AA28" s="109" t="s">
        <v>138</v>
      </c>
      <c r="AB28" s="119" t="n">
        <f aca="false">C19/$C$23</f>
        <v>0</v>
      </c>
      <c r="AC28" s="79"/>
      <c r="AD28" s="79"/>
      <c r="AE28" s="79"/>
      <c r="AF28" s="79"/>
      <c r="AG28" s="79"/>
      <c r="AH28" s="79"/>
      <c r="AI28" s="79"/>
      <c r="AJ28" s="79"/>
      <c r="AK28" s="79"/>
      <c r="AL28" s="79"/>
    </row>
    <row r="29" customFormat="false" ht="13.8" hidden="false" customHeight="true" outlineLevel="0" collapsed="false">
      <c r="A29" s="123" t="s">
        <v>147</v>
      </c>
      <c r="B29" s="123"/>
      <c r="C29" s="124" t="n">
        <f aca="false">C8+C9+C10+C12</f>
        <v>903000</v>
      </c>
      <c r="D29" s="124" t="n">
        <f aca="false">D8+D9+D10+D12</f>
        <v>0</v>
      </c>
      <c r="E29" s="124" t="n">
        <f aca="false">E8+E9+E10+E12</f>
        <v>903000</v>
      </c>
      <c r="F29" s="124" t="n">
        <f aca="false">F8+F9+F10+F12</f>
        <v>0</v>
      </c>
      <c r="G29" s="124" t="n">
        <f aca="false">G8+G9+G10+G12</f>
        <v>0</v>
      </c>
      <c r="H29" s="124" t="n">
        <f aca="false">H8+H9+H10+H12</f>
        <v>0</v>
      </c>
      <c r="I29" s="124" t="n">
        <f aca="false">I8+I9+I10+I12</f>
        <v>0</v>
      </c>
      <c r="J29" s="124" t="n">
        <f aca="false">J8+J9+J10+J12</f>
        <v>0</v>
      </c>
      <c r="K29" s="124" t="n">
        <f aca="false">K8+K9+K10+K12</f>
        <v>0</v>
      </c>
      <c r="L29" s="124" t="n">
        <f aca="false">L8+L9+L10+L12</f>
        <v>0</v>
      </c>
      <c r="M29" s="124" t="n">
        <f aca="false">M8+M9+M10+M12</f>
        <v>0</v>
      </c>
      <c r="N29" s="124" t="n">
        <f aca="false">N8+N9+N10+N12</f>
        <v>0</v>
      </c>
      <c r="O29" s="124" t="n">
        <f aca="false">O8+O9+O10+O12</f>
        <v>0</v>
      </c>
      <c r="P29" s="124" t="n">
        <f aca="false">P8+P9+P10+P12</f>
        <v>0</v>
      </c>
      <c r="Q29" s="124" t="n">
        <f aca="false">Q8+Q9+Q10+Q12</f>
        <v>0</v>
      </c>
      <c r="R29" s="124" t="n">
        <f aca="false">R8+R9+R10+R12</f>
        <v>0</v>
      </c>
      <c r="S29" s="124"/>
      <c r="T29" s="124"/>
      <c r="U29" s="124" t="n">
        <f aca="false">U8+U9+U10+U12</f>
        <v>0</v>
      </c>
      <c r="V29" s="131"/>
      <c r="W29" s="79"/>
      <c r="X29" s="79"/>
      <c r="Y29" s="79"/>
      <c r="Z29" s="79"/>
      <c r="AA29" s="109" t="s">
        <v>139</v>
      </c>
      <c r="AB29" s="119" t="n">
        <f aca="false">C20/$C$23</f>
        <v>0.147485015478517</v>
      </c>
      <c r="AC29" s="79"/>
      <c r="AD29" s="79"/>
      <c r="AE29" s="79"/>
      <c r="AF29" s="79"/>
      <c r="AG29" s="79"/>
      <c r="AH29" s="79"/>
      <c r="AI29" s="79"/>
      <c r="AJ29" s="79"/>
      <c r="AK29" s="79"/>
      <c r="AL29" s="79"/>
    </row>
    <row r="30" customFormat="false" ht="13.8" hidden="false" customHeight="true" outlineLevel="0" collapsed="false">
      <c r="A30" s="126" t="s">
        <v>148</v>
      </c>
      <c r="B30" s="126"/>
      <c r="C30" s="127" t="n">
        <f aca="false">C16+C19+C20+C22</f>
        <v>356700</v>
      </c>
      <c r="D30" s="127" t="n">
        <f aca="false">D16+D19+D20+D22</f>
        <v>88000</v>
      </c>
      <c r="E30" s="127" t="n">
        <f aca="false">E16+E19+E20+E22</f>
        <v>268700</v>
      </c>
      <c r="F30" s="127" t="n">
        <f aca="false">F16+F19+F20+F22</f>
        <v>0</v>
      </c>
      <c r="G30" s="127" t="n">
        <f aca="false">G16+G19+G20+G22</f>
        <v>0</v>
      </c>
      <c r="H30" s="127" t="n">
        <f aca="false">H16+H19+H20+H22</f>
        <v>0</v>
      </c>
      <c r="I30" s="127" t="n">
        <f aca="false">I16+I19+I20+I22</f>
        <v>0</v>
      </c>
      <c r="J30" s="127" t="n">
        <f aca="false">J16+J19+J20+J22</f>
        <v>0</v>
      </c>
      <c r="K30" s="127" t="n">
        <f aca="false">K16+K19+K20+K22</f>
        <v>0</v>
      </c>
      <c r="L30" s="127" t="n">
        <f aca="false">L16+L19+L20+L22</f>
        <v>0</v>
      </c>
      <c r="M30" s="127" t="n">
        <f aca="false">M16+M19+M20+M22</f>
        <v>0</v>
      </c>
      <c r="N30" s="127" t="n">
        <f aca="false">N16+N19+N20+N22</f>
        <v>0</v>
      </c>
      <c r="O30" s="127" t="n">
        <f aca="false">O16+O19+O20+O22</f>
        <v>0</v>
      </c>
      <c r="P30" s="127" t="n">
        <f aca="false">P16+P19+P20+P22</f>
        <v>0</v>
      </c>
      <c r="Q30" s="127" t="n">
        <f aca="false">Q16+Q19+Q20+Q22</f>
        <v>0</v>
      </c>
      <c r="R30" s="127" t="n">
        <f aca="false">R16+R19+R20+R22</f>
        <v>0</v>
      </c>
      <c r="S30" s="127"/>
      <c r="T30" s="127"/>
      <c r="U30" s="127" t="n">
        <f aca="false">U16+U19+U20+U22</f>
        <v>0</v>
      </c>
      <c r="V30" s="90"/>
      <c r="W30" s="90"/>
      <c r="X30" s="90"/>
      <c r="Y30" s="90"/>
      <c r="Z30" s="90"/>
      <c r="AA30" s="109" t="s">
        <v>140</v>
      </c>
      <c r="AB30" s="119" t="n">
        <f aca="false">C21/$C$23</f>
        <v>0.00384218499571871</v>
      </c>
      <c r="AC30" s="90"/>
      <c r="AD30" s="90"/>
      <c r="AE30" s="90"/>
      <c r="AF30" s="90"/>
      <c r="AG30" s="90"/>
      <c r="AH30" s="90"/>
      <c r="AI30" s="90"/>
      <c r="AJ30" s="90"/>
      <c r="AK30" s="90"/>
      <c r="AL30" s="90"/>
    </row>
    <row r="31" customFormat="false" ht="13.8" hidden="false" customHeight="false" outlineLevel="0" collapsed="false">
      <c r="A31" s="129" t="s">
        <v>149</v>
      </c>
      <c r="B31" s="129"/>
      <c r="C31" s="130" t="n">
        <f aca="false">C29-C30</f>
        <v>546300</v>
      </c>
      <c r="D31" s="130" t="n">
        <f aca="false">D29-D30</f>
        <v>-88000</v>
      </c>
      <c r="E31" s="130" t="n">
        <f aca="false">E29-E30</f>
        <v>634300</v>
      </c>
      <c r="F31" s="130" t="n">
        <f aca="false">F29-F30</f>
        <v>0</v>
      </c>
      <c r="G31" s="130" t="n">
        <f aca="false">G29-G30</f>
        <v>0</v>
      </c>
      <c r="H31" s="130" t="n">
        <f aca="false">H29-H30</f>
        <v>0</v>
      </c>
      <c r="I31" s="130" t="n">
        <f aca="false">I29-I30</f>
        <v>0</v>
      </c>
      <c r="J31" s="130" t="n">
        <f aca="false">J29-J30</f>
        <v>0</v>
      </c>
      <c r="K31" s="130" t="n">
        <f aca="false">K29-K30</f>
        <v>0</v>
      </c>
      <c r="L31" s="130" t="n">
        <f aca="false">L29-L30</f>
        <v>0</v>
      </c>
      <c r="M31" s="130" t="n">
        <f aca="false">M29-M30</f>
        <v>0</v>
      </c>
      <c r="N31" s="130" t="n">
        <f aca="false">N29-N30</f>
        <v>0</v>
      </c>
      <c r="O31" s="130" t="n">
        <f aca="false">O29-O30</f>
        <v>0</v>
      </c>
      <c r="P31" s="130" t="n">
        <f aca="false">P29-P30</f>
        <v>0</v>
      </c>
      <c r="Q31" s="130" t="n">
        <f aca="false">Q29-Q30</f>
        <v>0</v>
      </c>
      <c r="R31" s="130" t="n">
        <f aca="false">R29-R30</f>
        <v>0</v>
      </c>
      <c r="S31" s="130"/>
      <c r="T31" s="130"/>
      <c r="U31" s="130" t="n">
        <f aca="false">U29-U30</f>
        <v>0</v>
      </c>
      <c r="V31" s="90"/>
      <c r="W31" s="90"/>
      <c r="X31" s="90"/>
      <c r="Y31" s="90"/>
      <c r="Z31" s="90"/>
      <c r="AA31" s="109" t="s">
        <v>141</v>
      </c>
      <c r="AB31" s="119" t="n">
        <f aca="false">C22/$C$23</f>
        <v>0</v>
      </c>
      <c r="AC31" s="90"/>
      <c r="AD31" s="90"/>
      <c r="AE31" s="90"/>
      <c r="AF31" s="90"/>
      <c r="AG31" s="90"/>
      <c r="AH31" s="90"/>
      <c r="AI31" s="90"/>
      <c r="AJ31" s="90"/>
      <c r="AK31" s="90"/>
      <c r="AL31" s="90"/>
    </row>
    <row r="32" customFormat="false" ht="17.35" hidden="false" customHeight="false" outlineLevel="0" collapsed="false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90"/>
      <c r="W32" s="90"/>
      <c r="X32" s="90"/>
      <c r="Y32" s="90"/>
      <c r="Z32" s="90"/>
      <c r="AA32" s="90"/>
      <c r="AB32" s="132" t="n">
        <f aca="false">SUM(AB23:AB31)</f>
        <v>1</v>
      </c>
      <c r="AC32" s="90"/>
      <c r="AD32" s="90"/>
      <c r="AE32" s="90"/>
      <c r="AF32" s="90"/>
      <c r="AG32" s="90"/>
      <c r="AH32" s="90"/>
      <c r="AI32" s="90"/>
      <c r="AJ32" s="90"/>
      <c r="AK32" s="90"/>
      <c r="AL32" s="90"/>
    </row>
    <row r="33" customFormat="false" ht="17.35" hidden="false" customHeight="false" outlineLevel="0" collapsed="false">
      <c r="A33" s="133"/>
      <c r="B33" s="133"/>
      <c r="C33" s="134" t="s">
        <v>150</v>
      </c>
      <c r="D33" s="135" t="n">
        <v>19</v>
      </c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86"/>
      <c r="W33" s="86"/>
      <c r="X33" s="86"/>
      <c r="Y33" s="86"/>
      <c r="Z33" s="86"/>
      <c r="AA33" s="86"/>
      <c r="AB33" s="136"/>
      <c r="AC33" s="86"/>
      <c r="AD33" s="86"/>
      <c r="AE33" s="86"/>
      <c r="AF33" s="86"/>
      <c r="AG33" s="86"/>
      <c r="AH33" s="86"/>
      <c r="AI33" s="86"/>
      <c r="AJ33" s="86"/>
      <c r="AK33" s="86"/>
      <c r="AL33" s="86"/>
    </row>
    <row r="34" customFormat="false" ht="17.35" hidden="false" customHeight="true" outlineLevel="0" collapsed="false">
      <c r="A34" s="87"/>
      <c r="B34" s="137" t="s">
        <v>151</v>
      </c>
      <c r="C34" s="138" t="s">
        <v>21</v>
      </c>
      <c r="D34" s="135" t="n">
        <v>19270</v>
      </c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90"/>
      <c r="W34" s="90"/>
      <c r="X34" s="90"/>
      <c r="Y34" s="90"/>
      <c r="Z34" s="90"/>
      <c r="AA34" s="139" t="n">
        <f aca="false">C23</f>
        <v>1821880</v>
      </c>
      <c r="AB34" s="139"/>
      <c r="AC34" s="90"/>
      <c r="AD34" s="90"/>
      <c r="AE34" s="90"/>
      <c r="AF34" s="90"/>
      <c r="AG34" s="90"/>
      <c r="AH34" s="90"/>
      <c r="AI34" s="90"/>
      <c r="AJ34" s="90"/>
      <c r="AK34" s="90"/>
      <c r="AL34" s="90"/>
    </row>
    <row r="35" customFormat="false" ht="13.8" hidden="false" customHeight="false" outlineLevel="0" collapsed="false">
      <c r="A35" s="87"/>
      <c r="B35" s="137"/>
      <c r="C35" s="138" t="s">
        <v>152</v>
      </c>
      <c r="D35" s="135" t="n">
        <v>7790</v>
      </c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</row>
    <row r="36" customFormat="false" ht="13.8" hidden="false" customHeight="false" outlineLevel="0" collapsed="false">
      <c r="A36" s="87"/>
      <c r="B36" s="137"/>
      <c r="C36" s="138" t="s">
        <v>153</v>
      </c>
      <c r="D36" s="135" t="n">
        <v>14830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</row>
    <row r="37" customFormat="false" ht="13.8" hidden="false" customHeight="false" outlineLevel="0" collapsed="false">
      <c r="A37" s="87"/>
      <c r="B37" s="137"/>
      <c r="C37" s="138" t="s">
        <v>154</v>
      </c>
      <c r="D37" s="135" t="n">
        <v>5250</v>
      </c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</row>
    <row r="38" customFormat="false" ht="13.8" hidden="false" customHeight="false" outlineLevel="0" collapsed="false">
      <c r="A38" s="87"/>
      <c r="B38" s="137"/>
      <c r="C38" s="138" t="s">
        <v>155</v>
      </c>
      <c r="D38" s="140" t="s">
        <v>156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</row>
    <row r="39" customFormat="false" ht="13.8" hidden="false" customHeight="false" outlineLevel="0" collapsed="false">
      <c r="A39" s="87"/>
      <c r="B39" s="137"/>
      <c r="C39" s="138" t="s">
        <v>157</v>
      </c>
      <c r="D39" s="141" t="n">
        <v>5.25</v>
      </c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</row>
    <row r="40" customFormat="false" ht="13.8" hidden="false" customHeight="false" outlineLevel="0" collapsed="false">
      <c r="A40" s="64"/>
      <c r="B40" s="137"/>
      <c r="C40" s="138" t="s">
        <v>158</v>
      </c>
      <c r="D40" s="141" t="n">
        <v>4.75</v>
      </c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</row>
    <row r="41" customFormat="false" ht="13.8" hidden="false" customHeight="false" outlineLevel="0" collapsed="false">
      <c r="A41" s="64"/>
      <c r="B41" s="137"/>
      <c r="C41" s="138" t="s">
        <v>159</v>
      </c>
      <c r="D41" s="141" t="n">
        <v>2.25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</row>
    <row r="42" customFormat="false" ht="13.8" hidden="false" customHeight="false" outlineLevel="0" collapsed="false">
      <c r="A42" s="64"/>
      <c r="B42" s="64"/>
      <c r="C42" s="142" t="s">
        <v>160</v>
      </c>
      <c r="D42" s="143" t="n">
        <f aca="false">D34/D35</f>
        <v>2.47368421052632</v>
      </c>
      <c r="E42" s="143" t="e">
        <f aca="false">E34/E35</f>
        <v>#DIV/0!</v>
      </c>
      <c r="F42" s="143" t="e">
        <f aca="false">F34/F35</f>
        <v>#DIV/0!</v>
      </c>
      <c r="G42" s="143" t="e">
        <f aca="false">G34/G35</f>
        <v>#DIV/0!</v>
      </c>
      <c r="H42" s="143" t="e">
        <f aca="false">H34/H35</f>
        <v>#DIV/0!</v>
      </c>
      <c r="I42" s="143" t="e">
        <f aca="false">I34/I35</f>
        <v>#DIV/0!</v>
      </c>
      <c r="J42" s="143" t="e">
        <f aca="false">J34/J35</f>
        <v>#DIV/0!</v>
      </c>
      <c r="K42" s="143" t="e">
        <f aca="false">K34/K35</f>
        <v>#DIV/0!</v>
      </c>
      <c r="L42" s="143" t="e">
        <f aca="false">L34/L35</f>
        <v>#DIV/0!</v>
      </c>
      <c r="M42" s="143" t="e">
        <f aca="false">M34/M35</f>
        <v>#DIV/0!</v>
      </c>
      <c r="N42" s="143" t="e">
        <f aca="false">N34/N35</f>
        <v>#DIV/0!</v>
      </c>
      <c r="O42" s="143" t="e">
        <f aca="false">O34/O35</f>
        <v>#DIV/0!</v>
      </c>
      <c r="P42" s="143" t="e">
        <f aca="false">P34/P35</f>
        <v>#DIV/0!</v>
      </c>
      <c r="Q42" s="143" t="e">
        <f aca="false">Q34/Q35</f>
        <v>#DIV/0!</v>
      </c>
      <c r="R42" s="143" t="e">
        <f aca="false">R34/R35</f>
        <v>#DIV/0!</v>
      </c>
      <c r="S42" s="143"/>
      <c r="T42" s="143"/>
      <c r="U42" s="143" t="e">
        <f aca="false">U34/U35</f>
        <v>#DIV/0!</v>
      </c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</row>
    <row r="43" customFormat="false" ht="13.8" hidden="false" customHeight="false" outlineLevel="0" collapsed="false">
      <c r="A43" s="64"/>
      <c r="B43" s="64"/>
      <c r="C43" s="64"/>
      <c r="D43" s="79"/>
      <c r="E43" s="65"/>
      <c r="F43" s="78"/>
      <c r="G43" s="144"/>
      <c r="H43" s="144"/>
      <c r="I43" s="144"/>
      <c r="J43" s="144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</row>
    <row r="44" customFormat="false" ht="13.8" hidden="false" customHeight="false" outlineLevel="0" collapsed="false">
      <c r="A44" s="64"/>
      <c r="B44" s="64"/>
      <c r="C44" s="64"/>
      <c r="D44" s="6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</row>
    <row r="45" customFormat="false" ht="13.8" hidden="false" customHeight="false" outlineLevel="0" collapsed="false">
      <c r="A45" s="64"/>
      <c r="B45" s="64"/>
      <c r="C45" s="64"/>
      <c r="D45" s="146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</row>
    <row r="46" customFormat="false" ht="13.8" hidden="false" customHeight="false" outlineLevel="0" collapsed="false">
      <c r="A46" s="64"/>
      <c r="B46" s="64"/>
      <c r="C46" s="64"/>
      <c r="D46" s="65"/>
      <c r="F46" s="78"/>
      <c r="G46" s="147"/>
      <c r="H46" s="147"/>
      <c r="I46" s="147"/>
      <c r="J46" s="147"/>
      <c r="K46" s="79"/>
      <c r="L46" s="79"/>
      <c r="M46" s="148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</row>
    <row r="47" customFormat="false" ht="13.8" hidden="false" customHeight="false" outlineLevel="0" collapsed="false">
      <c r="A47" s="64"/>
      <c r="B47" s="64"/>
      <c r="C47" s="64"/>
      <c r="D47" s="65"/>
      <c r="E47" s="149"/>
      <c r="F47" s="78"/>
      <c r="G47" s="150"/>
      <c r="H47" s="150"/>
      <c r="I47" s="150"/>
      <c r="J47" s="150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</row>
    <row r="48" customFormat="false" ht="13.8" hidden="false" customHeight="false" outlineLevel="0" collapsed="false">
      <c r="A48" s="64"/>
      <c r="B48" s="64"/>
      <c r="C48" s="64"/>
      <c r="D48" s="65"/>
      <c r="F48" s="78"/>
      <c r="G48" s="147"/>
      <c r="H48" s="147"/>
      <c r="I48" s="147"/>
      <c r="J48" s="147"/>
      <c r="K48" s="79"/>
      <c r="L48" s="79"/>
      <c r="M48" s="79"/>
      <c r="N48" s="79"/>
      <c r="O48" s="79"/>
      <c r="P48" s="148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</row>
    <row r="49" customFormat="false" ht="13.8" hidden="false" customHeight="false" outlineLevel="0" collapsed="false">
      <c r="A49" s="64"/>
      <c r="B49" s="64"/>
      <c r="C49" s="64"/>
      <c r="D49" s="65"/>
      <c r="F49" s="78"/>
      <c r="G49" s="147"/>
      <c r="H49" s="147"/>
      <c r="I49" s="147"/>
      <c r="J49" s="151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</row>
    <row r="50" customFormat="false" ht="13.8" hidden="false" customHeight="false" outlineLevel="0" collapsed="false">
      <c r="A50" s="64"/>
      <c r="B50" s="64"/>
      <c r="C50" s="64"/>
      <c r="D50" s="65"/>
      <c r="F50" s="78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</row>
    <row r="51" customFormat="false" ht="13.8" hidden="false" customHeight="false" outlineLevel="0" collapsed="false">
      <c r="A51" s="64"/>
      <c r="B51" s="64"/>
      <c r="C51" s="64"/>
      <c r="D51" s="65"/>
      <c r="F51" s="78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</row>
    <row r="52" customFormat="false" ht="13.8" hidden="false" customHeight="false" outlineLevel="0" collapsed="false">
      <c r="A52" s="64"/>
      <c r="B52" s="64"/>
      <c r="C52" s="64"/>
      <c r="D52" s="65"/>
      <c r="F52" s="78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</row>
    <row r="53" customFormat="false" ht="13.8" hidden="false" customHeight="false" outlineLevel="0" collapsed="false">
      <c r="A53" s="64"/>
      <c r="B53" s="64"/>
      <c r="C53" s="64"/>
      <c r="D53" s="65"/>
      <c r="F53" s="78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</row>
    <row r="54" customFormat="false" ht="13.8" hidden="false" customHeight="false" outlineLevel="0" collapsed="false">
      <c r="A54" s="64"/>
      <c r="B54" s="64"/>
      <c r="C54" s="64"/>
      <c r="D54" s="65"/>
      <c r="F54" s="78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</row>
    <row r="55" customFormat="false" ht="13.8" hidden="false" customHeight="false" outlineLevel="0" collapsed="false">
      <c r="A55" s="64"/>
      <c r="B55" s="64"/>
      <c r="C55" s="64"/>
      <c r="D55" s="65"/>
      <c r="F55" s="78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</row>
    <row r="56" customFormat="false" ht="13.8" hidden="false" customHeight="false" outlineLevel="0" collapsed="false">
      <c r="A56" s="64"/>
      <c r="B56" s="64"/>
      <c r="C56" s="64"/>
      <c r="D56" s="65"/>
      <c r="F56" s="78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</row>
    <row r="57" customFormat="false" ht="13.8" hidden="false" customHeight="false" outlineLevel="0" collapsed="false">
      <c r="A57" s="64"/>
      <c r="B57" s="64"/>
      <c r="C57" s="64"/>
      <c r="D57" s="65"/>
      <c r="F57" s="78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</row>
    <row r="58" customFormat="false" ht="13.8" hidden="false" customHeight="false" outlineLevel="0" collapsed="false">
      <c r="A58" s="64"/>
      <c r="B58" s="64"/>
      <c r="C58" s="64"/>
      <c r="D58" s="65"/>
      <c r="F58" s="78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</row>
    <row r="59" customFormat="false" ht="13.8" hidden="false" customHeight="false" outlineLevel="0" collapsed="false">
      <c r="A59" s="64"/>
      <c r="B59" s="64"/>
      <c r="C59" s="64"/>
      <c r="D59" s="65"/>
      <c r="F59" s="78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</row>
    <row r="60" customFormat="false" ht="13.8" hidden="false" customHeight="false" outlineLevel="0" collapsed="false">
      <c r="A60" s="64"/>
      <c r="B60" s="64"/>
      <c r="C60" s="64"/>
      <c r="D60" s="65"/>
      <c r="F60" s="78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</row>
    <row r="61" customFormat="false" ht="13.8" hidden="false" customHeight="false" outlineLevel="0" collapsed="false">
      <c r="A61" s="64"/>
      <c r="B61" s="64"/>
      <c r="C61" s="64"/>
      <c r="D61" s="65"/>
      <c r="F61" s="78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</row>
    <row r="62" customFormat="false" ht="13.8" hidden="false" customHeight="false" outlineLevel="0" collapsed="false">
      <c r="A62" s="64"/>
      <c r="B62" s="64"/>
      <c r="C62" s="64"/>
      <c r="D62" s="65"/>
      <c r="F62" s="78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</row>
    <row r="63" customFormat="false" ht="13.8" hidden="false" customHeight="false" outlineLevel="0" collapsed="false">
      <c r="A63" s="64"/>
      <c r="B63" s="64"/>
      <c r="C63" s="64"/>
      <c r="D63" s="65"/>
      <c r="F63" s="78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</row>
    <row r="64" customFormat="false" ht="13.8" hidden="false" customHeight="false" outlineLevel="0" collapsed="false">
      <c r="A64" s="64"/>
      <c r="B64" s="64"/>
      <c r="C64" s="64"/>
      <c r="D64" s="65"/>
      <c r="F64" s="78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</row>
    <row r="65" customFormat="false" ht="13.8" hidden="false" customHeight="false" outlineLevel="0" collapsed="false">
      <c r="A65" s="64"/>
      <c r="B65" s="64"/>
      <c r="C65" s="64"/>
      <c r="D65" s="65"/>
      <c r="F65" s="78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</row>
    <row r="66" customFormat="false" ht="13.8" hidden="false" customHeight="false" outlineLevel="0" collapsed="false">
      <c r="A66" s="64"/>
      <c r="B66" s="64"/>
      <c r="C66" s="64"/>
      <c r="D66" s="65"/>
      <c r="F66" s="78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</row>
    <row r="67" customFormat="false" ht="13.8" hidden="false" customHeight="false" outlineLevel="0" collapsed="false">
      <c r="A67" s="64"/>
      <c r="B67" s="64"/>
      <c r="C67" s="64"/>
      <c r="D67" s="65"/>
      <c r="F67" s="78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</row>
    <row r="68" customFormat="false" ht="13.8" hidden="false" customHeight="false" outlineLevel="0" collapsed="false">
      <c r="A68" s="64"/>
      <c r="B68" s="64"/>
      <c r="C68" s="64"/>
      <c r="D68" s="65"/>
      <c r="F68" s="78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</row>
    <row r="69" customFormat="false" ht="13.8" hidden="false" customHeight="false" outlineLevel="0" collapsed="false">
      <c r="A69" s="64"/>
      <c r="B69" s="64"/>
      <c r="C69" s="64"/>
      <c r="D69" s="65"/>
      <c r="F69" s="78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</row>
    <row r="70" customFormat="false" ht="13.8" hidden="false" customHeight="false" outlineLevel="0" collapsed="false">
      <c r="A70" s="64"/>
      <c r="B70" s="64"/>
      <c r="C70" s="64"/>
      <c r="D70" s="65"/>
      <c r="F70" s="78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</row>
    <row r="71" customFormat="false" ht="13.8" hidden="false" customHeight="false" outlineLevel="0" collapsed="false">
      <c r="A71" s="64"/>
      <c r="B71" s="64"/>
      <c r="C71" s="64"/>
      <c r="D71" s="65"/>
      <c r="F71" s="78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</row>
    <row r="72" customFormat="false" ht="13.8" hidden="false" customHeight="false" outlineLevel="0" collapsed="false">
      <c r="A72" s="64"/>
      <c r="B72" s="64"/>
      <c r="C72" s="64"/>
      <c r="D72" s="65"/>
      <c r="F72" s="78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</row>
    <row r="73" customFormat="false" ht="13.8" hidden="false" customHeight="false" outlineLevel="0" collapsed="false">
      <c r="A73" s="64"/>
      <c r="B73" s="64"/>
      <c r="C73" s="64"/>
      <c r="D73" s="65"/>
      <c r="F73" s="78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</row>
    <row r="74" customFormat="false" ht="13.8" hidden="false" customHeight="false" outlineLevel="0" collapsed="false">
      <c r="A74" s="64"/>
      <c r="B74" s="64"/>
      <c r="C74" s="64"/>
      <c r="D74" s="65"/>
      <c r="F74" s="78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</row>
    <row r="75" customFormat="false" ht="13.8" hidden="false" customHeight="false" outlineLevel="0" collapsed="false">
      <c r="A75" s="64"/>
      <c r="B75" s="64"/>
      <c r="C75" s="64"/>
      <c r="D75" s="65"/>
      <c r="F75" s="78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</row>
    <row r="76" customFormat="false" ht="13.8" hidden="false" customHeight="false" outlineLevel="0" collapsed="false">
      <c r="A76" s="64"/>
      <c r="B76" s="64"/>
      <c r="C76" s="64"/>
      <c r="D76" s="65"/>
      <c r="F76" s="78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</row>
    <row r="77" customFormat="false" ht="13.8" hidden="false" customHeight="false" outlineLevel="0" collapsed="false">
      <c r="A77" s="64"/>
      <c r="B77" s="64"/>
      <c r="C77" s="64"/>
      <c r="D77" s="65"/>
      <c r="F77" s="78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</row>
    <row r="78" customFormat="false" ht="13.8" hidden="false" customHeight="false" outlineLevel="0" collapsed="false">
      <c r="A78" s="64"/>
      <c r="B78" s="64"/>
      <c r="C78" s="64"/>
      <c r="D78" s="65"/>
      <c r="F78" s="78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</row>
    <row r="79" customFormat="false" ht="13.8" hidden="false" customHeight="false" outlineLevel="0" collapsed="false">
      <c r="A79" s="64"/>
      <c r="B79" s="64"/>
      <c r="C79" s="64"/>
      <c r="D79" s="65"/>
      <c r="F79" s="78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</row>
    <row r="80" customFormat="false" ht="13.8" hidden="false" customHeight="false" outlineLevel="0" collapsed="false">
      <c r="A80" s="64"/>
      <c r="B80" s="64"/>
      <c r="C80" s="64"/>
      <c r="D80" s="65"/>
      <c r="F80" s="78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</row>
    <row r="81" customFormat="false" ht="13.8" hidden="false" customHeight="false" outlineLevel="0" collapsed="false">
      <c r="A81" s="64"/>
      <c r="B81" s="64"/>
      <c r="C81" s="64"/>
      <c r="D81" s="65"/>
      <c r="F81" s="78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</row>
    <row r="82" customFormat="false" ht="13.8" hidden="false" customHeight="false" outlineLevel="0" collapsed="false">
      <c r="A82" s="64"/>
      <c r="B82" s="64"/>
      <c r="C82" s="64"/>
      <c r="D82" s="65"/>
      <c r="F82" s="78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</row>
    <row r="83" customFormat="false" ht="13.8" hidden="false" customHeight="false" outlineLevel="0" collapsed="false">
      <c r="A83" s="64"/>
      <c r="B83" s="64"/>
      <c r="C83" s="64"/>
      <c r="D83" s="65"/>
      <c r="F83" s="78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</row>
    <row r="84" customFormat="false" ht="13.8" hidden="false" customHeight="false" outlineLevel="0" collapsed="false">
      <c r="A84" s="64"/>
      <c r="B84" s="64"/>
      <c r="C84" s="64"/>
      <c r="D84" s="65"/>
      <c r="F84" s="78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</row>
    <row r="85" customFormat="false" ht="13.8" hidden="false" customHeight="false" outlineLevel="0" collapsed="false">
      <c r="A85" s="64"/>
      <c r="B85" s="64"/>
      <c r="C85" s="64"/>
      <c r="D85" s="65"/>
      <c r="F85" s="78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</row>
  </sheetData>
  <mergeCells count="15">
    <mergeCell ref="A11:A12"/>
    <mergeCell ref="AA14:AB14"/>
    <mergeCell ref="A26:B26"/>
    <mergeCell ref="A27:B27"/>
    <mergeCell ref="A28:B28"/>
    <mergeCell ref="A29:B29"/>
    <mergeCell ref="A30:B30"/>
    <mergeCell ref="A31:B31"/>
    <mergeCell ref="B34:B41"/>
    <mergeCell ref="AA34:AB34"/>
    <mergeCell ref="G43:H43"/>
    <mergeCell ref="I43:J43"/>
    <mergeCell ref="G46:J46"/>
    <mergeCell ref="G48:J48"/>
    <mergeCell ref="G49:I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A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RowHeight="13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5.28"/>
    <col collapsed="false" customWidth="true" hidden="false" outlineLevel="0" max="3" min="3" style="0" width="4.71"/>
    <col collapsed="false" customWidth="true" hidden="false" outlineLevel="0" max="5" min="4" style="0" width="4.57"/>
    <col collapsed="false" customWidth="true" hidden="false" outlineLevel="0" max="6" min="6" style="0" width="13.62"/>
    <col collapsed="false" customWidth="true" hidden="false" outlineLevel="0" max="7" min="7" style="65" width="7.95"/>
    <col collapsed="false" customWidth="true" hidden="false" outlineLevel="0" max="8" min="8" style="0" width="5.57"/>
    <col collapsed="false" customWidth="true" hidden="false" outlineLevel="0" max="9" min="9" style="0" width="5.86"/>
    <col collapsed="false" customWidth="true" hidden="false" outlineLevel="0" max="10" min="10" style="0" width="4.29"/>
    <col collapsed="false" customWidth="true" hidden="false" outlineLevel="0" max="11" min="11" style="0" width="5.86"/>
    <col collapsed="false" customWidth="true" hidden="false" outlineLevel="0" max="12" min="12" style="0" width="4.57"/>
    <col collapsed="false" customWidth="true" hidden="false" outlineLevel="0" max="13" min="13" style="0" width="5.86"/>
    <col collapsed="false" customWidth="true" hidden="false" outlineLevel="0" max="14" min="14" style="0" width="4.14"/>
    <col collapsed="false" customWidth="true" hidden="false" outlineLevel="0" max="15" min="15" style="0" width="5.86"/>
    <col collapsed="false" customWidth="true" hidden="false" outlineLevel="0" max="16" min="16" style="0" width="4.43"/>
    <col collapsed="false" customWidth="true" hidden="false" outlineLevel="0" max="17" min="17" style="0" width="5.86"/>
    <col collapsed="false" customWidth="true" hidden="false" outlineLevel="0" max="18" min="18" style="0" width="5.14"/>
    <col collapsed="false" customWidth="true" hidden="false" outlineLevel="0" max="19" min="19" style="0" width="5.86"/>
    <col collapsed="false" customWidth="true" hidden="false" outlineLevel="0" max="20" min="20" style="0" width="3.29"/>
    <col collapsed="false" customWidth="true" hidden="false" outlineLevel="0" max="21" min="21" style="0" width="5.01"/>
    <col collapsed="false" customWidth="true" hidden="false" outlineLevel="0" max="22" min="22" style="0" width="5.14"/>
    <col collapsed="false" customWidth="true" hidden="false" outlineLevel="0" max="23" min="23" style="0" width="5.86"/>
    <col collapsed="false" customWidth="true" hidden="false" outlineLevel="0" max="24" min="24" style="0" width="4.57"/>
    <col collapsed="false" customWidth="true" hidden="false" outlineLevel="0" max="25" min="25" style="0" width="4.29"/>
    <col collapsed="false" customWidth="true" hidden="false" outlineLevel="0" max="26" min="26" style="0" width="3.29"/>
    <col collapsed="false" customWidth="true" hidden="false" outlineLevel="0" max="27" min="27" style="0" width="6.15"/>
    <col collapsed="false" customWidth="true" hidden="false" outlineLevel="0" max="28" min="28" style="0" width="4.71"/>
    <col collapsed="false" customWidth="true" hidden="false" outlineLevel="0" max="29" min="29" style="0" width="4.86"/>
    <col collapsed="false" customWidth="true" hidden="false" outlineLevel="0" max="30" min="30" style="0" width="6.86"/>
    <col collapsed="false" customWidth="true" hidden="false" outlineLevel="0" max="31" min="31" style="0" width="4.86"/>
    <col collapsed="false" customWidth="true" hidden="false" outlineLevel="0" max="32" min="32" style="0" width="4.43"/>
    <col collapsed="false" customWidth="true" hidden="false" outlineLevel="0" max="33" min="33" style="0" width="5.14"/>
    <col collapsed="false" customWidth="true" hidden="false" outlineLevel="0" max="34" min="34" style="0" width="3.29"/>
    <col collapsed="false" customWidth="true" hidden="false" outlineLevel="0" max="35" min="35" style="0" width="21.71"/>
    <col collapsed="false" customWidth="true" hidden="false" outlineLevel="0" max="36" min="36" style="0" width="6.86"/>
    <col collapsed="false" customWidth="true" hidden="false" outlineLevel="0" max="1025" min="37" style="0" width="10.67"/>
  </cols>
  <sheetData>
    <row r="1" customFormat="false" ht="13.8" hidden="false" customHeight="false" outlineLevel="0" collapsed="false">
      <c r="A1" s="152" t="s">
        <v>161</v>
      </c>
      <c r="B1" s="152"/>
      <c r="C1" s="152"/>
      <c r="D1" s="152"/>
      <c r="E1" s="152"/>
      <c r="F1" s="153"/>
      <c r="G1" s="152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4"/>
      <c r="AJ1" s="155"/>
    </row>
    <row r="2" customFormat="false" ht="13.8" hidden="false" customHeight="false" outlineLevel="0" collapsed="false">
      <c r="A2" s="156" t="s">
        <v>3</v>
      </c>
      <c r="B2" s="156" t="s">
        <v>162</v>
      </c>
      <c r="C2" s="156" t="s">
        <v>5</v>
      </c>
      <c r="D2" s="157" t="s">
        <v>163</v>
      </c>
      <c r="E2" s="156" t="s">
        <v>164</v>
      </c>
      <c r="F2" s="156" t="s">
        <v>165</v>
      </c>
      <c r="G2" s="157" t="s">
        <v>166</v>
      </c>
      <c r="H2" s="156" t="s">
        <v>58</v>
      </c>
      <c r="I2" s="156" t="s">
        <v>41</v>
      </c>
      <c r="J2" s="156" t="s">
        <v>167</v>
      </c>
      <c r="K2" s="156" t="s">
        <v>41</v>
      </c>
      <c r="L2" s="156" t="s">
        <v>168</v>
      </c>
      <c r="M2" s="156" t="s">
        <v>41</v>
      </c>
      <c r="N2" s="156" t="s">
        <v>66</v>
      </c>
      <c r="O2" s="156" t="s">
        <v>41</v>
      </c>
      <c r="P2" s="156" t="s">
        <v>169</v>
      </c>
      <c r="Q2" s="156" t="s">
        <v>41</v>
      </c>
      <c r="R2" s="156" t="s">
        <v>170</v>
      </c>
      <c r="S2" s="156" t="s">
        <v>41</v>
      </c>
      <c r="T2" s="156" t="s">
        <v>171</v>
      </c>
      <c r="U2" s="156" t="s">
        <v>41</v>
      </c>
      <c r="V2" s="157" t="s">
        <v>172</v>
      </c>
      <c r="W2" s="157" t="s">
        <v>10</v>
      </c>
      <c r="X2" s="157" t="s">
        <v>77</v>
      </c>
      <c r="Y2" s="157" t="s">
        <v>173</v>
      </c>
      <c r="Z2" s="157" t="s">
        <v>171</v>
      </c>
      <c r="AA2" s="157" t="s">
        <v>174</v>
      </c>
      <c r="AB2" s="157" t="s">
        <v>58</v>
      </c>
      <c r="AC2" s="157" t="s">
        <v>167</v>
      </c>
      <c r="AD2" s="157" t="s">
        <v>168</v>
      </c>
      <c r="AE2" s="157" t="s">
        <v>66</v>
      </c>
      <c r="AF2" s="157" t="s">
        <v>169</v>
      </c>
      <c r="AG2" s="157" t="s">
        <v>170</v>
      </c>
      <c r="AH2" s="157" t="s">
        <v>171</v>
      </c>
      <c r="AI2" s="158" t="s">
        <v>175</v>
      </c>
      <c r="AJ2" s="159"/>
    </row>
    <row r="3" customFormat="false" ht="13.8" hidden="false" customHeight="false" outlineLevel="0" collapsed="false">
      <c r="A3" s="160" t="s">
        <v>176</v>
      </c>
      <c r="B3" s="160"/>
      <c r="C3" s="160"/>
      <c r="D3" s="160"/>
      <c r="E3" s="160"/>
      <c r="F3" s="161"/>
      <c r="G3" s="160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2"/>
      <c r="AJ3" s="155"/>
    </row>
    <row r="4" customFormat="false" ht="13.8" hidden="false" customHeight="false" outlineLevel="0" collapsed="false">
      <c r="A4" s="163" t="s">
        <v>177</v>
      </c>
      <c r="B4" s="163"/>
      <c r="C4" s="163"/>
      <c r="D4" s="163"/>
      <c r="E4" s="163"/>
      <c r="F4" s="163"/>
      <c r="G4" s="164"/>
      <c r="H4" s="163" t="s">
        <v>178</v>
      </c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5"/>
      <c r="AJ4" s="166"/>
    </row>
    <row r="5" customFormat="false" ht="13.8" hidden="false" customHeight="false" outlineLevel="0" collapsed="false">
      <c r="A5" s="163" t="s">
        <v>3</v>
      </c>
      <c r="B5" s="163" t="s">
        <v>162</v>
      </c>
      <c r="C5" s="163" t="s">
        <v>5</v>
      </c>
      <c r="D5" s="164" t="s">
        <v>163</v>
      </c>
      <c r="E5" s="163" t="s">
        <v>164</v>
      </c>
      <c r="F5" s="163" t="str">
        <f aca="false">F2</f>
        <v>Fecha</v>
      </c>
      <c r="G5" s="164" t="s">
        <v>166</v>
      </c>
      <c r="H5" s="163" t="s">
        <v>58</v>
      </c>
      <c r="I5" s="163" t="s">
        <v>41</v>
      </c>
      <c r="J5" s="167" t="s">
        <v>167</v>
      </c>
      <c r="K5" s="167" t="s">
        <v>41</v>
      </c>
      <c r="L5" s="163" t="s">
        <v>168</v>
      </c>
      <c r="M5" s="163" t="s">
        <v>41</v>
      </c>
      <c r="N5" s="167" t="s">
        <v>66</v>
      </c>
      <c r="O5" s="167" t="s">
        <v>41</v>
      </c>
      <c r="P5" s="163" t="s">
        <v>169</v>
      </c>
      <c r="Q5" s="163" t="s">
        <v>41</v>
      </c>
      <c r="R5" s="167" t="s">
        <v>170</v>
      </c>
      <c r="S5" s="167" t="s">
        <v>41</v>
      </c>
      <c r="T5" s="163" t="s">
        <v>171</v>
      </c>
      <c r="U5" s="163" t="s">
        <v>41</v>
      </c>
      <c r="V5" s="164" t="str">
        <f aca="false">V2</f>
        <v>u20</v>
      </c>
      <c r="W5" s="164" t="str">
        <f aca="false">W2</f>
        <v>Lid</v>
      </c>
      <c r="X5" s="164" t="str">
        <f aca="false">X2</f>
        <v>POT</v>
      </c>
      <c r="Y5" s="164" t="str">
        <f aca="false">Y2</f>
        <v>Cap</v>
      </c>
      <c r="Z5" s="164" t="s">
        <v>171</v>
      </c>
      <c r="AA5" s="164" t="str">
        <f aca="false">AA2</f>
        <v>HTMS</v>
      </c>
      <c r="AB5" s="164" t="s">
        <v>58</v>
      </c>
      <c r="AC5" s="164" t="s">
        <v>167</v>
      </c>
      <c r="AD5" s="164" t="s">
        <v>168</v>
      </c>
      <c r="AE5" s="164" t="s">
        <v>66</v>
      </c>
      <c r="AF5" s="164" t="s">
        <v>169</v>
      </c>
      <c r="AG5" s="164" t="s">
        <v>170</v>
      </c>
      <c r="AH5" s="164" t="s">
        <v>171</v>
      </c>
      <c r="AI5" s="165" t="s">
        <v>175</v>
      </c>
      <c r="AJ5" s="159"/>
    </row>
    <row r="6" customFormat="false" ht="13.8" hidden="false" customHeight="false" outlineLevel="0" collapsed="false">
      <c r="A6" s="168" t="s">
        <v>179</v>
      </c>
      <c r="B6" s="168"/>
      <c r="C6" s="168"/>
      <c r="D6" s="168"/>
      <c r="E6" s="168"/>
      <c r="F6" s="169"/>
      <c r="G6" s="168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70"/>
      <c r="AJ6" s="155"/>
    </row>
    <row r="7" customFormat="false" ht="13.8" hidden="false" customHeight="false" outlineLevel="0" collapsed="false">
      <c r="A7" s="171" t="s">
        <v>177</v>
      </c>
      <c r="B7" s="171"/>
      <c r="C7" s="171"/>
      <c r="D7" s="171"/>
      <c r="E7" s="171"/>
      <c r="F7" s="171"/>
      <c r="G7" s="172"/>
      <c r="H7" s="171" t="s">
        <v>178</v>
      </c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3"/>
      <c r="AJ7" s="166"/>
    </row>
    <row r="8" customFormat="false" ht="13.8" hidden="false" customHeight="false" outlineLevel="0" collapsed="false">
      <c r="A8" s="171" t="s">
        <v>3</v>
      </c>
      <c r="B8" s="171" t="s">
        <v>162</v>
      </c>
      <c r="C8" s="171" t="s">
        <v>5</v>
      </c>
      <c r="D8" s="172" t="s">
        <v>163</v>
      </c>
      <c r="E8" s="171" t="s">
        <v>164</v>
      </c>
      <c r="F8" s="171" t="str">
        <f aca="false">F5</f>
        <v>Fecha</v>
      </c>
      <c r="G8" s="172" t="s">
        <v>166</v>
      </c>
      <c r="H8" s="171" t="s">
        <v>58</v>
      </c>
      <c r="I8" s="171" t="s">
        <v>41</v>
      </c>
      <c r="J8" s="174" t="s">
        <v>167</v>
      </c>
      <c r="K8" s="174" t="s">
        <v>41</v>
      </c>
      <c r="L8" s="171" t="s">
        <v>168</v>
      </c>
      <c r="M8" s="171" t="s">
        <v>41</v>
      </c>
      <c r="N8" s="174" t="s">
        <v>66</v>
      </c>
      <c r="O8" s="174" t="s">
        <v>41</v>
      </c>
      <c r="P8" s="171" t="s">
        <v>169</v>
      </c>
      <c r="Q8" s="171" t="s">
        <v>41</v>
      </c>
      <c r="R8" s="174" t="s">
        <v>170</v>
      </c>
      <c r="S8" s="174" t="s">
        <v>41</v>
      </c>
      <c r="T8" s="171" t="s">
        <v>171</v>
      </c>
      <c r="U8" s="171" t="s">
        <v>41</v>
      </c>
      <c r="V8" s="172" t="str">
        <f aca="false">V5</f>
        <v>u20</v>
      </c>
      <c r="W8" s="172" t="str">
        <f aca="false">W5</f>
        <v>Lid</v>
      </c>
      <c r="X8" s="172" t="str">
        <f aca="false">X5</f>
        <v>POT</v>
      </c>
      <c r="Y8" s="172" t="str">
        <f aca="false">Y5</f>
        <v>Cap</v>
      </c>
      <c r="Z8" s="172" t="s">
        <v>171</v>
      </c>
      <c r="AA8" s="172" t="str">
        <f aca="false">AA5</f>
        <v>HTMS</v>
      </c>
      <c r="AB8" s="172" t="s">
        <v>58</v>
      </c>
      <c r="AC8" s="172" t="s">
        <v>167</v>
      </c>
      <c r="AD8" s="172" t="s">
        <v>168</v>
      </c>
      <c r="AE8" s="172" t="s">
        <v>66</v>
      </c>
      <c r="AF8" s="172" t="s">
        <v>169</v>
      </c>
      <c r="AG8" s="172" t="s">
        <v>170</v>
      </c>
      <c r="AH8" s="172" t="s">
        <v>171</v>
      </c>
      <c r="AI8" s="173" t="str">
        <f aca="false">AI5</f>
        <v>Ca</v>
      </c>
      <c r="AJ8" s="159"/>
    </row>
    <row r="9" customFormat="false" ht="13.8" hidden="false" customHeight="false" outlineLevel="0" collapsed="false">
      <c r="A9" s="175" t="s">
        <v>180</v>
      </c>
      <c r="B9" s="175"/>
      <c r="C9" s="175"/>
      <c r="D9" s="175"/>
      <c r="E9" s="175"/>
      <c r="F9" s="176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7"/>
      <c r="AJ9" s="155"/>
    </row>
    <row r="10" customFormat="false" ht="13.8" hidden="false" customHeight="false" outlineLevel="0" collapsed="false">
      <c r="A10" s="178" t="s">
        <v>177</v>
      </c>
      <c r="B10" s="178"/>
      <c r="C10" s="178"/>
      <c r="D10" s="178"/>
      <c r="E10" s="178"/>
      <c r="F10" s="178"/>
      <c r="G10" s="179"/>
      <c r="H10" s="178" t="s">
        <v>178</v>
      </c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7"/>
      <c r="AJ10" s="166"/>
    </row>
    <row r="11" customFormat="false" ht="13.8" hidden="false" customHeight="false" outlineLevel="0" collapsed="false">
      <c r="A11" s="178" t="s">
        <v>3</v>
      </c>
      <c r="B11" s="178" t="s">
        <v>162</v>
      </c>
      <c r="C11" s="178" t="s">
        <v>5</v>
      </c>
      <c r="D11" s="179" t="s">
        <v>163</v>
      </c>
      <c r="E11" s="178" t="s">
        <v>164</v>
      </c>
      <c r="F11" s="178" t="str">
        <f aca="false">F8</f>
        <v>Fecha</v>
      </c>
      <c r="G11" s="179" t="s">
        <v>166</v>
      </c>
      <c r="H11" s="178" t="s">
        <v>58</v>
      </c>
      <c r="I11" s="178" t="s">
        <v>41</v>
      </c>
      <c r="J11" s="178" t="s">
        <v>167</v>
      </c>
      <c r="K11" s="178" t="s">
        <v>41</v>
      </c>
      <c r="L11" s="178" t="s">
        <v>168</v>
      </c>
      <c r="M11" s="178" t="s">
        <v>41</v>
      </c>
      <c r="N11" s="178" t="s">
        <v>66</v>
      </c>
      <c r="O11" s="178" t="s">
        <v>41</v>
      </c>
      <c r="P11" s="178" t="s">
        <v>169</v>
      </c>
      <c r="Q11" s="178" t="s">
        <v>41</v>
      </c>
      <c r="R11" s="178" t="s">
        <v>170</v>
      </c>
      <c r="S11" s="178" t="s">
        <v>41</v>
      </c>
      <c r="T11" s="178" t="s">
        <v>171</v>
      </c>
      <c r="U11" s="178" t="s">
        <v>41</v>
      </c>
      <c r="V11" s="179" t="str">
        <f aca="false">V8</f>
        <v>u20</v>
      </c>
      <c r="W11" s="179" t="str">
        <f aca="false">W8</f>
        <v>Lid</v>
      </c>
      <c r="X11" s="179" t="str">
        <f aca="false">X8</f>
        <v>POT</v>
      </c>
      <c r="Y11" s="179" t="str">
        <f aca="false">Y8</f>
        <v>Cap</v>
      </c>
      <c r="Z11" s="179" t="s">
        <v>171</v>
      </c>
      <c r="AA11" s="179" t="str">
        <f aca="false">AA8</f>
        <v>HTMS</v>
      </c>
      <c r="AB11" s="179" t="s">
        <v>58</v>
      </c>
      <c r="AC11" s="179" t="s">
        <v>167</v>
      </c>
      <c r="AD11" s="179" t="s">
        <v>168</v>
      </c>
      <c r="AE11" s="179" t="s">
        <v>66</v>
      </c>
      <c r="AF11" s="179" t="s">
        <v>169</v>
      </c>
      <c r="AG11" s="179" t="s">
        <v>170</v>
      </c>
      <c r="AH11" s="179" t="s">
        <v>171</v>
      </c>
      <c r="AI11" s="177" t="str">
        <f aca="false">AI8</f>
        <v>Ca</v>
      </c>
      <c r="AJ11" s="159"/>
    </row>
    <row r="12" customFormat="false" ht="15" hidden="false" customHeight="false" outlineLevel="0" collapsed="false">
      <c r="A12" s="180" t="s">
        <v>181</v>
      </c>
      <c r="B12" s="181" t="n">
        <v>15</v>
      </c>
      <c r="C12" s="182" t="n">
        <f aca="false">3+$A$30-$A$32</f>
        <v>4</v>
      </c>
      <c r="D12" s="183"/>
      <c r="E12" s="184" t="n">
        <f aca="true">F12-TODAY()</f>
        <v>220</v>
      </c>
      <c r="F12" s="185" t="n">
        <v>43858</v>
      </c>
      <c r="G12" s="186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8" t="s">
        <v>182</v>
      </c>
      <c r="W12" s="189"/>
      <c r="X12" s="189" t="n">
        <f aca="false">COUNT(I12,K12,M12,O12,Q12,S12,U12)</f>
        <v>0</v>
      </c>
      <c r="Y12" s="189" t="n">
        <v>0</v>
      </c>
      <c r="Z12" s="189" t="n">
        <v>0</v>
      </c>
      <c r="AA12" s="189"/>
      <c r="AB12" s="190"/>
      <c r="AC12" s="190"/>
      <c r="AD12" s="190"/>
      <c r="AE12" s="190"/>
      <c r="AF12" s="190"/>
      <c r="AG12" s="190"/>
      <c r="AH12" s="190"/>
      <c r="AI12" s="191"/>
      <c r="AJ12" s="192"/>
    </row>
    <row r="13" customFormat="false" ht="13.8" hidden="false" customHeight="false" outlineLevel="0" collapsed="false">
      <c r="A13" s="180" t="s">
        <v>183</v>
      </c>
      <c r="B13" s="193" t="n">
        <v>15</v>
      </c>
      <c r="C13" s="182" t="n">
        <f aca="false">11+$A$30-$A$32</f>
        <v>12</v>
      </c>
      <c r="D13" s="183"/>
      <c r="E13" s="184" t="n">
        <f aca="true">F13-TODAY()</f>
        <v>212</v>
      </c>
      <c r="F13" s="185" t="n">
        <v>43850</v>
      </c>
      <c r="G13" s="186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88" t="s">
        <v>184</v>
      </c>
      <c r="W13" s="189"/>
      <c r="X13" s="189" t="n">
        <f aca="false">COUNT(I13,K13,M13,O13,Q13,S13,U13)</f>
        <v>0</v>
      </c>
      <c r="Y13" s="189" t="n">
        <v>0</v>
      </c>
      <c r="Z13" s="189" t="n">
        <v>0</v>
      </c>
      <c r="AA13" s="189"/>
      <c r="AB13" s="195"/>
      <c r="AC13" s="195"/>
      <c r="AD13" s="195"/>
      <c r="AE13" s="195"/>
      <c r="AF13" s="195"/>
      <c r="AG13" s="195"/>
      <c r="AH13" s="195"/>
      <c r="AI13" s="191"/>
      <c r="AJ13" s="192"/>
    </row>
    <row r="14" customFormat="false" ht="13.8" hidden="false" customHeight="false" outlineLevel="0" collapsed="false">
      <c r="A14" s="180" t="s">
        <v>185</v>
      </c>
      <c r="B14" s="193" t="n">
        <v>15</v>
      </c>
      <c r="C14" s="182" t="n">
        <f aca="false">14+$A$30-$A$32</f>
        <v>15</v>
      </c>
      <c r="D14" s="183"/>
      <c r="E14" s="184" t="n">
        <f aca="true">F14-TODAY()</f>
        <v>209</v>
      </c>
      <c r="F14" s="185" t="n">
        <v>43847</v>
      </c>
      <c r="G14" s="186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88" t="s">
        <v>186</v>
      </c>
      <c r="W14" s="189"/>
      <c r="X14" s="189" t="n">
        <f aca="false">COUNT(I14,K14,M14,O14,M26,S14,U14)</f>
        <v>0</v>
      </c>
      <c r="Y14" s="189" t="n">
        <v>0</v>
      </c>
      <c r="Z14" s="189" t="n">
        <v>0</v>
      </c>
      <c r="AA14" s="189"/>
      <c r="AB14" s="190"/>
      <c r="AC14" s="190"/>
      <c r="AD14" s="190"/>
      <c r="AE14" s="190"/>
      <c r="AF14" s="190"/>
      <c r="AG14" s="190"/>
      <c r="AH14" s="190"/>
      <c r="AI14" s="191"/>
      <c r="AJ14" s="192"/>
    </row>
    <row r="15" customFormat="false" ht="13.8" hidden="false" customHeight="false" outlineLevel="0" collapsed="false">
      <c r="A15" s="180" t="s">
        <v>187</v>
      </c>
      <c r="B15" s="181" t="n">
        <v>15</v>
      </c>
      <c r="C15" s="182" t="n">
        <f aca="false">33+$A$30-$A$32</f>
        <v>34</v>
      </c>
      <c r="D15" s="196"/>
      <c r="E15" s="184" t="n">
        <f aca="true">F15-TODAY()</f>
        <v>190</v>
      </c>
      <c r="F15" s="185" t="n">
        <v>43828</v>
      </c>
      <c r="G15" s="186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88" t="s">
        <v>188</v>
      </c>
      <c r="W15" s="189"/>
      <c r="X15" s="189" t="n">
        <f aca="false">COUNT(I15,K15,M15,O15,Q15,S15,U15)</f>
        <v>0</v>
      </c>
      <c r="Y15" s="189" t="n">
        <v>0</v>
      </c>
      <c r="Z15" s="189" t="n">
        <v>0</v>
      </c>
      <c r="AA15" s="189"/>
      <c r="AB15" s="190"/>
      <c r="AC15" s="190"/>
      <c r="AD15" s="190"/>
      <c r="AE15" s="190"/>
      <c r="AF15" s="190"/>
      <c r="AG15" s="190"/>
      <c r="AH15" s="190"/>
      <c r="AI15" s="191"/>
      <c r="AJ15" s="192"/>
    </row>
    <row r="16" customFormat="false" ht="13.8" hidden="false" customHeight="false" outlineLevel="0" collapsed="false">
      <c r="A16" s="180" t="s">
        <v>189</v>
      </c>
      <c r="B16" s="193" t="n">
        <v>15</v>
      </c>
      <c r="C16" s="182" t="n">
        <f aca="false">51+$A$30-$A$32</f>
        <v>52</v>
      </c>
      <c r="D16" s="183"/>
      <c r="E16" s="184" t="n">
        <f aca="true">F16-TODAY()</f>
        <v>172</v>
      </c>
      <c r="F16" s="185" t="n">
        <v>43810</v>
      </c>
      <c r="G16" s="186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88" t="s">
        <v>188</v>
      </c>
      <c r="W16" s="189"/>
      <c r="X16" s="189" t="n">
        <f aca="false">COUNT(I16,K16,M16,O16,Q16,S16,U16)</f>
        <v>0</v>
      </c>
      <c r="Y16" s="189" t="n">
        <v>0</v>
      </c>
      <c r="Z16" s="189" t="n">
        <v>0</v>
      </c>
      <c r="AA16" s="189"/>
      <c r="AB16" s="190"/>
      <c r="AC16" s="190"/>
      <c r="AD16" s="190"/>
      <c r="AE16" s="190"/>
      <c r="AF16" s="190"/>
      <c r="AG16" s="190"/>
      <c r="AH16" s="190"/>
      <c r="AI16" s="191"/>
      <c r="AJ16" s="192"/>
    </row>
    <row r="17" customFormat="false" ht="13.8" hidden="false" customHeight="false" outlineLevel="0" collapsed="false">
      <c r="A17" s="197" t="s">
        <v>190</v>
      </c>
      <c r="B17" s="193" t="n">
        <v>15</v>
      </c>
      <c r="C17" s="182" t="n">
        <f aca="false">70+$A$30-$A$32</f>
        <v>71</v>
      </c>
      <c r="D17" s="196"/>
      <c r="E17" s="184" t="n">
        <f aca="true">F17-TODAY()</f>
        <v>153</v>
      </c>
      <c r="F17" s="185" t="n">
        <v>43791</v>
      </c>
      <c r="G17" s="186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88" t="s">
        <v>191</v>
      </c>
      <c r="W17" s="189"/>
      <c r="X17" s="189" t="n">
        <f aca="false">COUNT(I17,K17,M17,O17,Q17,S17,U17)</f>
        <v>0</v>
      </c>
      <c r="Y17" s="189" t="n">
        <v>0</v>
      </c>
      <c r="Z17" s="189" t="n">
        <v>0</v>
      </c>
      <c r="AA17" s="189"/>
      <c r="AB17" s="195"/>
      <c r="AC17" s="195"/>
      <c r="AD17" s="195"/>
      <c r="AE17" s="195"/>
      <c r="AF17" s="195"/>
      <c r="AG17" s="195"/>
      <c r="AH17" s="195"/>
      <c r="AI17" s="191"/>
      <c r="AJ17" s="193"/>
    </row>
    <row r="18" customFormat="false" ht="13.8" hidden="false" customHeight="false" outlineLevel="0" collapsed="false">
      <c r="A18" s="197" t="s">
        <v>192</v>
      </c>
      <c r="B18" s="193" t="n">
        <v>15</v>
      </c>
      <c r="C18" s="182" t="n">
        <f aca="false">76+$A$30-$A$32</f>
        <v>77</v>
      </c>
      <c r="D18" s="196"/>
      <c r="E18" s="184" t="n">
        <f aca="true">F18-TODAY()</f>
        <v>147</v>
      </c>
      <c r="F18" s="185" t="n">
        <v>43785</v>
      </c>
      <c r="G18" s="186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88" t="s">
        <v>193</v>
      </c>
      <c r="W18" s="189"/>
      <c r="X18" s="189" t="n">
        <f aca="false">COUNT(I18,K18,M18,O18,Q18,S18,U18)</f>
        <v>0</v>
      </c>
      <c r="Y18" s="189" t="n">
        <v>0</v>
      </c>
      <c r="Z18" s="189" t="n">
        <v>0</v>
      </c>
      <c r="AA18" s="189"/>
      <c r="AB18" s="195"/>
      <c r="AC18" s="195"/>
      <c r="AD18" s="195"/>
      <c r="AE18" s="195"/>
      <c r="AF18" s="195"/>
      <c r="AG18" s="195"/>
      <c r="AH18" s="195"/>
      <c r="AI18" s="191"/>
      <c r="AJ18" s="192"/>
    </row>
    <row r="19" customFormat="false" ht="13.8" hidden="false" customHeight="false" outlineLevel="0" collapsed="false">
      <c r="A19" s="197" t="s">
        <v>194</v>
      </c>
      <c r="B19" s="193" t="n">
        <v>15</v>
      </c>
      <c r="C19" s="182" t="n">
        <f aca="false">96+$A$30-$A$32</f>
        <v>97</v>
      </c>
      <c r="D19" s="196"/>
      <c r="E19" s="184" t="n">
        <f aca="true">F19-TODAY()</f>
        <v>127</v>
      </c>
      <c r="F19" s="185" t="n">
        <v>43765</v>
      </c>
      <c r="G19" s="186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88" t="s">
        <v>195</v>
      </c>
      <c r="W19" s="189"/>
      <c r="X19" s="189" t="n">
        <f aca="false">COUNT(I19,K19,M19,O19,Q19,S19,U19)</f>
        <v>0</v>
      </c>
      <c r="Y19" s="189" t="n">
        <v>0</v>
      </c>
      <c r="Z19" s="189" t="n">
        <v>0</v>
      </c>
      <c r="AA19" s="189"/>
      <c r="AB19" s="195"/>
      <c r="AC19" s="195"/>
      <c r="AD19" s="195"/>
      <c r="AE19" s="195"/>
      <c r="AF19" s="195"/>
      <c r="AG19" s="195"/>
      <c r="AH19" s="195"/>
      <c r="AI19" s="191"/>
      <c r="AJ19" s="192"/>
    </row>
    <row r="20" customFormat="false" ht="13.8" hidden="false" customHeight="false" outlineLevel="0" collapsed="false">
      <c r="A20" s="197" t="s">
        <v>196</v>
      </c>
      <c r="B20" s="181" t="n">
        <v>16</v>
      </c>
      <c r="C20" s="182" t="n">
        <f aca="false">-1+$A$30-$A$32</f>
        <v>0</v>
      </c>
      <c r="D20" s="198"/>
      <c r="E20" s="184" t="n">
        <f aca="true">F20-TODAY()</f>
        <v>112</v>
      </c>
      <c r="F20" s="185" t="n">
        <v>43750</v>
      </c>
      <c r="G20" s="186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88" t="s">
        <v>197</v>
      </c>
      <c r="W20" s="198"/>
      <c r="X20" s="189" t="n">
        <f aca="false">COUNT(I20,K20,M20,O20,Q20,S20,U20)</f>
        <v>0</v>
      </c>
      <c r="Y20" s="189" t="n">
        <v>0</v>
      </c>
      <c r="Z20" s="189" t="n">
        <v>0</v>
      </c>
      <c r="AA20" s="189"/>
      <c r="AB20" s="199"/>
      <c r="AC20" s="199"/>
      <c r="AD20" s="199"/>
      <c r="AE20" s="199"/>
      <c r="AF20" s="199"/>
      <c r="AG20" s="199"/>
      <c r="AH20" s="199"/>
      <c r="AI20" s="191"/>
      <c r="AJ20" s="192"/>
    </row>
    <row r="21" customFormat="false" ht="13.8" hidden="false" customHeight="false" outlineLevel="0" collapsed="false">
      <c r="A21" s="197" t="s">
        <v>198</v>
      </c>
      <c r="B21" s="193" t="n">
        <v>16</v>
      </c>
      <c r="C21" s="182" t="n">
        <f aca="false">29+$A$30-$A$32</f>
        <v>30</v>
      </c>
      <c r="D21" s="183"/>
      <c r="E21" s="184" t="n">
        <f aca="true">F21-TODAY()</f>
        <v>111</v>
      </c>
      <c r="F21" s="185" t="n">
        <v>43749</v>
      </c>
      <c r="G21" s="186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88" t="s">
        <v>188</v>
      </c>
      <c r="W21" s="189"/>
      <c r="X21" s="189" t="n">
        <f aca="false">COUNT(I21,K21,M21,O21,Q21,S21,U21)</f>
        <v>0</v>
      </c>
      <c r="Y21" s="189" t="n">
        <v>0</v>
      </c>
      <c r="Z21" s="189" t="n">
        <v>0</v>
      </c>
      <c r="AA21" s="189"/>
      <c r="AB21" s="195"/>
      <c r="AC21" s="195"/>
      <c r="AD21" s="195"/>
      <c r="AE21" s="195"/>
      <c r="AF21" s="195"/>
      <c r="AG21" s="195"/>
      <c r="AH21" s="195"/>
      <c r="AI21" s="191"/>
      <c r="AJ21" s="192"/>
    </row>
    <row r="22" customFormat="false" ht="13.8" hidden="false" customHeight="false" outlineLevel="0" collapsed="false">
      <c r="A22" s="197" t="s">
        <v>199</v>
      </c>
      <c r="B22" s="181" t="n">
        <v>16</v>
      </c>
      <c r="C22" s="182" t="n">
        <f aca="false">22+$A$30-$A$32</f>
        <v>23</v>
      </c>
      <c r="D22" s="183"/>
      <c r="E22" s="184" t="n">
        <f aca="true">F22-TODAY()</f>
        <v>112</v>
      </c>
      <c r="F22" s="185" t="n">
        <v>43750</v>
      </c>
      <c r="G22" s="186" t="s">
        <v>200</v>
      </c>
      <c r="H22" s="194"/>
      <c r="I22" s="194"/>
      <c r="J22" s="194"/>
      <c r="K22" s="194" t="n">
        <v>3.99</v>
      </c>
      <c r="L22" s="194" t="n">
        <v>1</v>
      </c>
      <c r="M22" s="194"/>
      <c r="N22" s="194"/>
      <c r="O22" s="194"/>
      <c r="P22" s="194"/>
      <c r="Q22" s="194"/>
      <c r="R22" s="194"/>
      <c r="S22" s="194"/>
      <c r="T22" s="194"/>
      <c r="U22" s="194"/>
      <c r="V22" s="188" t="s">
        <v>188</v>
      </c>
      <c r="W22" s="189"/>
      <c r="X22" s="189" t="n">
        <f aca="false">COUNT(I22,K22,M22,O22,Q22,S22,U22)</f>
        <v>1</v>
      </c>
      <c r="Y22" s="189" t="n">
        <v>0</v>
      </c>
      <c r="Z22" s="189" t="n">
        <v>0</v>
      </c>
      <c r="AA22" s="189"/>
      <c r="AB22" s="195"/>
      <c r="AC22" s="195"/>
      <c r="AD22" s="195"/>
      <c r="AE22" s="195"/>
      <c r="AF22" s="195"/>
      <c r="AG22" s="195"/>
      <c r="AH22" s="195"/>
      <c r="AI22" s="191"/>
      <c r="AJ22" s="192"/>
    </row>
    <row r="23" customFormat="false" ht="13.8" hidden="false" customHeight="false" outlineLevel="0" collapsed="false">
      <c r="A23" s="180" t="s">
        <v>201</v>
      </c>
      <c r="B23" s="181" t="n">
        <v>16</v>
      </c>
      <c r="C23" s="182" t="n">
        <f aca="false">40+$A$30-$A$32</f>
        <v>41</v>
      </c>
      <c r="D23" s="183"/>
      <c r="E23" s="184" t="n">
        <f aca="true">F23-TODAY()</f>
        <v>111</v>
      </c>
      <c r="F23" s="185" t="n">
        <v>43749</v>
      </c>
      <c r="G23" s="186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88" t="s">
        <v>188</v>
      </c>
      <c r="W23" s="189"/>
      <c r="X23" s="189" t="n">
        <f aca="false">COUNT(I23,K23,M23,O23,Q23,S23,U23)</f>
        <v>0</v>
      </c>
      <c r="Y23" s="189" t="n">
        <v>0</v>
      </c>
      <c r="Z23" s="189" t="n">
        <v>0</v>
      </c>
      <c r="AA23" s="189"/>
      <c r="AB23" s="195"/>
      <c r="AC23" s="195"/>
      <c r="AD23" s="195"/>
      <c r="AE23" s="195"/>
      <c r="AF23" s="195"/>
      <c r="AG23" s="195"/>
      <c r="AH23" s="195"/>
      <c r="AI23" s="191"/>
      <c r="AJ23" s="193"/>
    </row>
    <row r="24" customFormat="false" ht="13.8" hidden="false" customHeight="false" outlineLevel="0" collapsed="false">
      <c r="A24" s="180" t="s">
        <v>202</v>
      </c>
      <c r="B24" s="181" t="n">
        <v>16</v>
      </c>
      <c r="C24" s="182" t="n">
        <f aca="false">66+$A$30-$A$32</f>
        <v>67</v>
      </c>
      <c r="D24" s="183"/>
      <c r="E24" s="184" t="n">
        <f aca="true">F24-TODAY()</f>
        <v>111</v>
      </c>
      <c r="F24" s="185" t="n">
        <v>43749</v>
      </c>
      <c r="G24" s="186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88" t="s">
        <v>188</v>
      </c>
      <c r="W24" s="189"/>
      <c r="X24" s="189" t="n">
        <f aca="false">COUNT(I24,K24,M24,O24,Q24,S24,U24)</f>
        <v>0</v>
      </c>
      <c r="Y24" s="189" t="n">
        <v>0</v>
      </c>
      <c r="Z24" s="189" t="n">
        <v>0</v>
      </c>
      <c r="AA24" s="189"/>
      <c r="AB24" s="195"/>
      <c r="AC24" s="195"/>
      <c r="AD24" s="195"/>
      <c r="AE24" s="195"/>
      <c r="AF24" s="195"/>
      <c r="AG24" s="195"/>
      <c r="AH24" s="195"/>
      <c r="AI24" s="191"/>
      <c r="AJ24" s="192"/>
    </row>
    <row r="25" customFormat="false" ht="13.8" hidden="false" customHeight="false" outlineLevel="0" collapsed="false">
      <c r="A25" s="180" t="s">
        <v>203</v>
      </c>
      <c r="B25" s="181" t="n">
        <v>16</v>
      </c>
      <c r="C25" s="182" t="n">
        <f aca="false">67+$A$30-$A$32</f>
        <v>68</v>
      </c>
      <c r="D25" s="183"/>
      <c r="E25" s="184" t="n">
        <f aca="true">F25-TODAY()</f>
        <v>111</v>
      </c>
      <c r="F25" s="185" t="n">
        <v>43749</v>
      </c>
      <c r="G25" s="186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88" t="s">
        <v>188</v>
      </c>
      <c r="W25" s="189"/>
      <c r="X25" s="189" t="n">
        <f aca="false">COUNT(I25,K25,M25,O25,Q25,S25,U25)</f>
        <v>0</v>
      </c>
      <c r="Y25" s="189" t="n">
        <v>0</v>
      </c>
      <c r="Z25" s="189" t="n">
        <v>0</v>
      </c>
      <c r="AA25" s="189"/>
      <c r="AB25" s="195"/>
      <c r="AC25" s="195"/>
      <c r="AD25" s="195"/>
      <c r="AE25" s="195"/>
      <c r="AF25" s="195"/>
      <c r="AG25" s="195"/>
      <c r="AH25" s="195"/>
      <c r="AI25" s="191"/>
      <c r="AJ25" s="193"/>
    </row>
    <row r="26" customFormat="false" ht="13.8" hidden="false" customHeight="false" outlineLevel="0" collapsed="false">
      <c r="A26" s="200" t="s">
        <v>204</v>
      </c>
      <c r="B26" s="193" t="n">
        <v>16</v>
      </c>
      <c r="C26" s="182" t="n">
        <f aca="false">71+$A$30-$A$32</f>
        <v>72</v>
      </c>
      <c r="D26" s="196"/>
      <c r="E26" s="184" t="n">
        <f aca="true">F26-TODAY()</f>
        <v>111</v>
      </c>
      <c r="F26" s="185" t="n">
        <v>43749</v>
      </c>
      <c r="G26" s="186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88" t="s">
        <v>188</v>
      </c>
      <c r="W26" s="189"/>
      <c r="X26" s="189" t="n">
        <f aca="false">COUNT(I26,K26,#REF!,O26,Q26,S26,U26)</f>
        <v>0</v>
      </c>
      <c r="Y26" s="189" t="n">
        <v>0</v>
      </c>
      <c r="Z26" s="189" t="n">
        <v>0</v>
      </c>
      <c r="AA26" s="189"/>
      <c r="AB26" s="195"/>
      <c r="AC26" s="195"/>
      <c r="AD26" s="195"/>
      <c r="AE26" s="195"/>
      <c r="AF26" s="195"/>
      <c r="AG26" s="195"/>
      <c r="AH26" s="195"/>
      <c r="AI26" s="191"/>
      <c r="AJ26" s="192"/>
    </row>
    <row r="27" customFormat="false" ht="13.8" hidden="false" customHeight="false" outlineLevel="0" collapsed="false">
      <c r="A27" s="197" t="s">
        <v>205</v>
      </c>
      <c r="B27" s="193" t="n">
        <v>16</v>
      </c>
      <c r="C27" s="182" t="n">
        <f aca="false">103+$A$30-$A$32</f>
        <v>104</v>
      </c>
      <c r="D27" s="196"/>
      <c r="E27" s="184" t="n">
        <f aca="true">F27-TODAY()</f>
        <v>111</v>
      </c>
      <c r="F27" s="185" t="n">
        <v>43749</v>
      </c>
      <c r="G27" s="186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88" t="s">
        <v>188</v>
      </c>
      <c r="W27" s="189"/>
      <c r="X27" s="189" t="n">
        <f aca="false">COUNT(I27,K27,M27,O27,Q27,S27,U27)</f>
        <v>0</v>
      </c>
      <c r="Y27" s="189" t="n">
        <v>0</v>
      </c>
      <c r="Z27" s="189" t="n">
        <v>0</v>
      </c>
      <c r="AA27" s="189"/>
      <c r="AB27" s="195"/>
      <c r="AC27" s="195"/>
      <c r="AD27" s="195"/>
      <c r="AE27" s="195"/>
      <c r="AF27" s="195"/>
      <c r="AG27" s="195"/>
      <c r="AH27" s="195"/>
      <c r="AI27" s="191"/>
      <c r="AJ27" s="192"/>
    </row>
    <row r="28" customFormat="false" ht="13.8" hidden="false" customHeight="false" outlineLevel="0" collapsed="false">
      <c r="A28" s="193"/>
      <c r="B28" s="193"/>
      <c r="C28" s="201"/>
      <c r="D28" s="202"/>
      <c r="E28" s="193"/>
      <c r="F28" s="193"/>
      <c r="G28" s="202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3"/>
      <c r="AJ28" s="193"/>
    </row>
    <row r="29" customFormat="false" ht="13.8" hidden="false" customHeight="false" outlineLevel="0" collapsed="false">
      <c r="A29" s="204" t="s">
        <v>206</v>
      </c>
      <c r="B29" s="192"/>
      <c r="C29" s="192"/>
      <c r="D29" s="192"/>
      <c r="E29" s="205"/>
      <c r="F29" s="192"/>
      <c r="G29" s="198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3"/>
      <c r="S29" s="193"/>
      <c r="T29" s="192"/>
      <c r="U29" s="192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206"/>
      <c r="AJ29" s="192"/>
    </row>
    <row r="30" customFormat="false" ht="13.8" hidden="false" customHeight="false" outlineLevel="0" collapsed="false">
      <c r="A30" s="207" t="n">
        <f aca="true">TODAY()</f>
        <v>43638</v>
      </c>
      <c r="B30" s="208"/>
      <c r="C30" s="192"/>
      <c r="D30" s="192"/>
      <c r="E30" s="205"/>
      <c r="F30" s="209" t="s">
        <v>207</v>
      </c>
      <c r="G30" s="210"/>
      <c r="H30" s="198"/>
      <c r="I30" s="192"/>
      <c r="J30" s="192"/>
      <c r="K30" s="192"/>
      <c r="L30" s="192"/>
      <c r="M30" s="192"/>
      <c r="N30" s="192"/>
      <c r="O30" s="192"/>
      <c r="P30" s="192"/>
      <c r="Q30" s="192"/>
      <c r="R30" s="193"/>
      <c r="S30" s="193"/>
      <c r="T30" s="192"/>
      <c r="U30" s="192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211"/>
      <c r="AJ30" s="192"/>
    </row>
    <row r="31" customFormat="false" ht="13.8" hidden="false" customHeight="false" outlineLevel="0" collapsed="false">
      <c r="A31" s="212" t="n">
        <f aca="false">A32-A30</f>
        <v>-1</v>
      </c>
      <c r="B31" s="193"/>
      <c r="C31" s="193"/>
      <c r="D31" s="193"/>
      <c r="E31" s="193"/>
      <c r="F31" s="192"/>
      <c r="G31" s="198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3"/>
      <c r="S31" s="193"/>
      <c r="T31" s="192"/>
      <c r="U31" s="192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206"/>
      <c r="AJ31" s="192"/>
    </row>
    <row r="32" customFormat="false" ht="13.8" hidden="false" customHeight="false" outlineLevel="0" collapsed="false">
      <c r="A32" s="213" t="n">
        <v>43637</v>
      </c>
      <c r="B32" s="214"/>
      <c r="C32" s="214"/>
      <c r="D32" s="193"/>
      <c r="E32" s="193"/>
      <c r="F32" s="192"/>
      <c r="G32" s="198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3"/>
      <c r="S32" s="193"/>
      <c r="T32" s="192"/>
      <c r="U32" s="192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206"/>
      <c r="AJ32" s="192"/>
    </row>
    <row r="33" customFormat="false" ht="13.8" hidden="false" customHeight="false" outlineLevel="0" collapsed="false">
      <c r="A33" s="193"/>
      <c r="B33" s="193"/>
      <c r="C33" s="193"/>
      <c r="D33" s="193"/>
      <c r="E33" s="193"/>
      <c r="F33" s="192"/>
      <c r="G33" s="198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3"/>
      <c r="S33" s="193"/>
      <c r="T33" s="192"/>
      <c r="U33" s="192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206"/>
      <c r="AJ33" s="192"/>
    </row>
  </sheetData>
  <mergeCells count="4">
    <mergeCell ref="A1:E1"/>
    <mergeCell ref="A3:E3"/>
    <mergeCell ref="A6:E6"/>
    <mergeCell ref="A9:E9"/>
  </mergeCells>
  <conditionalFormatting sqref="E12:E27">
    <cfRule type="cellIs" priority="2" operator="between" aboveAverage="0" equalAverage="0" bottom="0" percent="0" rank="0" text="" dxfId="15">
      <formula>0</formula>
      <formula>14</formula>
    </cfRule>
    <cfRule type="cellIs" priority="3" operator="lessThan" aboveAverage="0" equalAverage="0" bottom="0" percent="0" rank="0" text="" dxfId="16">
      <formula>0</formula>
    </cfRule>
    <cfRule type="cellIs" priority="4" operator="greaterThan" aboveAverage="0" equalAverage="0" bottom="0" percent="0" rank="0" text="" dxfId="17">
      <formula>14</formula>
    </cfRule>
  </conditionalFormatting>
  <conditionalFormatting sqref="X23:X27 X12:X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false"/>
  </sheetPr>
  <dimension ref="A1:AV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6" min="2" style="0" width="12.42"/>
    <col collapsed="false" customWidth="true" hidden="false" outlineLevel="0" max="7" min="7" style="0" width="13.57"/>
    <col collapsed="false" customWidth="true" hidden="false" outlineLevel="0" max="10" min="8" style="0" width="12.42"/>
    <col collapsed="false" customWidth="true" hidden="false" outlineLevel="0" max="11" min="11" style="0" width="14.86"/>
    <col collapsed="false" customWidth="true" hidden="false" outlineLevel="0" max="12" min="12" style="0" width="11.99"/>
    <col collapsed="false" customWidth="false" hidden="false" outlineLevel="0" max="13" min="13" style="0" width="11.42"/>
    <col collapsed="false" customWidth="true" hidden="false" outlineLevel="0" max="18" min="14" style="0" width="11.99"/>
    <col collapsed="false" customWidth="false" hidden="false" outlineLevel="0" max="19" min="19" style="0" width="11.42"/>
    <col collapsed="false" customWidth="true" hidden="false" outlineLevel="0" max="20" min="20" style="0" width="11.99"/>
    <col collapsed="false" customWidth="false" hidden="false" outlineLevel="0" max="21" min="21" style="0" width="11.42"/>
    <col collapsed="false" customWidth="true" hidden="false" outlineLevel="0" max="30" min="22" style="0" width="12.42"/>
    <col collapsed="false" customWidth="true" hidden="false" outlineLevel="0" max="37" min="31" style="0" width="6.57"/>
    <col collapsed="false" customWidth="true" hidden="false" outlineLevel="0" max="1025" min="38" style="0" width="9.14"/>
  </cols>
  <sheetData>
    <row r="1" customFormat="false" ht="40.5" hidden="false" customHeight="false" outlineLevel="0" collapsed="false">
      <c r="M1" s="215" t="s">
        <v>208</v>
      </c>
      <c r="N1" s="215" t="s">
        <v>209</v>
      </c>
      <c r="O1" s="215" t="s">
        <v>210</v>
      </c>
      <c r="P1" s="215" t="s">
        <v>211</v>
      </c>
      <c r="Q1" s="215" t="s">
        <v>212</v>
      </c>
      <c r="R1" s="215" t="s">
        <v>213</v>
      </c>
      <c r="S1" s="215" t="s">
        <v>214</v>
      </c>
      <c r="T1" s="79"/>
      <c r="U1" s="215" t="s">
        <v>215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</row>
    <row r="2" customFormat="false" ht="15" hidden="false" customHeight="false" outlineLevel="0" collapsed="false">
      <c r="C2" s="216" t="s">
        <v>216</v>
      </c>
      <c r="D2" s="217" t="s">
        <v>217</v>
      </c>
      <c r="E2" s="217"/>
      <c r="F2" s="218" t="s">
        <v>218</v>
      </c>
      <c r="G2" s="218"/>
      <c r="H2" s="219" t="s">
        <v>219</v>
      </c>
      <c r="I2" s="219"/>
      <c r="K2" s="63"/>
      <c r="M2" s="220" t="n">
        <v>11</v>
      </c>
      <c r="N2" s="221" t="n">
        <v>14.98</v>
      </c>
      <c r="O2" s="221" t="n">
        <v>5.95</v>
      </c>
      <c r="P2" s="222" t="n">
        <f aca="false">U2*0.97</f>
        <v>5.3253</v>
      </c>
      <c r="Q2" s="221" t="n">
        <v>0.68</v>
      </c>
      <c r="R2" s="223" t="n">
        <v>27.09</v>
      </c>
      <c r="S2" s="79"/>
      <c r="T2" s="79"/>
      <c r="U2" s="221" t="n">
        <v>5.49</v>
      </c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customFormat="false" ht="15.75" hidden="false" customHeight="false" outlineLevel="0" collapsed="false">
      <c r="A3" s="224" t="s">
        <v>220</v>
      </c>
      <c r="B3" s="225" t="n">
        <f aca="false">B4+B5+B6+B7</f>
        <v>12000</v>
      </c>
      <c r="C3" s="226" t="n">
        <f aca="false">C4+C5+C6+C7</f>
        <v>12400</v>
      </c>
      <c r="D3" s="25" t="s">
        <v>221</v>
      </c>
      <c r="E3" s="25" t="s">
        <v>222</v>
      </c>
      <c r="F3" s="25" t="s">
        <v>221</v>
      </c>
      <c r="G3" s="25" t="s">
        <v>223</v>
      </c>
      <c r="H3" s="25" t="s">
        <v>221</v>
      </c>
      <c r="I3" s="227" t="s">
        <v>224</v>
      </c>
      <c r="J3" s="228" t="s">
        <v>225</v>
      </c>
      <c r="K3" s="25" t="s">
        <v>226</v>
      </c>
      <c r="M3" s="220" t="n">
        <v>10</v>
      </c>
      <c r="N3" s="229" t="n">
        <v>14.23</v>
      </c>
      <c r="O3" s="229" t="n">
        <v>5.59</v>
      </c>
      <c r="P3" s="222" t="n">
        <f aca="false">U3*0.97</f>
        <v>4.9179</v>
      </c>
      <c r="Q3" s="229" t="n">
        <v>0.62</v>
      </c>
      <c r="R3" s="230" t="n">
        <v>25.52</v>
      </c>
      <c r="S3" s="79"/>
      <c r="T3" s="79"/>
      <c r="U3" s="229" t="n">
        <v>5.07</v>
      </c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</row>
    <row r="4" customFormat="false" ht="15" hidden="false" customHeight="false" outlineLevel="0" collapsed="false">
      <c r="A4" s="224" t="s">
        <v>227</v>
      </c>
      <c r="B4" s="225" t="n">
        <v>8000</v>
      </c>
      <c r="C4" s="231" t="n">
        <v>8000</v>
      </c>
      <c r="D4" s="232" t="n">
        <v>45</v>
      </c>
      <c r="E4" s="233" t="n">
        <f aca="false">D4*(C4-B4)</f>
        <v>0</v>
      </c>
      <c r="F4" s="234" t="n">
        <v>0.5</v>
      </c>
      <c r="G4" s="233" t="n">
        <f aca="false">(C4-B4)*F4</f>
        <v>0</v>
      </c>
      <c r="H4" s="234" t="n">
        <v>7</v>
      </c>
      <c r="I4" s="235" t="n">
        <f aca="false">(C4-B4)*H4</f>
        <v>0</v>
      </c>
      <c r="J4" s="233" t="n">
        <f aca="false">H4*C4</f>
        <v>56000</v>
      </c>
      <c r="K4" s="25" t="n">
        <f aca="false">B4*F4</f>
        <v>4000</v>
      </c>
      <c r="L4" s="71" t="n">
        <f aca="false">5000*N13*F4</f>
        <v>1382.42894056848</v>
      </c>
      <c r="M4" s="220" t="n">
        <v>9</v>
      </c>
      <c r="N4" s="221" t="n">
        <v>13.49</v>
      </c>
      <c r="O4" s="221" t="n">
        <v>5.24</v>
      </c>
      <c r="P4" s="222" t="n">
        <f aca="false">U4*0.97</f>
        <v>4.5202</v>
      </c>
      <c r="Q4" s="221" t="n">
        <v>0.57</v>
      </c>
      <c r="R4" s="223" t="n">
        <v>23.95</v>
      </c>
      <c r="S4" s="79"/>
      <c r="T4" s="79"/>
      <c r="U4" s="221" t="n">
        <v>4.66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</row>
    <row r="5" customFormat="false" ht="15" hidden="false" customHeight="false" outlineLevel="0" collapsed="false">
      <c r="A5" s="224" t="s">
        <v>228</v>
      </c>
      <c r="B5" s="225" t="n">
        <v>3000</v>
      </c>
      <c r="C5" s="236" t="n">
        <v>3000</v>
      </c>
      <c r="D5" s="237" t="n">
        <v>75</v>
      </c>
      <c r="E5" s="233" t="n">
        <f aca="false">D5*(C5-B5)</f>
        <v>0</v>
      </c>
      <c r="F5" s="238" t="n">
        <v>0.7</v>
      </c>
      <c r="G5" s="233" t="n">
        <f aca="false">(C5-B5)*F5</f>
        <v>0</v>
      </c>
      <c r="H5" s="238" t="n">
        <v>10</v>
      </c>
      <c r="I5" s="235" t="n">
        <f aca="false">(C5-B5)*H5</f>
        <v>0</v>
      </c>
      <c r="J5" s="233" t="n">
        <f aca="false">H5*C5</f>
        <v>30000</v>
      </c>
      <c r="K5" s="25" t="n">
        <f aca="false">B5*F5</f>
        <v>2100</v>
      </c>
      <c r="L5" s="71" t="n">
        <f aca="false">5000*O13*F5</f>
        <v>768.733850129199</v>
      </c>
      <c r="M5" s="220" t="n">
        <v>8</v>
      </c>
      <c r="N5" s="229" t="n">
        <v>12.74</v>
      </c>
      <c r="O5" s="229" t="n">
        <v>4.89</v>
      </c>
      <c r="P5" s="222" t="n">
        <f aca="false">U5*0.97</f>
        <v>4.1225</v>
      </c>
      <c r="Q5" s="229" t="n">
        <v>0.51</v>
      </c>
      <c r="R5" s="230" t="n">
        <v>22.39</v>
      </c>
      <c r="S5" s="79"/>
      <c r="T5" s="79"/>
      <c r="U5" s="229" t="n">
        <v>4.25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</row>
    <row r="6" customFormat="false" ht="15" hidden="false" customHeight="false" outlineLevel="0" collapsed="false">
      <c r="A6" s="224" t="s">
        <v>229</v>
      </c>
      <c r="B6" s="225" t="n">
        <v>1000</v>
      </c>
      <c r="C6" s="236" t="n">
        <v>1200</v>
      </c>
      <c r="D6" s="232" t="n">
        <v>90</v>
      </c>
      <c r="E6" s="233" t="n">
        <f aca="false">D6*(C6-B6)</f>
        <v>18000</v>
      </c>
      <c r="F6" s="234" t="n">
        <v>1</v>
      </c>
      <c r="G6" s="233" t="n">
        <f aca="false">(C6-B6)*F6</f>
        <v>200</v>
      </c>
      <c r="H6" s="234" t="n">
        <v>19</v>
      </c>
      <c r="I6" s="235" t="n">
        <f aca="false">(C6-B6)*H6</f>
        <v>3800</v>
      </c>
      <c r="J6" s="233" t="n">
        <f aca="false">H6*C6</f>
        <v>22800</v>
      </c>
      <c r="K6" s="25" t="n">
        <f aca="false">B6*F6</f>
        <v>1000</v>
      </c>
      <c r="L6" s="71" t="n">
        <f aca="false">5000*P13*F6</f>
        <v>982.890365448505</v>
      </c>
      <c r="M6" s="220" t="n">
        <v>7</v>
      </c>
      <c r="N6" s="221" t="n">
        <v>12</v>
      </c>
      <c r="O6" s="221" t="n">
        <v>4.53</v>
      </c>
      <c r="P6" s="222" t="n">
        <f aca="false">U6*0.97</f>
        <v>3.7248</v>
      </c>
      <c r="Q6" s="221" t="n">
        <v>0.46</v>
      </c>
      <c r="R6" s="223" t="n">
        <v>20.83</v>
      </c>
      <c r="S6" s="79"/>
      <c r="T6" s="79"/>
      <c r="U6" s="221" t="n">
        <v>3.84</v>
      </c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</row>
    <row r="7" customFormat="false" ht="15.75" hidden="false" customHeight="false" outlineLevel="0" collapsed="false">
      <c r="A7" s="224" t="s">
        <v>230</v>
      </c>
      <c r="B7" s="225" t="n">
        <v>0</v>
      </c>
      <c r="C7" s="239" t="n">
        <v>200</v>
      </c>
      <c r="D7" s="237" t="n">
        <v>300</v>
      </c>
      <c r="E7" s="233" t="n">
        <f aca="false">D7*(C7-B7)</f>
        <v>60000</v>
      </c>
      <c r="F7" s="238" t="n">
        <v>2.5</v>
      </c>
      <c r="G7" s="233" t="n">
        <f aca="false">(C7-B7)*F7</f>
        <v>500</v>
      </c>
      <c r="H7" s="238" t="n">
        <v>35</v>
      </c>
      <c r="I7" s="235" t="n">
        <f aca="false">(C7-B7)*H7</f>
        <v>7000</v>
      </c>
      <c r="J7" s="233" t="n">
        <f aca="false">H7*C7</f>
        <v>7000</v>
      </c>
      <c r="K7" s="25" t="n">
        <f aca="false">B7*F7</f>
        <v>0</v>
      </c>
      <c r="L7" s="71" t="n">
        <f aca="false">5000*Q13*F7</f>
        <v>313.768918420081</v>
      </c>
      <c r="M7" s="220" t="n">
        <v>6</v>
      </c>
      <c r="N7" s="229" t="n">
        <v>11.26</v>
      </c>
      <c r="O7" s="229" t="n">
        <v>4.17</v>
      </c>
      <c r="P7" s="222" t="n">
        <f aca="false">U7*0.97</f>
        <v>3.3368</v>
      </c>
      <c r="Q7" s="229" t="n">
        <v>0.41</v>
      </c>
      <c r="R7" s="230" t="n">
        <v>19.27</v>
      </c>
      <c r="S7" s="79"/>
      <c r="T7" s="79"/>
      <c r="U7" s="229" t="n">
        <v>3.44</v>
      </c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</row>
    <row r="8" customFormat="false" ht="15" hidden="false" customHeight="false" outlineLevel="0" collapsed="false">
      <c r="C8" s="240" t="n">
        <f aca="false">C4/$C$3</f>
        <v>0.645161290322581</v>
      </c>
      <c r="J8" s="233" t="n">
        <f aca="false">J7+J6+J5+J4</f>
        <v>115800</v>
      </c>
      <c r="K8" s="25" t="n">
        <f aca="false">K7+K6+K5+K4</f>
        <v>7100</v>
      </c>
      <c r="L8" s="25" t="n">
        <f aca="false">L7+L6+L5+L4</f>
        <v>3447.82207456626</v>
      </c>
      <c r="M8" s="220" t="n">
        <v>5</v>
      </c>
      <c r="N8" s="221" t="n">
        <v>10.52</v>
      </c>
      <c r="O8" s="221" t="n">
        <v>3.81</v>
      </c>
      <c r="P8" s="222" t="n">
        <f aca="false">U8*0.97</f>
        <v>2.9391</v>
      </c>
      <c r="Q8" s="221" t="n">
        <v>0.35</v>
      </c>
      <c r="R8" s="223" t="n">
        <v>17.72</v>
      </c>
      <c r="S8" s="79"/>
      <c r="T8" s="79"/>
      <c r="U8" s="221" t="n">
        <v>3.03</v>
      </c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</row>
    <row r="9" customFormat="false" ht="15" hidden="false" customHeight="false" outlineLevel="0" collapsed="false">
      <c r="C9" s="241" t="n">
        <f aca="false">C5/$C$3</f>
        <v>0.241935483870968</v>
      </c>
      <c r="E9" s="242" t="n">
        <f aca="false">C4-B4</f>
        <v>0</v>
      </c>
      <c r="H9" s="0" t="n">
        <f aca="false">H10+H11+H12+H13</f>
        <v>71304</v>
      </c>
      <c r="M9" s="220" t="n">
        <v>4</v>
      </c>
      <c r="N9" s="229" t="n">
        <v>9.8</v>
      </c>
      <c r="O9" s="229" t="n">
        <v>3.46</v>
      </c>
      <c r="P9" s="222" t="n">
        <f aca="false">U9*0.97</f>
        <v>2.5511</v>
      </c>
      <c r="Q9" s="229" t="n">
        <v>0.3</v>
      </c>
      <c r="R9" s="230" t="n">
        <v>16.17</v>
      </c>
      <c r="S9" s="79"/>
      <c r="T9" s="79"/>
      <c r="U9" s="229" t="n">
        <v>2.63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</row>
    <row r="10" customFormat="false" ht="15" hidden="false" customHeight="false" outlineLevel="0" collapsed="false">
      <c r="B10" s="243" t="n">
        <f aca="false">B11/B13</f>
        <v>0.113636363636364</v>
      </c>
      <c r="C10" s="241" t="n">
        <f aca="false">C6/$C$3</f>
        <v>0.0967741935483871</v>
      </c>
      <c r="E10" s="242" t="n">
        <f aca="false">C5-B5</f>
        <v>0</v>
      </c>
      <c r="H10" s="0" t="n">
        <v>40146</v>
      </c>
      <c r="I10" s="244" t="n">
        <f aca="false">H10/$H$9</f>
        <v>0.563025917199596</v>
      </c>
      <c r="M10" s="220" t="n">
        <v>3</v>
      </c>
      <c r="N10" s="221" t="n">
        <v>9.09</v>
      </c>
      <c r="O10" s="221" t="n">
        <v>3.1</v>
      </c>
      <c r="P10" s="222" t="n">
        <f aca="false">U10*0.97</f>
        <v>2.1437</v>
      </c>
      <c r="Q10" s="221" t="n">
        <v>0.24</v>
      </c>
      <c r="R10" s="223" t="n">
        <v>14.63</v>
      </c>
      <c r="S10" s="79"/>
      <c r="T10" s="79"/>
      <c r="U10" s="221" t="n">
        <v>2.21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</row>
    <row r="11" customFormat="false" ht="15" hidden="false" customHeight="false" outlineLevel="0" collapsed="false">
      <c r="A11" s="245" t="s">
        <v>231</v>
      </c>
      <c r="B11" s="246" t="n">
        <v>10000</v>
      </c>
      <c r="C11" s="241" t="n">
        <f aca="false">C7/$C$3</f>
        <v>0.0161290322580645</v>
      </c>
      <c r="E11" s="242" t="n">
        <f aca="false">C6-B6</f>
        <v>200</v>
      </c>
      <c r="H11" s="0" t="n">
        <v>15594</v>
      </c>
      <c r="I11" s="244" t="n">
        <f aca="false">H11/$H$9</f>
        <v>0.21869740828004</v>
      </c>
      <c r="M11" s="220" t="n">
        <v>2</v>
      </c>
      <c r="N11" s="229" t="n">
        <v>8.42</v>
      </c>
      <c r="O11" s="229" t="n">
        <v>2.73</v>
      </c>
      <c r="P11" s="222" t="n">
        <f aca="false">U11*0.97</f>
        <v>1.7169</v>
      </c>
      <c r="Q11" s="229" t="n">
        <v>0.18</v>
      </c>
      <c r="R11" s="230" t="n">
        <v>13.09</v>
      </c>
      <c r="S11" s="79"/>
      <c r="T11" s="79"/>
      <c r="U11" s="229" t="n">
        <v>1.77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</row>
    <row r="12" customFormat="false" ht="15.75" hidden="false" customHeight="false" outlineLevel="0" collapsed="false">
      <c r="A12" s="245" t="s">
        <v>232</v>
      </c>
      <c r="B12" s="247" t="n">
        <f aca="false">E7+E6+E5+E4</f>
        <v>78000</v>
      </c>
      <c r="E12" s="242" t="n">
        <f aca="false">C7-B7</f>
        <v>200</v>
      </c>
      <c r="H12" s="0" t="n">
        <v>13868</v>
      </c>
      <c r="I12" s="244" t="n">
        <f aca="false">H12/$H$9</f>
        <v>0.194491192639964</v>
      </c>
      <c r="M12" s="220" t="n">
        <v>1</v>
      </c>
      <c r="N12" s="221" t="n">
        <v>7.85</v>
      </c>
      <c r="O12" s="221" t="n">
        <v>2.34</v>
      </c>
      <c r="P12" s="222" t="n">
        <f aca="false">U12*0.97</f>
        <v>1.1931</v>
      </c>
      <c r="Q12" s="221" t="n">
        <v>0.1</v>
      </c>
      <c r="R12" s="223" t="n">
        <v>11.53</v>
      </c>
      <c r="S12" s="79"/>
      <c r="T12" s="79"/>
      <c r="U12" s="221" t="n">
        <v>1.23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</row>
    <row r="13" customFormat="false" ht="15.75" hidden="false" customHeight="false" outlineLevel="0" collapsed="false">
      <c r="A13" s="248" t="s">
        <v>233</v>
      </c>
      <c r="B13" s="249" t="n">
        <f aca="false">B11+B12</f>
        <v>88000</v>
      </c>
      <c r="H13" s="0" t="n">
        <v>1696</v>
      </c>
      <c r="I13" s="244" t="n">
        <f aca="false">H13/$H$9</f>
        <v>0.0237854818803994</v>
      </c>
      <c r="N13" s="0" t="n">
        <f aca="false">N2/R2</f>
        <v>0.55297157622739</v>
      </c>
      <c r="O13" s="0" t="n">
        <f aca="false">O2/R2</f>
        <v>0.219638242894057</v>
      </c>
      <c r="P13" s="250" t="n">
        <f aca="false">P2/R2</f>
        <v>0.196578073089701</v>
      </c>
      <c r="Q13" s="79" t="n">
        <f aca="false">Q2/R2</f>
        <v>0.0251015134736065</v>
      </c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</row>
    <row r="14" customFormat="false" ht="15" hidden="false" customHeight="false" outlineLevel="0" collapsed="false"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</row>
    <row r="15" customFormat="false" ht="15" hidden="false" customHeight="false" outlineLevel="0" collapsed="false">
      <c r="A15" s="7"/>
      <c r="B15" s="251" t="s">
        <v>105</v>
      </c>
      <c r="C15" s="251" t="s">
        <v>106</v>
      </c>
      <c r="D15" s="251" t="s">
        <v>107</v>
      </c>
      <c r="E15" s="251" t="s">
        <v>108</v>
      </c>
      <c r="F15" s="251" t="s">
        <v>109</v>
      </c>
      <c r="G15" s="251" t="s">
        <v>110</v>
      </c>
      <c r="H15" s="251" t="s">
        <v>111</v>
      </c>
      <c r="I15" s="251" t="s">
        <v>112</v>
      </c>
      <c r="J15" s="251" t="s">
        <v>113</v>
      </c>
      <c r="K15" s="251" t="s">
        <v>114</v>
      </c>
      <c r="L15" s="251" t="s">
        <v>115</v>
      </c>
      <c r="M15" s="251" t="s">
        <v>116</v>
      </c>
      <c r="N15" s="251" t="s">
        <v>117</v>
      </c>
      <c r="O15" s="251" t="s">
        <v>118</v>
      </c>
      <c r="P15" s="251" t="s">
        <v>103</v>
      </c>
      <c r="Q15" s="251" t="s">
        <v>104</v>
      </c>
      <c r="R15" s="251" t="s">
        <v>105</v>
      </c>
      <c r="S15" s="251" t="s">
        <v>106</v>
      </c>
      <c r="T15" s="251" t="s">
        <v>107</v>
      </c>
      <c r="U15" s="251" t="s">
        <v>108</v>
      </c>
      <c r="V15" s="251" t="s">
        <v>109</v>
      </c>
      <c r="W15" s="251" t="s">
        <v>110</v>
      </c>
      <c r="X15" s="251" t="s">
        <v>111</v>
      </c>
      <c r="Y15" s="251" t="s">
        <v>112</v>
      </c>
      <c r="Z15" s="251" t="s">
        <v>113</v>
      </c>
      <c r="AA15" s="251" t="s">
        <v>114</v>
      </c>
      <c r="AB15" s="251" t="s">
        <v>115</v>
      </c>
      <c r="AC15" s="251" t="s">
        <v>116</v>
      </c>
      <c r="AD15" s="251" t="s">
        <v>117</v>
      </c>
      <c r="AE15" s="251" t="s">
        <v>118</v>
      </c>
      <c r="AF15" s="251" t="s">
        <v>103</v>
      </c>
      <c r="AG15" s="251" t="s">
        <v>104</v>
      </c>
      <c r="AH15" s="251"/>
      <c r="AI15" s="251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</row>
    <row r="16" customFormat="false" ht="15" hidden="false" customHeight="false" outlineLevel="0" collapsed="false">
      <c r="A16" s="252" t="s">
        <v>234</v>
      </c>
      <c r="B16" s="253" t="n">
        <v>100</v>
      </c>
      <c r="C16" s="253" t="n">
        <f aca="false">B16+15</f>
        <v>115</v>
      </c>
      <c r="D16" s="253" t="n">
        <f aca="false">C16+15</f>
        <v>130</v>
      </c>
      <c r="E16" s="253" t="n">
        <f aca="false">D16+15</f>
        <v>145</v>
      </c>
      <c r="F16" s="253" t="n">
        <f aca="false">E16+15</f>
        <v>160</v>
      </c>
      <c r="G16" s="253" t="n">
        <f aca="false">F16+15</f>
        <v>175</v>
      </c>
      <c r="H16" s="253" t="n">
        <f aca="false">G16+15</f>
        <v>190</v>
      </c>
      <c r="I16" s="253" t="n">
        <f aca="false">H16+15</f>
        <v>205</v>
      </c>
      <c r="J16" s="253" t="n">
        <f aca="false">I16+15</f>
        <v>220</v>
      </c>
      <c r="K16" s="253" t="n">
        <f aca="false">J16+15</f>
        <v>235</v>
      </c>
      <c r="L16" s="253" t="n">
        <f aca="false">K16+15</f>
        <v>250</v>
      </c>
      <c r="M16" s="253" t="n">
        <f aca="false">L16+15</f>
        <v>265</v>
      </c>
      <c r="N16" s="253" t="n">
        <f aca="false">M16+15</f>
        <v>280</v>
      </c>
      <c r="O16" s="253" t="n">
        <f aca="false">N16+15</f>
        <v>295</v>
      </c>
      <c r="P16" s="253" t="n">
        <f aca="false">O16+15</f>
        <v>310</v>
      </c>
      <c r="Q16" s="253" t="n">
        <f aca="false">P16+15</f>
        <v>325</v>
      </c>
      <c r="R16" s="253" t="n">
        <f aca="false">Q16+15</f>
        <v>340</v>
      </c>
      <c r="S16" s="253" t="n">
        <f aca="false">R16+15</f>
        <v>355</v>
      </c>
      <c r="T16" s="253" t="n">
        <f aca="false">S16+15</f>
        <v>370</v>
      </c>
      <c r="U16" s="253" t="n">
        <f aca="false">T16+15</f>
        <v>385</v>
      </c>
      <c r="V16" s="253" t="n">
        <f aca="false">U16+15</f>
        <v>400</v>
      </c>
      <c r="W16" s="253" t="n">
        <f aca="false">V16+15</f>
        <v>415</v>
      </c>
      <c r="X16" s="253" t="n">
        <f aca="false">W16+15</f>
        <v>430</v>
      </c>
      <c r="Y16" s="253" t="n">
        <f aca="false">X16+15</f>
        <v>445</v>
      </c>
      <c r="Z16" s="253" t="n">
        <f aca="false">Y16+15</f>
        <v>460</v>
      </c>
      <c r="AA16" s="253" t="n">
        <f aca="false">Z16+15</f>
        <v>475</v>
      </c>
      <c r="AB16" s="253" t="n">
        <f aca="false">AA16+15</f>
        <v>490</v>
      </c>
      <c r="AC16" s="253" t="n">
        <f aca="false">AB16+15</f>
        <v>505</v>
      </c>
      <c r="AD16" s="253" t="n">
        <f aca="false">AC16+15</f>
        <v>520</v>
      </c>
      <c r="AE16" s="253"/>
      <c r="AF16" s="252"/>
      <c r="AG16" s="252"/>
      <c r="AH16" s="252"/>
      <c r="AI16" s="252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</row>
    <row r="17" customFormat="false" ht="15" hidden="false" customHeight="false" outlineLevel="0" collapsed="false">
      <c r="A17" s="252"/>
      <c r="B17" s="253" t="n">
        <f aca="false">B18+B19+B20+B21</f>
        <v>2226.25</v>
      </c>
      <c r="C17" s="253" t="n">
        <f aca="false">C18+C19+C20+C21</f>
        <v>2560.1875</v>
      </c>
      <c r="D17" s="253" t="n">
        <f aca="false">D18+D19+D20+D21</f>
        <v>2894.125</v>
      </c>
      <c r="E17" s="253" t="n">
        <f aca="false">E18+E19+E20+E21</f>
        <v>3228.0625</v>
      </c>
      <c r="F17" s="253" t="n">
        <f aca="false">F18+F19+F20+F21</f>
        <v>3562</v>
      </c>
      <c r="G17" s="253" t="n">
        <f aca="false">G18+G19+G20+G21</f>
        <v>3895.9375</v>
      </c>
      <c r="H17" s="253" t="n">
        <f aca="false">H18+H19+H20+H21</f>
        <v>4229.875</v>
      </c>
      <c r="I17" s="253" t="n">
        <f aca="false">I18+I19+I20+I21</f>
        <v>4563.8125</v>
      </c>
      <c r="J17" s="253" t="n">
        <f aca="false">J18+J19+J20+J21</f>
        <v>4897.75</v>
      </c>
      <c r="K17" s="253" t="n">
        <f aca="false">K18+K19+K20+K21</f>
        <v>5231.6875</v>
      </c>
      <c r="L17" s="253" t="n">
        <f aca="false">L18+L19+L20+L21</f>
        <v>5565.625</v>
      </c>
      <c r="M17" s="253" t="n">
        <f aca="false">M18+M19+M20+M21</f>
        <v>5899.5625</v>
      </c>
      <c r="N17" s="253" t="n">
        <f aca="false">N18+N19+N20+N21</f>
        <v>6233.5</v>
      </c>
      <c r="O17" s="253" t="n">
        <f aca="false">O18+O19+O20+O21</f>
        <v>6567.4375</v>
      </c>
      <c r="P17" s="253" t="n">
        <f aca="false">P18+P19+P20+P21</f>
        <v>6901.375</v>
      </c>
      <c r="Q17" s="253" t="n">
        <f aca="false">Q18+Q19+Q20+Q21</f>
        <v>7235.3125</v>
      </c>
      <c r="R17" s="253" t="n">
        <f aca="false">R18+R19+R20+R21</f>
        <v>7569.25</v>
      </c>
      <c r="S17" s="253" t="n">
        <f aca="false">S18+S19+S20+S21</f>
        <v>7903.1875</v>
      </c>
      <c r="T17" s="253" t="n">
        <f aca="false">T18+T19+T20+T21</f>
        <v>8237.125</v>
      </c>
      <c r="U17" s="253" t="n">
        <f aca="false">U18+U19+U20+U21</f>
        <v>8571.0625</v>
      </c>
      <c r="V17" s="253" t="n">
        <f aca="false">V18+V19+V20+V21</f>
        <v>8905</v>
      </c>
      <c r="W17" s="253" t="n">
        <f aca="false">W18+W19+W20+W21</f>
        <v>9238.9375</v>
      </c>
      <c r="X17" s="253" t="n">
        <f aca="false">X18+X19+X20+X21</f>
        <v>9572.875</v>
      </c>
      <c r="Y17" s="253" t="n">
        <f aca="false">Y18+Y19+Y20+Y21</f>
        <v>9906.8125</v>
      </c>
      <c r="Z17" s="253" t="n">
        <f aca="false">Z18+Z19+Z20+Z21</f>
        <v>10240.75</v>
      </c>
      <c r="AA17" s="253" t="n">
        <f aca="false">AA18+AA19+AA20+AA21</f>
        <v>10574.6875</v>
      </c>
      <c r="AB17" s="253" t="n">
        <f aca="false">AB18+AB19+AB20+AB21</f>
        <v>10908.625</v>
      </c>
      <c r="AC17" s="253" t="n">
        <f aca="false">AC18+AC19+AC20+AC21</f>
        <v>11242.5625</v>
      </c>
      <c r="AD17" s="253" t="n">
        <f aca="false">AD18+AD19+AD20+AD21</f>
        <v>11576.5</v>
      </c>
      <c r="AE17" s="253"/>
      <c r="AF17" s="253"/>
      <c r="AG17" s="253"/>
      <c r="AH17" s="253"/>
      <c r="AI17" s="253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</row>
    <row r="18" customFormat="false" ht="15" hidden="false" customHeight="false" outlineLevel="0" collapsed="false">
      <c r="A18" s="254" t="s">
        <v>235</v>
      </c>
      <c r="B18" s="255" t="n">
        <f aca="false">B16*$N$5</f>
        <v>1274</v>
      </c>
      <c r="C18" s="255" t="n">
        <f aca="false">C16*$N$5</f>
        <v>1465.1</v>
      </c>
      <c r="D18" s="255" t="n">
        <f aca="false">D16*$N$5</f>
        <v>1656.2</v>
      </c>
      <c r="E18" s="255" t="n">
        <f aca="false">E16*$N$5</f>
        <v>1847.3</v>
      </c>
      <c r="F18" s="255" t="n">
        <f aca="false">F16*$N$5</f>
        <v>2038.4</v>
      </c>
      <c r="G18" s="255" t="n">
        <f aca="false">G16*$N$5</f>
        <v>2229.5</v>
      </c>
      <c r="H18" s="255" t="n">
        <f aca="false">H16*$N$5</f>
        <v>2420.6</v>
      </c>
      <c r="I18" s="255" t="n">
        <f aca="false">I16*$N$5</f>
        <v>2611.7</v>
      </c>
      <c r="J18" s="255" t="n">
        <f aca="false">J16*$N$5</f>
        <v>2802.8</v>
      </c>
      <c r="K18" s="255" t="n">
        <f aca="false">K16*$N$5</f>
        <v>2993.9</v>
      </c>
      <c r="L18" s="255" t="n">
        <f aca="false">L16*$N$5</f>
        <v>3185</v>
      </c>
      <c r="M18" s="255" t="n">
        <f aca="false">M16*$N$5</f>
        <v>3376.1</v>
      </c>
      <c r="N18" s="255" t="n">
        <f aca="false">N16*$N$5</f>
        <v>3567.2</v>
      </c>
      <c r="O18" s="255" t="n">
        <f aca="false">O16*$N$5</f>
        <v>3758.3</v>
      </c>
      <c r="P18" s="255" t="n">
        <f aca="false">P16*$N$5</f>
        <v>3949.4</v>
      </c>
      <c r="Q18" s="255" t="n">
        <f aca="false">Q16*$N$5</f>
        <v>4140.5</v>
      </c>
      <c r="R18" s="255" t="n">
        <f aca="false">R16*$N$5</f>
        <v>4331.6</v>
      </c>
      <c r="S18" s="255" t="n">
        <f aca="false">S16*$N$5</f>
        <v>4522.7</v>
      </c>
      <c r="T18" s="255" t="n">
        <f aca="false">T16*$N$5</f>
        <v>4713.8</v>
      </c>
      <c r="U18" s="255" t="n">
        <f aca="false">U16*$N$5</f>
        <v>4904.9</v>
      </c>
      <c r="V18" s="255" t="n">
        <f aca="false">V16*$N$5</f>
        <v>5096</v>
      </c>
      <c r="W18" s="255" t="n">
        <f aca="false">W16*$N$5</f>
        <v>5287.1</v>
      </c>
      <c r="X18" s="255" t="n">
        <f aca="false">X16*$N$5</f>
        <v>5478.2</v>
      </c>
      <c r="Y18" s="255" t="n">
        <f aca="false">Y16*$N$5</f>
        <v>5669.3</v>
      </c>
      <c r="Z18" s="255" t="n">
        <f aca="false">Z16*$N$5</f>
        <v>5860.4</v>
      </c>
      <c r="AA18" s="255" t="n">
        <f aca="false">AA16*$N$5</f>
        <v>6051.5</v>
      </c>
      <c r="AB18" s="255" t="n">
        <f aca="false">AB16*$N$5</f>
        <v>6242.6</v>
      </c>
      <c r="AC18" s="255" t="n">
        <f aca="false">AC16*$N$5</f>
        <v>6433.7</v>
      </c>
      <c r="AD18" s="255" t="n">
        <f aca="false">AD16*$N$5</f>
        <v>6624.8</v>
      </c>
      <c r="AE18" s="255"/>
      <c r="AF18" s="255"/>
      <c r="AG18" s="255"/>
      <c r="AH18" s="255"/>
      <c r="AI18" s="255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</row>
    <row r="19" customFormat="false" ht="15" hidden="false" customHeight="false" outlineLevel="0" collapsed="false">
      <c r="A19" s="254" t="s">
        <v>236</v>
      </c>
      <c r="B19" s="255" t="n">
        <f aca="false">B16*$O$5</f>
        <v>489</v>
      </c>
      <c r="C19" s="255" t="n">
        <f aca="false">C16*$O$5</f>
        <v>562.35</v>
      </c>
      <c r="D19" s="255" t="n">
        <f aca="false">D16*$O$5</f>
        <v>635.7</v>
      </c>
      <c r="E19" s="255" t="n">
        <f aca="false">E16*$O$5</f>
        <v>709.05</v>
      </c>
      <c r="F19" s="255" t="n">
        <f aca="false">F16*$O$5</f>
        <v>782.4</v>
      </c>
      <c r="G19" s="255" t="n">
        <f aca="false">G16*$O$5</f>
        <v>855.75</v>
      </c>
      <c r="H19" s="255" t="n">
        <f aca="false">H16*$O$5</f>
        <v>929.1</v>
      </c>
      <c r="I19" s="255" t="n">
        <f aca="false">I16*$O$5</f>
        <v>1002.45</v>
      </c>
      <c r="J19" s="255" t="n">
        <f aca="false">J16*$O$5</f>
        <v>1075.8</v>
      </c>
      <c r="K19" s="255" t="n">
        <f aca="false">K16*$O$5</f>
        <v>1149.15</v>
      </c>
      <c r="L19" s="255" t="n">
        <f aca="false">L16*$O$5</f>
        <v>1222.5</v>
      </c>
      <c r="M19" s="255" t="n">
        <f aca="false">M16*$O$5</f>
        <v>1295.85</v>
      </c>
      <c r="N19" s="255" t="n">
        <f aca="false">N16*$O$5</f>
        <v>1369.2</v>
      </c>
      <c r="O19" s="255" t="n">
        <f aca="false">O16*$O$5</f>
        <v>1442.55</v>
      </c>
      <c r="P19" s="255" t="n">
        <f aca="false">P16*$O$5</f>
        <v>1515.9</v>
      </c>
      <c r="Q19" s="255" t="n">
        <f aca="false">Q16*$O$5</f>
        <v>1589.25</v>
      </c>
      <c r="R19" s="255" t="n">
        <f aca="false">R16*$O$5</f>
        <v>1662.6</v>
      </c>
      <c r="S19" s="255" t="n">
        <f aca="false">S16*$O$5</f>
        <v>1735.95</v>
      </c>
      <c r="T19" s="255" t="n">
        <f aca="false">T16*$O$5</f>
        <v>1809.3</v>
      </c>
      <c r="U19" s="255" t="n">
        <f aca="false">U16*$O$5</f>
        <v>1882.65</v>
      </c>
      <c r="V19" s="255" t="n">
        <f aca="false">V16*$O$5</f>
        <v>1956</v>
      </c>
      <c r="W19" s="255" t="n">
        <f aca="false">W16*$O$5</f>
        <v>2029.35</v>
      </c>
      <c r="X19" s="255" t="n">
        <f aca="false">X16*$O$5</f>
        <v>2102.7</v>
      </c>
      <c r="Y19" s="255" t="n">
        <f aca="false">Y16*$O$5</f>
        <v>2176.05</v>
      </c>
      <c r="Z19" s="255" t="n">
        <f aca="false">Z16*$O$5</f>
        <v>2249.4</v>
      </c>
      <c r="AA19" s="255" t="n">
        <f aca="false">AA16*$O$5</f>
        <v>2322.75</v>
      </c>
      <c r="AB19" s="255" t="n">
        <f aca="false">AB16*$O$5</f>
        <v>2396.1</v>
      </c>
      <c r="AC19" s="255" t="n">
        <f aca="false">AC16*$O$5</f>
        <v>2469.45</v>
      </c>
      <c r="AD19" s="255" t="n">
        <f aca="false">AD16*$O$5</f>
        <v>2542.8</v>
      </c>
      <c r="AE19" s="255"/>
      <c r="AF19" s="255"/>
      <c r="AG19" s="255"/>
      <c r="AH19" s="255"/>
      <c r="AI19" s="255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</row>
    <row r="20" customFormat="false" ht="15" hidden="false" customHeight="false" outlineLevel="0" collapsed="false">
      <c r="A20" s="254" t="s">
        <v>237</v>
      </c>
      <c r="B20" s="255" t="n">
        <f aca="false">B16*$P$5</f>
        <v>412.25</v>
      </c>
      <c r="C20" s="255" t="n">
        <f aca="false">C16*$P$5</f>
        <v>474.0875</v>
      </c>
      <c r="D20" s="255" t="n">
        <f aca="false">D16*$P$5</f>
        <v>535.925</v>
      </c>
      <c r="E20" s="255" t="n">
        <f aca="false">E16*$P$5</f>
        <v>597.7625</v>
      </c>
      <c r="F20" s="255" t="n">
        <f aca="false">F16*$P$5</f>
        <v>659.6</v>
      </c>
      <c r="G20" s="255" t="n">
        <f aca="false">G16*$P$5</f>
        <v>721.4375</v>
      </c>
      <c r="H20" s="255" t="n">
        <f aca="false">H16*$P$5</f>
        <v>783.275</v>
      </c>
      <c r="I20" s="255" t="n">
        <f aca="false">I16*$P$5</f>
        <v>845.1125</v>
      </c>
      <c r="J20" s="255" t="n">
        <f aca="false">J16*$P$5</f>
        <v>906.95</v>
      </c>
      <c r="K20" s="255" t="n">
        <f aca="false">K16*$P$5</f>
        <v>968.7875</v>
      </c>
      <c r="L20" s="255" t="n">
        <f aca="false">L16*$P$5</f>
        <v>1030.625</v>
      </c>
      <c r="M20" s="255" t="n">
        <f aca="false">M16*$P$5</f>
        <v>1092.4625</v>
      </c>
      <c r="N20" s="255" t="n">
        <f aca="false">N16*$P$5</f>
        <v>1154.3</v>
      </c>
      <c r="O20" s="255" t="n">
        <f aca="false">O16*$P$5</f>
        <v>1216.1375</v>
      </c>
      <c r="P20" s="255" t="n">
        <f aca="false">P16*$P$5</f>
        <v>1277.975</v>
      </c>
      <c r="Q20" s="255" t="n">
        <f aca="false">Q16*$P$5</f>
        <v>1339.8125</v>
      </c>
      <c r="R20" s="255" t="n">
        <f aca="false">R16*$P$5</f>
        <v>1401.65</v>
      </c>
      <c r="S20" s="255" t="n">
        <f aca="false">S16*$P$5</f>
        <v>1463.4875</v>
      </c>
      <c r="T20" s="255" t="n">
        <f aca="false">T16*$P$5</f>
        <v>1525.325</v>
      </c>
      <c r="U20" s="255" t="n">
        <f aca="false">U16*$P$5</f>
        <v>1587.1625</v>
      </c>
      <c r="V20" s="255" t="n">
        <f aca="false">V16*$P$5</f>
        <v>1649</v>
      </c>
      <c r="W20" s="255" t="n">
        <f aca="false">W16*$P$5</f>
        <v>1710.8375</v>
      </c>
      <c r="X20" s="255" t="n">
        <f aca="false">X16*$P$5</f>
        <v>1772.675</v>
      </c>
      <c r="Y20" s="255" t="n">
        <f aca="false">Y16*$P$5</f>
        <v>1834.5125</v>
      </c>
      <c r="Z20" s="255" t="n">
        <f aca="false">Z16*$P$5</f>
        <v>1896.35</v>
      </c>
      <c r="AA20" s="255" t="n">
        <f aca="false">AA16*$P$5</f>
        <v>1958.1875</v>
      </c>
      <c r="AB20" s="255" t="n">
        <f aca="false">AB16*$P$5</f>
        <v>2020.025</v>
      </c>
      <c r="AC20" s="255" t="n">
        <f aca="false">AC16*$P$5</f>
        <v>2081.8625</v>
      </c>
      <c r="AD20" s="255" t="n">
        <f aca="false">AD16*$P$5</f>
        <v>2143.7</v>
      </c>
      <c r="AE20" s="255"/>
      <c r="AF20" s="255"/>
      <c r="AG20" s="255"/>
      <c r="AH20" s="255"/>
      <c r="AI20" s="255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</row>
    <row r="21" customFormat="false" ht="15" hidden="false" customHeight="false" outlineLevel="0" collapsed="false">
      <c r="A21" s="254" t="s">
        <v>238</v>
      </c>
      <c r="B21" s="255" t="n">
        <f aca="false">B16*$Q$5</f>
        <v>51</v>
      </c>
      <c r="C21" s="255" t="n">
        <f aca="false">C16*$Q$5</f>
        <v>58.65</v>
      </c>
      <c r="D21" s="255" t="n">
        <f aca="false">D16*$Q$5</f>
        <v>66.3</v>
      </c>
      <c r="E21" s="255" t="n">
        <f aca="false">E16*$Q$5</f>
        <v>73.95</v>
      </c>
      <c r="F21" s="255" t="n">
        <f aca="false">F16*$Q$5</f>
        <v>81.6</v>
      </c>
      <c r="G21" s="255" t="n">
        <f aca="false">G16*$Q$5</f>
        <v>89.25</v>
      </c>
      <c r="H21" s="255" t="n">
        <f aca="false">H16*$Q$5</f>
        <v>96.9</v>
      </c>
      <c r="I21" s="255" t="n">
        <f aca="false">I16*$Q$5</f>
        <v>104.55</v>
      </c>
      <c r="J21" s="255" t="n">
        <f aca="false">J16*$Q$5</f>
        <v>112.2</v>
      </c>
      <c r="K21" s="255" t="n">
        <f aca="false">K16*$Q$5</f>
        <v>119.85</v>
      </c>
      <c r="L21" s="255" t="n">
        <f aca="false">L16*$Q$5</f>
        <v>127.5</v>
      </c>
      <c r="M21" s="255" t="n">
        <f aca="false">M16*$Q$5</f>
        <v>135.15</v>
      </c>
      <c r="N21" s="255" t="n">
        <f aca="false">N16*$Q$5</f>
        <v>142.8</v>
      </c>
      <c r="O21" s="255" t="n">
        <f aca="false">O16*$Q$5</f>
        <v>150.45</v>
      </c>
      <c r="P21" s="255" t="n">
        <f aca="false">P16*$Q$5</f>
        <v>158.1</v>
      </c>
      <c r="Q21" s="255" t="n">
        <f aca="false">Q16*$Q$5</f>
        <v>165.75</v>
      </c>
      <c r="R21" s="255" t="n">
        <f aca="false">R16*$Q$5</f>
        <v>173.4</v>
      </c>
      <c r="S21" s="255" t="n">
        <f aca="false">S16*$Q$5</f>
        <v>181.05</v>
      </c>
      <c r="T21" s="255" t="n">
        <f aca="false">T16*$Q$5</f>
        <v>188.7</v>
      </c>
      <c r="U21" s="255" t="n">
        <f aca="false">U16*$Q$5</f>
        <v>196.35</v>
      </c>
      <c r="V21" s="255" t="n">
        <f aca="false">V16*$Q$5</f>
        <v>204</v>
      </c>
      <c r="W21" s="255" t="n">
        <f aca="false">W16*$Q$5</f>
        <v>211.65</v>
      </c>
      <c r="X21" s="255" t="n">
        <f aca="false">X16*$Q$5</f>
        <v>219.3</v>
      </c>
      <c r="Y21" s="255" t="n">
        <f aca="false">Y16*$Q$5</f>
        <v>226.95</v>
      </c>
      <c r="Z21" s="255" t="n">
        <f aca="false">Z16*$Q$5</f>
        <v>234.6</v>
      </c>
      <c r="AA21" s="255" t="n">
        <f aca="false">AA16*$Q$5</f>
        <v>242.25</v>
      </c>
      <c r="AB21" s="255" t="n">
        <f aca="false">AB16*$Q$5</f>
        <v>249.9</v>
      </c>
      <c r="AC21" s="255" t="n">
        <f aca="false">AC16*$Q$5</f>
        <v>257.55</v>
      </c>
      <c r="AD21" s="255" t="n">
        <f aca="false">AD16*$Q$5</f>
        <v>265.2</v>
      </c>
      <c r="AE21" s="255"/>
      <c r="AF21" s="255"/>
      <c r="AG21" s="255"/>
      <c r="AH21" s="255"/>
      <c r="AI21" s="255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</row>
    <row r="22" customFormat="false" ht="15" hidden="false" customHeight="false" outlineLevel="0" collapsed="false">
      <c r="A22" s="254" t="s">
        <v>239</v>
      </c>
      <c r="B22" s="255" t="n">
        <f aca="false">MIN(B$18,$C$4)</f>
        <v>1274</v>
      </c>
      <c r="C22" s="255" t="n">
        <f aca="false">MIN(C$18,$C$4)</f>
        <v>1465.1</v>
      </c>
      <c r="D22" s="255" t="n">
        <f aca="false">MIN(D$18,$C$4)</f>
        <v>1656.2</v>
      </c>
      <c r="E22" s="255" t="n">
        <f aca="false">MIN(E$18,$C$4)</f>
        <v>1847.3</v>
      </c>
      <c r="F22" s="255" t="n">
        <f aca="false">MIN(F$18,$C$4)</f>
        <v>2038.4</v>
      </c>
      <c r="G22" s="255" t="n">
        <f aca="false">MIN(G$18,$C$4)</f>
        <v>2229.5</v>
      </c>
      <c r="H22" s="255" t="n">
        <f aca="false">MIN(H$18,$C$4)</f>
        <v>2420.6</v>
      </c>
      <c r="I22" s="255" t="n">
        <f aca="false">MIN(I$18,$C$4)</f>
        <v>2611.7</v>
      </c>
      <c r="J22" s="255" t="n">
        <f aca="false">MIN(J$18,$C$4)</f>
        <v>2802.8</v>
      </c>
      <c r="K22" s="255" t="n">
        <f aca="false">MIN(K$18,$C$4)</f>
        <v>2993.9</v>
      </c>
      <c r="L22" s="255" t="n">
        <f aca="false">MIN(L$18,$C$4)</f>
        <v>3185</v>
      </c>
      <c r="M22" s="255" t="n">
        <f aca="false">MIN(M$18,$C$4)</f>
        <v>3376.1</v>
      </c>
      <c r="N22" s="255" t="n">
        <f aca="false">MIN(N$18,$C$4)</f>
        <v>3567.2</v>
      </c>
      <c r="O22" s="255" t="n">
        <f aca="false">MIN(O$18,$C$4)</f>
        <v>3758.3</v>
      </c>
      <c r="P22" s="255" t="n">
        <f aca="false">MIN(P$18,$C$4)</f>
        <v>3949.4</v>
      </c>
      <c r="Q22" s="255" t="n">
        <f aca="false">MIN(Q$18,$C$4)</f>
        <v>4140.5</v>
      </c>
      <c r="R22" s="255" t="n">
        <f aca="false">MIN(R$18,$C$4)</f>
        <v>4331.6</v>
      </c>
      <c r="S22" s="255" t="n">
        <f aca="false">MIN(S$18,$C$4)</f>
        <v>4522.7</v>
      </c>
      <c r="T22" s="255" t="n">
        <f aca="false">MIN(T$18,$C$4)</f>
        <v>4713.8</v>
      </c>
      <c r="U22" s="255" t="n">
        <f aca="false">MIN(U$18,$C$4)</f>
        <v>4904.9</v>
      </c>
      <c r="V22" s="255" t="n">
        <f aca="false">MIN(V$18,$C$4)</f>
        <v>5096</v>
      </c>
      <c r="W22" s="255" t="n">
        <f aca="false">MIN(W$18,$C$4)</f>
        <v>5287.1</v>
      </c>
      <c r="X22" s="255" t="n">
        <f aca="false">MIN(X$18,$C$4)</f>
        <v>5478.2</v>
      </c>
      <c r="Y22" s="255" t="n">
        <f aca="false">MIN(Y$18,$C$4)</f>
        <v>5669.3</v>
      </c>
      <c r="Z22" s="255" t="n">
        <f aca="false">MIN(Z$18,$C$4)</f>
        <v>5860.4</v>
      </c>
      <c r="AA22" s="255" t="n">
        <f aca="false">MIN(AA$18,$C$4)</f>
        <v>6051.5</v>
      </c>
      <c r="AB22" s="255" t="n">
        <f aca="false">MIN(AB$18,$C$4)</f>
        <v>6242.6</v>
      </c>
      <c r="AC22" s="255" t="n">
        <f aca="false">MIN(AC$18,$C$4)</f>
        <v>6433.7</v>
      </c>
      <c r="AD22" s="255" t="n">
        <f aca="false">MIN(AD$18,$C$4)</f>
        <v>6624.8</v>
      </c>
      <c r="AE22" s="255"/>
      <c r="AF22" s="255"/>
      <c r="AG22" s="255"/>
      <c r="AH22" s="255"/>
      <c r="AI22" s="255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</row>
    <row r="23" customFormat="false" ht="15" hidden="false" customHeight="false" outlineLevel="0" collapsed="false">
      <c r="A23" s="254" t="s">
        <v>240</v>
      </c>
      <c r="B23" s="255" t="n">
        <f aca="false">MIN(B$19,$C$5)</f>
        <v>489</v>
      </c>
      <c r="C23" s="255" t="n">
        <f aca="false">MIN(C$19,$C$5)</f>
        <v>562.35</v>
      </c>
      <c r="D23" s="255" t="n">
        <f aca="false">MIN(D$19,$C$5)</f>
        <v>635.7</v>
      </c>
      <c r="E23" s="255" t="n">
        <f aca="false">MIN(E$19,$C$5)</f>
        <v>709.05</v>
      </c>
      <c r="F23" s="255" t="n">
        <f aca="false">MIN(F$19,$C$5)</f>
        <v>782.4</v>
      </c>
      <c r="G23" s="255" t="n">
        <f aca="false">MIN(G$19,$C$5)</f>
        <v>855.75</v>
      </c>
      <c r="H23" s="255" t="n">
        <f aca="false">MIN(H$19,$C$5)</f>
        <v>929.1</v>
      </c>
      <c r="I23" s="255" t="n">
        <f aca="false">MIN(I$19,$C$5)</f>
        <v>1002.45</v>
      </c>
      <c r="J23" s="255" t="n">
        <f aca="false">MIN(J$19,$C$5)</f>
        <v>1075.8</v>
      </c>
      <c r="K23" s="255" t="n">
        <f aca="false">MIN(K$19,$C$5)</f>
        <v>1149.15</v>
      </c>
      <c r="L23" s="255" t="n">
        <f aca="false">MIN(L$19,$C$5)</f>
        <v>1222.5</v>
      </c>
      <c r="M23" s="255" t="n">
        <f aca="false">MIN(M$19,$C$5)</f>
        <v>1295.85</v>
      </c>
      <c r="N23" s="255" t="n">
        <f aca="false">MIN(N$19,$C$5)</f>
        <v>1369.2</v>
      </c>
      <c r="O23" s="255" t="n">
        <f aca="false">MIN(O$19,$C$5)</f>
        <v>1442.55</v>
      </c>
      <c r="P23" s="255" t="n">
        <f aca="false">MIN(P$19,$C$5)</f>
        <v>1515.9</v>
      </c>
      <c r="Q23" s="255" t="n">
        <f aca="false">MIN(Q$19,$C$5)</f>
        <v>1589.25</v>
      </c>
      <c r="R23" s="255" t="n">
        <f aca="false">MIN(R$19,$C$5)</f>
        <v>1662.6</v>
      </c>
      <c r="S23" s="255" t="n">
        <f aca="false">MIN(S$19,$C$5)</f>
        <v>1735.95</v>
      </c>
      <c r="T23" s="255" t="n">
        <f aca="false">MIN(T$19,$C$5)</f>
        <v>1809.3</v>
      </c>
      <c r="U23" s="255" t="n">
        <f aca="false">MIN(U$19,$C$5)</f>
        <v>1882.65</v>
      </c>
      <c r="V23" s="255" t="n">
        <f aca="false">MIN(V$19,$C$5)</f>
        <v>1956</v>
      </c>
      <c r="W23" s="255" t="n">
        <f aca="false">MIN(W$19,$C$5)</f>
        <v>2029.35</v>
      </c>
      <c r="X23" s="255" t="n">
        <f aca="false">MIN(X$19,$C$5)</f>
        <v>2102.7</v>
      </c>
      <c r="Y23" s="255" t="n">
        <f aca="false">MIN(Y$19,$C$5)</f>
        <v>2176.05</v>
      </c>
      <c r="Z23" s="255" t="n">
        <f aca="false">MIN(Z$19,$C$5)</f>
        <v>2249.4</v>
      </c>
      <c r="AA23" s="255" t="n">
        <f aca="false">MIN(AA$19,$C$5)</f>
        <v>2322.75</v>
      </c>
      <c r="AB23" s="255" t="n">
        <f aca="false">MIN(AB$19,$C$5)</f>
        <v>2396.1</v>
      </c>
      <c r="AC23" s="255" t="n">
        <f aca="false">MIN(AC$19,$C$5)</f>
        <v>2469.45</v>
      </c>
      <c r="AD23" s="255" t="n">
        <f aca="false">MIN(AD$19,$C$5)</f>
        <v>2542.8</v>
      </c>
      <c r="AE23" s="255"/>
      <c r="AF23" s="255"/>
      <c r="AG23" s="255"/>
      <c r="AH23" s="255"/>
      <c r="AI23" s="255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</row>
    <row r="24" customFormat="false" ht="15" hidden="false" customHeight="false" outlineLevel="0" collapsed="false">
      <c r="A24" s="254" t="s">
        <v>241</v>
      </c>
      <c r="B24" s="255" t="n">
        <f aca="false">MIN(B$20,$C$6)</f>
        <v>412.25</v>
      </c>
      <c r="C24" s="255" t="n">
        <f aca="false">MIN(C$20,$C$6)</f>
        <v>474.0875</v>
      </c>
      <c r="D24" s="255" t="n">
        <f aca="false">MIN(D$20,$C$6)</f>
        <v>535.925</v>
      </c>
      <c r="E24" s="255" t="n">
        <f aca="false">MIN(E$20,$C$6)</f>
        <v>597.7625</v>
      </c>
      <c r="F24" s="255" t="n">
        <f aca="false">MIN(F$20,$C$6)</f>
        <v>659.6</v>
      </c>
      <c r="G24" s="255" t="n">
        <f aca="false">MIN(G$20,$C$6)</f>
        <v>721.4375</v>
      </c>
      <c r="H24" s="255" t="n">
        <f aca="false">MIN(H$20,$C$6)</f>
        <v>783.275</v>
      </c>
      <c r="I24" s="255" t="n">
        <f aca="false">MIN(I$20,$C$6)</f>
        <v>845.1125</v>
      </c>
      <c r="J24" s="255" t="n">
        <f aca="false">MIN(J$20,$C$6)</f>
        <v>906.95</v>
      </c>
      <c r="K24" s="255" t="n">
        <f aca="false">MIN(K$20,$C$6)</f>
        <v>968.7875</v>
      </c>
      <c r="L24" s="255" t="n">
        <f aca="false">MIN(L$20,$C$6)</f>
        <v>1030.625</v>
      </c>
      <c r="M24" s="255" t="n">
        <f aca="false">MIN(M$20,$C$6)</f>
        <v>1092.4625</v>
      </c>
      <c r="N24" s="255" t="n">
        <f aca="false">MIN(N$20,$C$6)</f>
        <v>1154.3</v>
      </c>
      <c r="O24" s="255" t="n">
        <f aca="false">MIN(O$20,$C$6)</f>
        <v>1200</v>
      </c>
      <c r="P24" s="255" t="n">
        <f aca="false">MIN(P$20,$C$6)</f>
        <v>1200</v>
      </c>
      <c r="Q24" s="255" t="n">
        <f aca="false">MIN(Q$20,$C$6)</f>
        <v>1200</v>
      </c>
      <c r="R24" s="255" t="n">
        <f aca="false">MIN(R$20,$C$6)</f>
        <v>1200</v>
      </c>
      <c r="S24" s="255" t="n">
        <f aca="false">MIN(S$20,$C$6)</f>
        <v>1200</v>
      </c>
      <c r="T24" s="255" t="n">
        <f aca="false">MIN(T$20,$C$6)</f>
        <v>1200</v>
      </c>
      <c r="U24" s="255" t="n">
        <f aca="false">MIN(U$20,$C$6)</f>
        <v>1200</v>
      </c>
      <c r="V24" s="255" t="n">
        <f aca="false">MIN(V$20,$C$6)</f>
        <v>1200</v>
      </c>
      <c r="W24" s="255" t="n">
        <f aca="false">MIN(W$20,$C$6)</f>
        <v>1200</v>
      </c>
      <c r="X24" s="255" t="n">
        <f aca="false">MIN(X$20,$C$6)</f>
        <v>1200</v>
      </c>
      <c r="Y24" s="255" t="n">
        <f aca="false">MIN(Y$20,$C$6)</f>
        <v>1200</v>
      </c>
      <c r="Z24" s="255" t="n">
        <f aca="false">MIN(Z$20,$C$6)</f>
        <v>1200</v>
      </c>
      <c r="AA24" s="255" t="n">
        <f aca="false">MIN(AA$20,$C$6)</f>
        <v>1200</v>
      </c>
      <c r="AB24" s="255" t="n">
        <f aca="false">MIN(AB$20,$C$6)</f>
        <v>1200</v>
      </c>
      <c r="AC24" s="255" t="n">
        <f aca="false">MIN(AC$20,$C$6)</f>
        <v>1200</v>
      </c>
      <c r="AD24" s="255" t="n">
        <f aca="false">MIN(AD$20,$C$6)</f>
        <v>1200</v>
      </c>
      <c r="AE24" s="255"/>
      <c r="AF24" s="255"/>
      <c r="AG24" s="255"/>
      <c r="AH24" s="255"/>
      <c r="AI24" s="255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</row>
    <row r="25" customFormat="false" ht="15" hidden="false" customHeight="false" outlineLevel="0" collapsed="false">
      <c r="A25" s="254" t="s">
        <v>242</v>
      </c>
      <c r="B25" s="255" t="n">
        <f aca="false">MIN(B$21,$C$7)</f>
        <v>51</v>
      </c>
      <c r="C25" s="255" t="n">
        <f aca="false">MIN(C$21,$C$7)</f>
        <v>58.65</v>
      </c>
      <c r="D25" s="255" t="n">
        <f aca="false">MIN(D$21,$C$7)</f>
        <v>66.3</v>
      </c>
      <c r="E25" s="255" t="n">
        <f aca="false">MIN(E$21,$C$7)</f>
        <v>73.95</v>
      </c>
      <c r="F25" s="255" t="n">
        <f aca="false">MIN(F$21,$C$7)</f>
        <v>81.6</v>
      </c>
      <c r="G25" s="255" t="n">
        <f aca="false">MIN(G$21,$C$7)</f>
        <v>89.25</v>
      </c>
      <c r="H25" s="255" t="n">
        <f aca="false">MIN(H$21,$C$7)</f>
        <v>96.9</v>
      </c>
      <c r="I25" s="255" t="n">
        <f aca="false">MIN(I$21,$C$7)</f>
        <v>104.55</v>
      </c>
      <c r="J25" s="255" t="n">
        <f aca="false">MIN(J$21,$C$7)</f>
        <v>112.2</v>
      </c>
      <c r="K25" s="255" t="n">
        <f aca="false">MIN(K$21,$C$7)</f>
        <v>119.85</v>
      </c>
      <c r="L25" s="255" t="n">
        <f aca="false">MIN(L$21,$C$7)</f>
        <v>127.5</v>
      </c>
      <c r="M25" s="255" t="n">
        <f aca="false">MIN(M$21,$C$7)</f>
        <v>135.15</v>
      </c>
      <c r="N25" s="255" t="n">
        <f aca="false">MIN(N$21,$C$7)</f>
        <v>142.8</v>
      </c>
      <c r="O25" s="255" t="n">
        <f aca="false">MIN(O$21,$C$7)</f>
        <v>150.45</v>
      </c>
      <c r="P25" s="255" t="n">
        <f aca="false">MIN(P$21,$C$7)</f>
        <v>158.1</v>
      </c>
      <c r="Q25" s="255" t="n">
        <f aca="false">MIN(Q$21,$C$7)</f>
        <v>165.75</v>
      </c>
      <c r="R25" s="255" t="n">
        <f aca="false">MIN(R$21,$C$7)</f>
        <v>173.4</v>
      </c>
      <c r="S25" s="255" t="n">
        <f aca="false">MIN(S$21,$C$7)</f>
        <v>181.05</v>
      </c>
      <c r="T25" s="255" t="n">
        <f aca="false">MIN(T$21,$C$7)</f>
        <v>188.7</v>
      </c>
      <c r="U25" s="255" t="n">
        <f aca="false">MIN(U$21,$C$7)</f>
        <v>196.35</v>
      </c>
      <c r="V25" s="255" t="n">
        <f aca="false">MIN(V$21,$C$7)</f>
        <v>200</v>
      </c>
      <c r="W25" s="255" t="n">
        <f aca="false">MIN(W$21,$C$7)</f>
        <v>200</v>
      </c>
      <c r="X25" s="255" t="n">
        <f aca="false">MIN(X$21,$C$7)</f>
        <v>200</v>
      </c>
      <c r="Y25" s="255" t="n">
        <f aca="false">MIN(Y$21,$C$7)</f>
        <v>200</v>
      </c>
      <c r="Z25" s="255" t="n">
        <f aca="false">MIN(Z$21,$C$7)</f>
        <v>200</v>
      </c>
      <c r="AA25" s="255" t="n">
        <f aca="false">MIN(AA$21,$C$7)</f>
        <v>200</v>
      </c>
      <c r="AB25" s="255" t="n">
        <f aca="false">MIN(AB$21,$C$7)</f>
        <v>200</v>
      </c>
      <c r="AC25" s="255" t="n">
        <f aca="false">MIN(AC$21,$C$7)</f>
        <v>200</v>
      </c>
      <c r="AD25" s="255" t="n">
        <f aca="false">MIN(AD$21,$C$7)</f>
        <v>200</v>
      </c>
      <c r="AE25" s="255"/>
      <c r="AF25" s="255"/>
      <c r="AG25" s="255"/>
      <c r="AH25" s="255"/>
      <c r="AI25" s="255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</row>
    <row r="26" customFormat="false" ht="15" hidden="false" customHeight="false" outlineLevel="0" collapsed="false">
      <c r="A26" s="256" t="s">
        <v>243</v>
      </c>
      <c r="B26" s="257" t="n">
        <f aca="false">IF(B22&gt;$B$4,(B22-$B$4)*$H$4,0)</f>
        <v>0</v>
      </c>
      <c r="C26" s="257" t="n">
        <v>0</v>
      </c>
      <c r="D26" s="257" t="n">
        <f aca="false">IF(D22&gt;$B$4,(D22-$B$4)*$H$4,0)</f>
        <v>0</v>
      </c>
      <c r="E26" s="257" t="n">
        <v>0</v>
      </c>
      <c r="F26" s="257" t="n">
        <f aca="false">IF(F22&gt;$B$4,(F22-$B$4)*$H$4,0)</f>
        <v>0</v>
      </c>
      <c r="G26" s="257" t="n">
        <v>0</v>
      </c>
      <c r="H26" s="257" t="n">
        <f aca="false">IF(H22&gt;$B$4,(H22-$B$4)*$H$4,0)</f>
        <v>0</v>
      </c>
      <c r="I26" s="257" t="n">
        <v>0</v>
      </c>
      <c r="J26" s="257" t="n">
        <f aca="false">IF(J22&gt;$B$4,(J22-$B$4)*$H$4,0)</f>
        <v>0</v>
      </c>
      <c r="K26" s="257" t="n">
        <v>0</v>
      </c>
      <c r="L26" s="257" t="n">
        <f aca="false">IF(L22&gt;$B$4,(L22-$B$4)*$H$4,0)</f>
        <v>0</v>
      </c>
      <c r="M26" s="257" t="n">
        <v>0</v>
      </c>
      <c r="N26" s="257" t="n">
        <f aca="false">IF(N22&gt;$B$4,(N22-$B$4)*$H$4,0)</f>
        <v>0</v>
      </c>
      <c r="O26" s="257" t="n">
        <v>0</v>
      </c>
      <c r="P26" s="257" t="n">
        <f aca="false">IF(P22&gt;$B$4,(P22-$B$4)*$H$4,0)</f>
        <v>0</v>
      </c>
      <c r="Q26" s="257" t="n">
        <v>0</v>
      </c>
      <c r="R26" s="257" t="n">
        <f aca="false">IF(R22&gt;$B$4,(R22-$B$4)*$H$4,0)</f>
        <v>0</v>
      </c>
      <c r="S26" s="257" t="n">
        <v>0</v>
      </c>
      <c r="T26" s="257" t="n">
        <f aca="false">IF(T22&gt;$B$4,(T22-$B$4)*$H$4,0)</f>
        <v>0</v>
      </c>
      <c r="U26" s="257" t="n">
        <v>0</v>
      </c>
      <c r="V26" s="257" t="n">
        <f aca="false">IF(V22&gt;$B$4,(V22-$B$4)*$H$4,0)</f>
        <v>0</v>
      </c>
      <c r="W26" s="257" t="n">
        <v>0</v>
      </c>
      <c r="X26" s="257" t="n">
        <f aca="false">IF(X22&gt;$B$4,(X22-$B$4)*$H$4,0)</f>
        <v>0</v>
      </c>
      <c r="Y26" s="257" t="n">
        <v>0</v>
      </c>
      <c r="Z26" s="257" t="n">
        <f aca="false">IF(Z22&gt;$B$4,(Z22-$B$4)*$H$4,0)</f>
        <v>0</v>
      </c>
      <c r="AA26" s="257" t="n">
        <v>0</v>
      </c>
      <c r="AB26" s="257" t="n">
        <f aca="false">IF(AB22&gt;$B$4,(AB22-$B$4)*$H$4,0)</f>
        <v>0</v>
      </c>
      <c r="AC26" s="257" t="n">
        <v>0</v>
      </c>
      <c r="AD26" s="257" t="n">
        <f aca="false">IF(AD22&gt;$B$4,(AD22-$B$4)*$H$4,0)</f>
        <v>0</v>
      </c>
      <c r="AE26" s="257" t="n">
        <v>0</v>
      </c>
      <c r="AF26" s="257" t="n">
        <f aca="false">IF(AF22&gt;$B$4,(AF22-$B$4)*$H$4,0)</f>
        <v>0</v>
      </c>
      <c r="AG26" s="257" t="n">
        <v>0</v>
      </c>
      <c r="AH26" s="257" t="n">
        <f aca="false">IF(AH22&gt;$B$4,(AH22-$B$4)*$H$4,0)</f>
        <v>0</v>
      </c>
      <c r="AI26" s="257" t="n">
        <v>0</v>
      </c>
      <c r="AJ26" s="257" t="n">
        <f aca="false">IF(AJ22&gt;$B$4,(AJ22-$B$4)*$H$4,0)</f>
        <v>0</v>
      </c>
      <c r="AK26" s="257" t="n">
        <v>0</v>
      </c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</row>
    <row r="27" customFormat="false" ht="15" hidden="false" customHeight="false" outlineLevel="0" collapsed="false">
      <c r="A27" s="256" t="s">
        <v>244</v>
      </c>
      <c r="B27" s="257" t="n">
        <f aca="false">IF(B23&gt;$B$5,(B23-$B$5)*$H$5,0)</f>
        <v>0</v>
      </c>
      <c r="C27" s="257" t="n">
        <v>0</v>
      </c>
      <c r="D27" s="257" t="n">
        <f aca="false">IF(D23&gt;$B$5,(D23-$B$5)*$H$5,0)</f>
        <v>0</v>
      </c>
      <c r="E27" s="257" t="n">
        <v>0</v>
      </c>
      <c r="F27" s="257" t="n">
        <f aca="false">IF(F23&gt;$B$5,(F23-$B$5)*$H$5,0)</f>
        <v>0</v>
      </c>
      <c r="G27" s="257" t="n">
        <v>0</v>
      </c>
      <c r="H27" s="257" t="n">
        <f aca="false">IF(H23&gt;$B$5,(H23-$B$5)*$H$5,0)</f>
        <v>0</v>
      </c>
      <c r="I27" s="257" t="n">
        <v>0</v>
      </c>
      <c r="J27" s="257" t="n">
        <f aca="false">IF(J23&gt;$B$5,(J23-$B$5)*$H$5,0)</f>
        <v>0</v>
      </c>
      <c r="K27" s="257" t="n">
        <v>0</v>
      </c>
      <c r="L27" s="257" t="n">
        <f aca="false">IF(L23&gt;$B$5,(L23-$B$5)*$H$5,0)</f>
        <v>0</v>
      </c>
      <c r="M27" s="257" t="n">
        <v>0</v>
      </c>
      <c r="N27" s="257" t="n">
        <f aca="false">IF(N23&gt;$B$5,(N23-$B$5)*$H$5,0)</f>
        <v>0</v>
      </c>
      <c r="O27" s="257" t="n">
        <v>0</v>
      </c>
      <c r="P27" s="257" t="n">
        <f aca="false">IF(P23&gt;$B$5,(P23-$B$5)*$H$5,0)</f>
        <v>0</v>
      </c>
      <c r="Q27" s="257" t="n">
        <v>0</v>
      </c>
      <c r="R27" s="257" t="n">
        <f aca="false">IF(R23&gt;$B$5,(R23-$B$5)*$H$5,0)</f>
        <v>0</v>
      </c>
      <c r="S27" s="257" t="n">
        <v>0</v>
      </c>
      <c r="T27" s="257" t="n">
        <f aca="false">IF(T23&gt;$B$5,(T23-$B$5)*$H$5,0)</f>
        <v>0</v>
      </c>
      <c r="U27" s="257" t="n">
        <v>0</v>
      </c>
      <c r="V27" s="257" t="n">
        <f aca="false">IF(V23&gt;$B$5,(V23-$B$5)*$H$5,0)</f>
        <v>0</v>
      </c>
      <c r="W27" s="257" t="n">
        <v>0</v>
      </c>
      <c r="X27" s="257" t="n">
        <f aca="false">IF(X23&gt;$B$5,(X23-$B$5)*$H$5,0)</f>
        <v>0</v>
      </c>
      <c r="Y27" s="257" t="n">
        <v>0</v>
      </c>
      <c r="Z27" s="257" t="n">
        <f aca="false">IF(Z23&gt;$B$5,(Z23-$B$5)*$H$5,0)</f>
        <v>0</v>
      </c>
      <c r="AA27" s="257" t="n">
        <v>0</v>
      </c>
      <c r="AB27" s="257" t="n">
        <f aca="false">IF(AB23&gt;$B$5,(AB23-$B$5)*$H$5,0)</f>
        <v>0</v>
      </c>
      <c r="AC27" s="257" t="n">
        <v>0</v>
      </c>
      <c r="AD27" s="257" t="n">
        <f aca="false">IF(AD23&gt;$B$5,(AD23-$B$5)*$H$5,0)</f>
        <v>0</v>
      </c>
      <c r="AE27" s="257" t="n">
        <v>0</v>
      </c>
      <c r="AF27" s="257" t="n">
        <f aca="false">IF(AF23&gt;$B$5,(AF23-$B$5)*$H$5,0)</f>
        <v>0</v>
      </c>
      <c r="AG27" s="257" t="n">
        <v>0</v>
      </c>
      <c r="AH27" s="257" t="n">
        <f aca="false">IF(AH23&gt;$B$5,(AH23-$B$5)*$H$5,0)</f>
        <v>0</v>
      </c>
      <c r="AI27" s="257" t="n">
        <v>0</v>
      </c>
      <c r="AJ27" s="257" t="n">
        <f aca="false">IF(AJ23&gt;$B$5,(AJ23-$B$5)*$H$5,0)</f>
        <v>0</v>
      </c>
      <c r="AK27" s="257" t="n">
        <v>0</v>
      </c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</row>
    <row r="28" customFormat="false" ht="15" hidden="false" customHeight="false" outlineLevel="0" collapsed="false">
      <c r="A28" s="256" t="s">
        <v>245</v>
      </c>
      <c r="B28" s="257" t="n">
        <f aca="false">IF(B24&gt;$B$6,(B24-$B$6)*$H$6,0)</f>
        <v>0</v>
      </c>
      <c r="C28" s="257" t="n">
        <v>0</v>
      </c>
      <c r="D28" s="257" t="n">
        <f aca="false">IF(D24&gt;$B$6,(D24-$B$6)*$H$6,0)</f>
        <v>0</v>
      </c>
      <c r="E28" s="257" t="n">
        <v>0</v>
      </c>
      <c r="F28" s="257" t="n">
        <f aca="false">IF(F24&gt;$B$6,(F24-$B$6)*$H$6,0)</f>
        <v>0</v>
      </c>
      <c r="G28" s="257" t="n">
        <v>0</v>
      </c>
      <c r="H28" s="257" t="n">
        <f aca="false">IF(H24&gt;$B$6,(H24-$B$6)*$H$6,0)</f>
        <v>0</v>
      </c>
      <c r="I28" s="257" t="n">
        <v>0</v>
      </c>
      <c r="J28" s="257" t="n">
        <f aca="false">IF(J24&gt;$B$6,(J24-$B$6)*$H$6,0)</f>
        <v>0</v>
      </c>
      <c r="K28" s="257" t="n">
        <v>0</v>
      </c>
      <c r="L28" s="257" t="n">
        <f aca="false">IF(L24&gt;$B$6,(L24-$B$6)*$H$6,0)</f>
        <v>581.875</v>
      </c>
      <c r="M28" s="257" t="n">
        <v>0</v>
      </c>
      <c r="N28" s="257" t="n">
        <f aca="false">IF(N24&gt;$B$6,(N24-$B$6)*$H$6,0)</f>
        <v>2931.7</v>
      </c>
      <c r="O28" s="257" t="n">
        <v>0</v>
      </c>
      <c r="P28" s="257" t="n">
        <f aca="false">IF(P24&gt;$B$6,(P24-$B$6)*$H$6,0)</f>
        <v>3800</v>
      </c>
      <c r="Q28" s="257" t="n">
        <v>0</v>
      </c>
      <c r="R28" s="257" t="n">
        <f aca="false">IF(R24&gt;$B$6,(R24-$B$6)*$H$6,0)</f>
        <v>3800</v>
      </c>
      <c r="S28" s="257" t="n">
        <v>0</v>
      </c>
      <c r="T28" s="257" t="n">
        <f aca="false">IF(T24&gt;$B$6,(T24-$B$6)*$H$6,0)</f>
        <v>3800</v>
      </c>
      <c r="U28" s="257" t="n">
        <v>0</v>
      </c>
      <c r="V28" s="257" t="n">
        <f aca="false">IF(V24&gt;$B$6,(V24-$B$6)*$H$6,0)</f>
        <v>3800</v>
      </c>
      <c r="W28" s="257" t="n">
        <v>0</v>
      </c>
      <c r="X28" s="257" t="n">
        <f aca="false">IF(X24&gt;$B$6,(X24-$B$6)*$H$6,0)</f>
        <v>3800</v>
      </c>
      <c r="Y28" s="257" t="n">
        <v>0</v>
      </c>
      <c r="Z28" s="257" t="n">
        <f aca="false">IF(Z24&gt;$B$6,(Z24-$B$6)*$H$6,0)</f>
        <v>3800</v>
      </c>
      <c r="AA28" s="257" t="n">
        <v>0</v>
      </c>
      <c r="AB28" s="257" t="n">
        <f aca="false">IF(AB24&gt;$B$6,(AB24-$B$6)*$H$6,0)</f>
        <v>3800</v>
      </c>
      <c r="AC28" s="257" t="n">
        <v>0</v>
      </c>
      <c r="AD28" s="257" t="n">
        <f aca="false">IF(AD24&gt;$B$6,(AD24-$B$6)*$H$6,0)</f>
        <v>3800</v>
      </c>
      <c r="AE28" s="257" t="n">
        <v>0</v>
      </c>
      <c r="AF28" s="257" t="n">
        <f aca="false">IF(AF24&gt;$B$6,(AF24-$B$6)*$H$6,0)</f>
        <v>0</v>
      </c>
      <c r="AG28" s="257" t="n">
        <v>0</v>
      </c>
      <c r="AH28" s="257" t="n">
        <f aca="false">IF(AH24&gt;$B$6,(AH24-$B$6)*$H$6,0)</f>
        <v>0</v>
      </c>
      <c r="AI28" s="257" t="n">
        <v>0</v>
      </c>
      <c r="AJ28" s="257" t="n">
        <f aca="false">IF(AJ24&gt;$B$6,(AJ24-$B$6)*$H$6,0)</f>
        <v>0</v>
      </c>
      <c r="AK28" s="257" t="n">
        <v>0</v>
      </c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</row>
    <row r="29" customFormat="false" ht="15" hidden="false" customHeight="false" outlineLevel="0" collapsed="false">
      <c r="A29" s="256" t="s">
        <v>246</v>
      </c>
      <c r="B29" s="257" t="n">
        <f aca="false">IF(B25&gt;$B$7,(B25-$B$7)*$H$7,0)</f>
        <v>1785</v>
      </c>
      <c r="C29" s="257" t="n">
        <v>0</v>
      </c>
      <c r="D29" s="257" t="n">
        <f aca="false">IF(D25&gt;$B$7,(D25-$B$7)*$H$7,0)</f>
        <v>2320.5</v>
      </c>
      <c r="E29" s="257" t="n">
        <v>0</v>
      </c>
      <c r="F29" s="257" t="n">
        <f aca="false">IF(F25&gt;$B$7,(F25-$B$7)*$H$7,0)</f>
        <v>2856</v>
      </c>
      <c r="G29" s="257" t="n">
        <v>0</v>
      </c>
      <c r="H29" s="257" t="n">
        <f aca="false">IF(H25&gt;$B$7,(H25-$B$7)*$H$7,0)</f>
        <v>3391.5</v>
      </c>
      <c r="I29" s="257" t="n">
        <v>0</v>
      </c>
      <c r="J29" s="257" t="n">
        <f aca="false">IF(J25&gt;$B$7,(J25-$B$7)*$H$7,0)</f>
        <v>3927</v>
      </c>
      <c r="K29" s="257" t="n">
        <v>0</v>
      </c>
      <c r="L29" s="257" t="n">
        <f aca="false">IF(L25&gt;$B$7,(L25-$B$7)*$H$7,0)</f>
        <v>4462.5</v>
      </c>
      <c r="M29" s="257" t="n">
        <v>0</v>
      </c>
      <c r="N29" s="257" t="n">
        <f aca="false">IF(N25&gt;$B$7,(N25-$B$7)*$H$7,0)</f>
        <v>4998</v>
      </c>
      <c r="O29" s="257" t="n">
        <v>0</v>
      </c>
      <c r="P29" s="257" t="n">
        <f aca="false">IF(P25&gt;$B$7,(P25-$B$7)*$H$7,0)</f>
        <v>5533.5</v>
      </c>
      <c r="Q29" s="257" t="n">
        <v>0</v>
      </c>
      <c r="R29" s="257" t="n">
        <f aca="false">IF(R25&gt;$B$7,(R25-$B$7)*$H$7,0)</f>
        <v>6069</v>
      </c>
      <c r="S29" s="257" t="n">
        <v>0</v>
      </c>
      <c r="T29" s="257" t="n">
        <f aca="false">IF(T25&gt;$B$7,(T25-$B$7)*$H$7,0)</f>
        <v>6604.5</v>
      </c>
      <c r="U29" s="257" t="n">
        <v>0</v>
      </c>
      <c r="V29" s="257" t="n">
        <f aca="false">IF(V25&gt;$B$7,(V25-$B$7)*$H$7,0)</f>
        <v>7000</v>
      </c>
      <c r="W29" s="257" t="n">
        <v>0</v>
      </c>
      <c r="X29" s="257" t="n">
        <f aca="false">IF(X25&gt;$B$7,(X25-$B$7)*$H$7,0)</f>
        <v>7000</v>
      </c>
      <c r="Y29" s="257" t="n">
        <v>0</v>
      </c>
      <c r="Z29" s="257" t="n">
        <f aca="false">IF(Z25&gt;$B$7,(Z25-$B$7)*$H$7,0)</f>
        <v>7000</v>
      </c>
      <c r="AA29" s="257" t="n">
        <v>0</v>
      </c>
      <c r="AB29" s="257" t="n">
        <f aca="false">IF(AB25&gt;$B$7,(AB25-$B$7)*$H$7,0)</f>
        <v>7000</v>
      </c>
      <c r="AC29" s="257" t="n">
        <v>0</v>
      </c>
      <c r="AD29" s="257" t="n">
        <f aca="false">IF(AD25&gt;$B$7,(AD25-$B$7)*$H$7,0)</f>
        <v>7000</v>
      </c>
      <c r="AE29" s="257" t="n">
        <v>0</v>
      </c>
      <c r="AF29" s="257" t="n">
        <f aca="false">IF(AF25&gt;$B$7,(AF25-$B$7)*$H$7,0)</f>
        <v>0</v>
      </c>
      <c r="AG29" s="257" t="n">
        <v>0</v>
      </c>
      <c r="AH29" s="257" t="n">
        <f aca="false">IF(AH25&gt;$B$7,(AH25-$B$7)*$H$7,0)</f>
        <v>0</v>
      </c>
      <c r="AI29" s="257" t="n">
        <v>0</v>
      </c>
      <c r="AJ29" s="257" t="n">
        <f aca="false">IF(AJ25&gt;$B$7,(AJ25-$B$7)*$H$7,0)</f>
        <v>0</v>
      </c>
      <c r="AK29" s="257" t="n">
        <v>0</v>
      </c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</row>
    <row r="30" customFormat="false" ht="15" hidden="false" customHeight="false" outlineLevel="0" collapsed="false">
      <c r="A30" s="259" t="s">
        <v>247</v>
      </c>
      <c r="B30" s="260" t="n">
        <f aca="false">G4+G5+G6+G7</f>
        <v>700</v>
      </c>
      <c r="C30" s="260" t="n">
        <f aca="false">B30</f>
        <v>700</v>
      </c>
      <c r="D30" s="260" t="n">
        <f aca="false">C30</f>
        <v>700</v>
      </c>
      <c r="E30" s="260" t="n">
        <f aca="false">D30</f>
        <v>700</v>
      </c>
      <c r="F30" s="260" t="n">
        <f aca="false">E30</f>
        <v>700</v>
      </c>
      <c r="G30" s="260" t="n">
        <f aca="false">F30</f>
        <v>700</v>
      </c>
      <c r="H30" s="260" t="n">
        <f aca="false">G30</f>
        <v>700</v>
      </c>
      <c r="I30" s="260" t="n">
        <f aca="false">H30</f>
        <v>700</v>
      </c>
      <c r="J30" s="260" t="n">
        <f aca="false">I30</f>
        <v>700</v>
      </c>
      <c r="K30" s="260" t="n">
        <f aca="false">J30</f>
        <v>700</v>
      </c>
      <c r="L30" s="260" t="n">
        <f aca="false">K30</f>
        <v>700</v>
      </c>
      <c r="M30" s="260" t="n">
        <f aca="false">L30</f>
        <v>700</v>
      </c>
      <c r="N30" s="260" t="n">
        <f aca="false">M30</f>
        <v>700</v>
      </c>
      <c r="O30" s="260" t="n">
        <f aca="false">N30</f>
        <v>700</v>
      </c>
      <c r="P30" s="260" t="n">
        <f aca="false">O30</f>
        <v>700</v>
      </c>
      <c r="Q30" s="260" t="n">
        <f aca="false">P30</f>
        <v>700</v>
      </c>
      <c r="R30" s="260" t="n">
        <f aca="false">Q30</f>
        <v>700</v>
      </c>
      <c r="S30" s="260" t="n">
        <f aca="false">R30</f>
        <v>700</v>
      </c>
      <c r="T30" s="260" t="n">
        <f aca="false">S30</f>
        <v>700</v>
      </c>
      <c r="U30" s="260" t="n">
        <f aca="false">T30</f>
        <v>700</v>
      </c>
      <c r="V30" s="260" t="n">
        <f aca="false">U30</f>
        <v>700</v>
      </c>
      <c r="W30" s="260" t="n">
        <f aca="false">V30</f>
        <v>700</v>
      </c>
      <c r="X30" s="260" t="n">
        <f aca="false">W30</f>
        <v>700</v>
      </c>
      <c r="Y30" s="260" t="n">
        <f aca="false">X30</f>
        <v>700</v>
      </c>
      <c r="Z30" s="260" t="n">
        <f aca="false">Y30</f>
        <v>700</v>
      </c>
      <c r="AA30" s="260" t="n">
        <f aca="false">Z30</f>
        <v>700</v>
      </c>
      <c r="AB30" s="260" t="n">
        <f aca="false">AA30</f>
        <v>700</v>
      </c>
      <c r="AC30" s="260" t="n">
        <f aca="false">AB30</f>
        <v>700</v>
      </c>
      <c r="AD30" s="260" t="n">
        <f aca="false">AC30</f>
        <v>700</v>
      </c>
      <c r="AE30" s="260"/>
      <c r="AF30" s="260"/>
      <c r="AG30" s="260"/>
      <c r="AH30" s="260"/>
      <c r="AI30" s="260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</row>
    <row r="31" customFormat="false" ht="15" hidden="false" customHeight="false" outlineLevel="0" collapsed="false">
      <c r="A31" s="261" t="s">
        <v>248</v>
      </c>
      <c r="B31" s="262" t="n">
        <f aca="false">B26+B27+B28+B29-B30</f>
        <v>1085</v>
      </c>
      <c r="C31" s="262" t="n">
        <f aca="false">C26+C27+C28+C29-C30</f>
        <v>-700</v>
      </c>
      <c r="D31" s="262" t="n">
        <f aca="false">D26+D27+D28+D29-D30</f>
        <v>1620.5</v>
      </c>
      <c r="E31" s="262" t="n">
        <f aca="false">E26+E27+E28+E29-E30</f>
        <v>-700</v>
      </c>
      <c r="F31" s="262" t="n">
        <f aca="false">F26+F27+F28+F29-F30</f>
        <v>2156</v>
      </c>
      <c r="G31" s="262" t="n">
        <f aca="false">G26+G27+G28+G29-G30</f>
        <v>-700</v>
      </c>
      <c r="H31" s="262" t="n">
        <f aca="false">H26+H27+H28+H29-H30</f>
        <v>2691.5</v>
      </c>
      <c r="I31" s="262" t="n">
        <f aca="false">I26+I27+I28+I29-I30</f>
        <v>-700</v>
      </c>
      <c r="J31" s="262" t="n">
        <f aca="false">J26+J27+J28+J29-J30</f>
        <v>3227</v>
      </c>
      <c r="K31" s="262" t="n">
        <f aca="false">K26+K27+K28+K29-K30</f>
        <v>-700</v>
      </c>
      <c r="L31" s="262" t="n">
        <f aca="false">L26+L27+L28+L29-L30</f>
        <v>4344.375</v>
      </c>
      <c r="M31" s="262" t="n">
        <f aca="false">M26+M27+M28+M29-M30</f>
        <v>-700</v>
      </c>
      <c r="N31" s="262" t="n">
        <f aca="false">N26+N27+N28+N29-N30</f>
        <v>7229.7</v>
      </c>
      <c r="O31" s="262" t="n">
        <f aca="false">O26+O27+O28+O29-O30</f>
        <v>-700</v>
      </c>
      <c r="P31" s="262" t="n">
        <f aca="false">P26+P27+P28+P29-P30</f>
        <v>8633.5</v>
      </c>
      <c r="Q31" s="262" t="n">
        <f aca="false">Q26+Q27+Q28+Q29-Q30</f>
        <v>-700</v>
      </c>
      <c r="R31" s="262" t="n">
        <f aca="false">R26+R27+R28+R29-R30</f>
        <v>9169</v>
      </c>
      <c r="S31" s="262" t="n">
        <f aca="false">S26+S27+S28+S29-S30</f>
        <v>-700</v>
      </c>
      <c r="T31" s="262" t="n">
        <f aca="false">T26+T27+T28+T29-T30</f>
        <v>9704.5</v>
      </c>
      <c r="U31" s="262" t="n">
        <f aca="false">U26+U27+U28+U29-U30</f>
        <v>-700</v>
      </c>
      <c r="V31" s="262" t="n">
        <f aca="false">V26+V27+V28+V29-V30</f>
        <v>10100</v>
      </c>
      <c r="W31" s="262" t="n">
        <f aca="false">W26+W27+W28+W29-W30</f>
        <v>-700</v>
      </c>
      <c r="X31" s="262" t="n">
        <f aca="false">X26+X27+X28+X29-X30</f>
        <v>10100</v>
      </c>
      <c r="Y31" s="262" t="n">
        <f aca="false">Y26+Y27+Y28+Y29-Y30</f>
        <v>-700</v>
      </c>
      <c r="Z31" s="262" t="n">
        <f aca="false">Z26+Z27+Z28+Z29-Z30</f>
        <v>10100</v>
      </c>
      <c r="AA31" s="262" t="n">
        <f aca="false">AA26+AA27+AA28+AA29-AA30</f>
        <v>-700</v>
      </c>
      <c r="AB31" s="262" t="n">
        <f aca="false">AB26+AB27+AB28+AB29-AB30</f>
        <v>10100</v>
      </c>
      <c r="AC31" s="262" t="n">
        <f aca="false">AC26+AC27+AC28+AC29-AC30</f>
        <v>-700</v>
      </c>
      <c r="AD31" s="262" t="n">
        <f aca="false">AD26+AD27+AD28+AD29-AD30</f>
        <v>10100</v>
      </c>
      <c r="AE31" s="262"/>
      <c r="AF31" s="262"/>
      <c r="AG31" s="262"/>
      <c r="AH31" s="262"/>
      <c r="AI31" s="262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</row>
    <row r="32" customFormat="false" ht="15" hidden="false" customHeight="false" outlineLevel="0" collapsed="false">
      <c r="A32" s="264" t="s">
        <v>249</v>
      </c>
      <c r="B32" s="262" t="n">
        <f aca="false">-B12-B11+B31</f>
        <v>-86915</v>
      </c>
      <c r="C32" s="262" t="n">
        <f aca="false">B32+C31</f>
        <v>-87615</v>
      </c>
      <c r="D32" s="262" t="n">
        <f aca="false">C32+D31</f>
        <v>-85994.5</v>
      </c>
      <c r="E32" s="262" t="n">
        <f aca="false">D32+E31</f>
        <v>-86694.5</v>
      </c>
      <c r="F32" s="262" t="n">
        <f aca="false">E32+F31</f>
        <v>-84538.5</v>
      </c>
      <c r="G32" s="262" t="n">
        <f aca="false">F32+G31</f>
        <v>-85238.5</v>
      </c>
      <c r="H32" s="262" t="n">
        <f aca="false">G32+H31</f>
        <v>-82547</v>
      </c>
      <c r="I32" s="262" t="n">
        <f aca="false">H32+I31</f>
        <v>-83247</v>
      </c>
      <c r="J32" s="262" t="n">
        <f aca="false">I32+J31</f>
        <v>-80020</v>
      </c>
      <c r="K32" s="262" t="n">
        <f aca="false">J32+K31</f>
        <v>-80720</v>
      </c>
      <c r="L32" s="262" t="n">
        <f aca="false">K32+L31</f>
        <v>-76375.625</v>
      </c>
      <c r="M32" s="262" t="n">
        <f aca="false">L32+M31</f>
        <v>-77075.625</v>
      </c>
      <c r="N32" s="262" t="n">
        <f aca="false">M32+N31</f>
        <v>-69845.925</v>
      </c>
      <c r="O32" s="262" t="n">
        <f aca="false">N32+O31</f>
        <v>-70545.925</v>
      </c>
      <c r="P32" s="262" t="n">
        <f aca="false">O32+P31</f>
        <v>-61912.425</v>
      </c>
      <c r="Q32" s="262" t="n">
        <f aca="false">P32+Q31</f>
        <v>-62612.425</v>
      </c>
      <c r="R32" s="262" t="n">
        <f aca="false">Q32+R31</f>
        <v>-53443.425</v>
      </c>
      <c r="S32" s="262" t="n">
        <f aca="false">R32+S31</f>
        <v>-54143.425</v>
      </c>
      <c r="T32" s="262" t="n">
        <f aca="false">S32+T31</f>
        <v>-44438.925</v>
      </c>
      <c r="U32" s="262" t="n">
        <f aca="false">T32+U31</f>
        <v>-45138.925</v>
      </c>
      <c r="V32" s="262" t="n">
        <f aca="false">U32+V31</f>
        <v>-35038.925</v>
      </c>
      <c r="W32" s="262" t="n">
        <f aca="false">V32+W31</f>
        <v>-35738.925</v>
      </c>
      <c r="X32" s="262" t="n">
        <f aca="false">W32+X31</f>
        <v>-25638.925</v>
      </c>
      <c r="Y32" s="262" t="n">
        <f aca="false">X32+Y31</f>
        <v>-26338.925</v>
      </c>
      <c r="Z32" s="262" t="n">
        <f aca="false">Y32+Z31</f>
        <v>-16238.925</v>
      </c>
      <c r="AA32" s="262" t="n">
        <f aca="false">Z32+AA31</f>
        <v>-16938.925</v>
      </c>
      <c r="AB32" s="262" t="n">
        <f aca="false">AA32+AB31</f>
        <v>-6838.925</v>
      </c>
      <c r="AC32" s="262" t="n">
        <f aca="false">AB32+AC31</f>
        <v>-7538.925</v>
      </c>
      <c r="AD32" s="262" t="n">
        <f aca="false">AC32+AD31</f>
        <v>2561.075</v>
      </c>
      <c r="AE32" s="262"/>
      <c r="AF32" s="262"/>
      <c r="AG32" s="262"/>
      <c r="AH32" s="262"/>
      <c r="AI32" s="262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</row>
    <row r="33" customFormat="false" ht="15" hidden="false" customHeight="false" outlineLevel="0" collapsed="false">
      <c r="B33" s="244" t="n">
        <f aca="false">B32/$B$13</f>
        <v>-0.987670454545455</v>
      </c>
      <c r="C33" s="244" t="n">
        <f aca="false">C32/$B$13</f>
        <v>-0.995625</v>
      </c>
      <c r="D33" s="244" t="n">
        <f aca="false">D32/$B$13</f>
        <v>-0.977210227272727</v>
      </c>
      <c r="E33" s="244" t="n">
        <f aca="false">E32/$B$13</f>
        <v>-0.985164772727273</v>
      </c>
      <c r="F33" s="244" t="n">
        <f aca="false">F32/$B$13</f>
        <v>-0.960664772727273</v>
      </c>
      <c r="G33" s="244" t="n">
        <f aca="false">G32/$B$13</f>
        <v>-0.968619318181818</v>
      </c>
      <c r="H33" s="244" t="n">
        <f aca="false">H32/$B$13</f>
        <v>-0.938034090909091</v>
      </c>
      <c r="I33" s="244" t="n">
        <f aca="false">I32/$B$13</f>
        <v>-0.945988636363636</v>
      </c>
      <c r="J33" s="244" t="n">
        <f aca="false">J32/$B$13</f>
        <v>-0.909318181818182</v>
      </c>
      <c r="K33" s="244" t="n">
        <f aca="false">K32/$B$13</f>
        <v>-0.917272727272727</v>
      </c>
      <c r="L33" s="244" t="n">
        <f aca="false">L32/$B$13</f>
        <v>-0.867904829545454</v>
      </c>
      <c r="M33" s="244" t="n">
        <f aca="false">M32/$B$13</f>
        <v>-0.875859375</v>
      </c>
      <c r="N33" s="244" t="n">
        <f aca="false">N32/$B$13</f>
        <v>-0.793703693181818</v>
      </c>
      <c r="O33" s="244" t="n">
        <f aca="false">O32/$B$13</f>
        <v>-0.801658238636364</v>
      </c>
      <c r="P33" s="244" t="n">
        <f aca="false">P32/$B$13</f>
        <v>-0.703550284090909</v>
      </c>
      <c r="Q33" s="244" t="n">
        <f aca="false">Q32/$B$13</f>
        <v>-0.711504829545455</v>
      </c>
      <c r="R33" s="244" t="n">
        <f aca="false">R32/$B$13</f>
        <v>-0.607311647727273</v>
      </c>
      <c r="S33" s="244" t="n">
        <f aca="false">S32/$B$13</f>
        <v>-0.615266193181818</v>
      </c>
      <c r="T33" s="244" t="n">
        <f aca="false">T32/$B$13</f>
        <v>-0.504987784090909</v>
      </c>
      <c r="U33" s="244" t="n">
        <f aca="false">U32/$B$13</f>
        <v>-0.512942329545455</v>
      </c>
      <c r="V33" s="244" t="n">
        <f aca="false">V32/$B$13</f>
        <v>-0.398169602272727</v>
      </c>
      <c r="W33" s="244" t="n">
        <f aca="false">W32/$B$13</f>
        <v>-0.406124147727273</v>
      </c>
      <c r="X33" s="244" t="n">
        <f aca="false">X32/$B$13</f>
        <v>-0.291351420454545</v>
      </c>
      <c r="Y33" s="244" t="n">
        <f aca="false">Y32/$B$13</f>
        <v>-0.299305965909091</v>
      </c>
      <c r="Z33" s="244" t="n">
        <f aca="false">Z32/$B$13</f>
        <v>-0.184533238636364</v>
      </c>
      <c r="AA33" s="244" t="n">
        <f aca="false">AA32/$B$13</f>
        <v>-0.192487784090909</v>
      </c>
      <c r="AB33" s="244" t="n">
        <f aca="false">AB32/$B$13</f>
        <v>-0.0777150568181818</v>
      </c>
      <c r="AC33" s="244" t="n">
        <f aca="false">AC32/$B$13</f>
        <v>-0.0856696022727273</v>
      </c>
      <c r="AD33" s="244" t="n">
        <f aca="false">AD32/$B$13</f>
        <v>0.029103125</v>
      </c>
      <c r="AE33" s="244"/>
      <c r="AF33" s="244"/>
      <c r="AG33" s="244"/>
      <c r="AH33" s="244"/>
      <c r="AI33" s="244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</row>
    <row r="34" customFormat="false" ht="15" hidden="false" customHeight="false" outlineLevel="0" collapsed="false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</row>
    <row r="35" customFormat="false" ht="15" hidden="false" customHeight="false" outlineLevel="0" collapsed="false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</row>
    <row r="36" customFormat="false" ht="15" hidden="false" customHeight="false" outlineLevel="0" collapsed="false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244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</row>
    <row r="37" customFormat="false" ht="15" hidden="false" customHeight="false" outlineLevel="0" collapsed="false">
      <c r="K37" s="244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</row>
    <row r="38" customFormat="false" ht="15" hidden="false" customHeight="false" outlineLevel="0" collapsed="false">
      <c r="K38" s="244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</row>
    <row r="39" customFormat="false" ht="15" hidden="false" customHeight="false" outlineLevel="0" collapsed="false">
      <c r="K39" s="244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</row>
    <row r="40" customFormat="false" ht="15" hidden="false" customHeight="false" outlineLevel="0" collapsed="false"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</row>
    <row r="41" customFormat="false" ht="15" hidden="false" customHeight="false" outlineLevel="0" collapsed="false"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</row>
    <row r="42" customFormat="false" ht="15" hidden="false" customHeight="false" outlineLevel="0" collapsed="false"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</row>
    <row r="43" customFormat="false" ht="15" hidden="false" customHeight="false" outlineLevel="0" collapsed="false"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</row>
    <row r="44" customFormat="false" ht="15" hidden="false" customHeight="false" outlineLevel="0" collapsed="false"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</row>
    <row r="45" customFormat="false" ht="15" hidden="false" customHeight="false" outlineLevel="0" collapsed="false"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</row>
  </sheetData>
  <mergeCells count="3">
    <mergeCell ref="D2:E2"/>
    <mergeCell ref="F2:G2"/>
    <mergeCell ref="H2:I2"/>
  </mergeCells>
  <conditionalFormatting sqref="B32:AD32">
    <cfRule type="cellIs" priority="2" operator="lessThan" aboveAverage="0" equalAverage="0" bottom="0" percent="0" rank="0" text="" dxfId="18">
      <formula>0</formula>
    </cfRule>
    <cfRule type="cellIs" priority="3" operator="greaterThan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2019-06-22T11:59:40Z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