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tmp" ContentType="image/png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D:\Personal\HI\projects\current\hattrick\"/>
    </mc:Choice>
  </mc:AlternateContent>
  <xr:revisionPtr revIDLastSave="0" documentId="13_ncr:1_{E4F7117B-6CC4-4DF5-AA3F-CBED08D06E7E}" xr6:coauthVersionLast="45" xr6:coauthVersionMax="45" xr10:uidLastSave="{00000000-0000-0000-0000-000000000000}"/>
  <bookViews>
    <workbookView xWindow="-120" yWindow="-120" windowWidth="29040" windowHeight="15840" tabRatio="500" activeTab="3" xr2:uid="{00000000-000D-0000-FFFF-FFFF00000000}"/>
  </bookViews>
  <sheets>
    <sheet name="Banderas" sheetId="8" r:id="rId1"/>
    <sheet name="Hall_of_Fame" sheetId="1" r:id="rId2"/>
    <sheet name="Fites" sheetId="27" r:id="rId3"/>
    <sheet name="PLANTILLA" sheetId="2" r:id="rId4"/>
    <sheet name="JUVENILES" sheetId="3" r:id="rId5"/>
    <sheet name="ECONOMIA" sheetId="25" r:id="rId6"/>
    <sheet name="Planning_v3" sheetId="23" r:id="rId7"/>
    <sheet name="T78_III.7" sheetId="26" r:id="rId8"/>
    <sheet name="Evaluacion" sheetId="7" r:id="rId9"/>
    <sheet name="Calculadora_Tactica" sheetId="9" r:id="rId10"/>
    <sheet name="Estudio_Conversion_TL" sheetId="22" r:id="rId11"/>
    <sheet name="Capitan" sheetId="10" r:id="rId12"/>
    <sheet name="Entrenador" sheetId="11" r:id="rId13"/>
    <sheet name="Entrenamiento" sheetId="12" r:id="rId14"/>
    <sheet name="Resumen_Rend" sheetId="13" r:id="rId15"/>
    <sheet name="352" sheetId="14" r:id="rId16"/>
    <sheet name="541" sheetId="15" r:id="rId17"/>
    <sheet name="DEF" sheetId="16" r:id="rId18"/>
    <sheet name="JUG" sheetId="17" r:id="rId19"/>
    <sheet name="ANO" sheetId="18" r:id="rId20"/>
    <sheet name="XUTS" sheetId="19" r:id="rId21"/>
    <sheet name="BP" sheetId="20" r:id="rId22"/>
    <sheet name="El Desierto de Tattoine" sheetId="21" r:id="rId23"/>
    <sheet name="Inner" sheetId="24" r:id="rId24"/>
  </sheets>
  <definedNames>
    <definedName name="_xlnm._FilterDatabase" localSheetId="10" hidden="1">Estudio_Conversion_TL!$L$1:$O$1</definedName>
  </definedNames>
  <calcPr calcId="191029"/>
  <pivotCaches>
    <pivotCache cacheId="62" r:id="rId25"/>
    <pivotCache cacheId="63" r:id="rId2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smNativeData">
      <pm:revision xmlns:pm="smNativeData" day="1595601780" val="976" rev="124" rev64="64" revOS="3" revMin="124" revMax="0"/>
      <pm:docPrefs xmlns:pm="smNativeData" id="1595601780" fixedDigits="0" showNotice="1" showFrameBounds="1" autoChart="1" recalcOnPrint="1" recalcOnCopy="1" finalRounding="1" compatTextArt="1" tab="567" useDefinedPrintRange="1" printArea="currentSheet"/>
      <pm:compatibility xmlns:pm="smNativeData" id="1595601780" overlapCells="1"/>
      <pm:defCurrency xmlns:pm="smNativeData" id="1595601780"/>
    </ext>
  </extLst>
</workbook>
</file>

<file path=xl/calcChain.xml><?xml version="1.0" encoding="utf-8"?>
<calcChain xmlns="http://schemas.openxmlformats.org/spreadsheetml/2006/main">
  <c r="Z7" i="2" l="1"/>
  <c r="Z6" i="2"/>
  <c r="Z10" i="2"/>
  <c r="Z9" i="2"/>
  <c r="Z8" i="2"/>
  <c r="Z12" i="2"/>
  <c r="Z18" i="2"/>
  <c r="Z17" i="2"/>
  <c r="Z19" i="2"/>
  <c r="Z14" i="2"/>
  <c r="Z13" i="2"/>
  <c r="Z20" i="2"/>
  <c r="Y20" i="2"/>
  <c r="Y5" i="2"/>
  <c r="Y18" i="2"/>
  <c r="Y19" i="2"/>
  <c r="Y17" i="2"/>
  <c r="Y12" i="2" l="1"/>
  <c r="Y13" i="2"/>
  <c r="Y11" i="2"/>
  <c r="Y14" i="2"/>
  <c r="Y8" i="2"/>
  <c r="Y9" i="2"/>
  <c r="Y7" i="2"/>
  <c r="Y10" i="2"/>
  <c r="Y6" i="2"/>
  <c r="AD11" i="2" l="1"/>
  <c r="AD14" i="2"/>
  <c r="AD9" i="2"/>
  <c r="AD6" i="2"/>
  <c r="AD13" i="2"/>
  <c r="AD10" i="2"/>
  <c r="AD7" i="2"/>
  <c r="AD20" i="2"/>
  <c r="AD5" i="2"/>
  <c r="P51" i="25" l="1"/>
  <c r="O48" i="25" l="1"/>
  <c r="AA5" i="24" l="1"/>
  <c r="AB5" i="24" s="1"/>
  <c r="U5" i="24"/>
  <c r="T5" i="24"/>
  <c r="V5" i="24" s="1"/>
  <c r="S5" i="24"/>
  <c r="P5" i="24"/>
  <c r="R5" i="24" s="1"/>
  <c r="Q5" i="24"/>
  <c r="H5" i="24"/>
  <c r="W5" i="24" s="1"/>
  <c r="AA8" i="24"/>
  <c r="AB8" i="24" s="1"/>
  <c r="U8" i="24"/>
  <c r="T8" i="24"/>
  <c r="V8" i="24" s="1"/>
  <c r="S8" i="24"/>
  <c r="P8" i="24"/>
  <c r="R8" i="24" s="1"/>
  <c r="Q8" i="24"/>
  <c r="H8" i="24"/>
  <c r="W8" i="24" s="1"/>
  <c r="AA4" i="24"/>
  <c r="AB4" i="24" s="1"/>
  <c r="U4" i="24"/>
  <c r="T4" i="24"/>
  <c r="V4" i="24" s="1"/>
  <c r="S4" i="24"/>
  <c r="P4" i="24"/>
  <c r="R4" i="24" s="1"/>
  <c r="Q4" i="24"/>
  <c r="H4" i="24"/>
  <c r="W4" i="24" s="1"/>
  <c r="AA9" i="24"/>
  <c r="AB9" i="24" s="1"/>
  <c r="U9" i="24"/>
  <c r="T9" i="24"/>
  <c r="V9" i="24" s="1"/>
  <c r="S9" i="24"/>
  <c r="P9" i="24"/>
  <c r="R9" i="24" s="1"/>
  <c r="Q9" i="24"/>
  <c r="H9" i="24"/>
  <c r="W9" i="24" s="1"/>
  <c r="Y7" i="24"/>
  <c r="AA7" i="24" s="1"/>
  <c r="AB7" i="24" s="1"/>
  <c r="W7" i="24"/>
  <c r="U7" i="24"/>
  <c r="T7" i="24"/>
  <c r="V7" i="24" s="1"/>
  <c r="S7" i="24"/>
  <c r="P7" i="24"/>
  <c r="R7" i="24" s="1"/>
  <c r="Q7" i="24"/>
  <c r="H7" i="24"/>
  <c r="AA6" i="24"/>
  <c r="AB6" i="24" s="1"/>
  <c r="W6" i="24"/>
  <c r="U6" i="24"/>
  <c r="T6" i="24"/>
  <c r="V6" i="24" s="1"/>
  <c r="S6" i="24"/>
  <c r="P6" i="24"/>
  <c r="R6" i="24" s="1"/>
  <c r="Q6" i="24"/>
  <c r="H6" i="24"/>
  <c r="Y10" i="24"/>
  <c r="AA10" i="24" s="1"/>
  <c r="AB10" i="24" s="1"/>
  <c r="W10" i="24"/>
  <c r="U10" i="24"/>
  <c r="T10" i="24"/>
  <c r="V10" i="24" s="1"/>
  <c r="S10" i="24"/>
  <c r="P10" i="24"/>
  <c r="R10" i="24" s="1"/>
  <c r="Q10" i="24"/>
  <c r="H10" i="24"/>
  <c r="AA11" i="24"/>
  <c r="AB11" i="24" s="1"/>
  <c r="W11" i="24"/>
  <c r="U11" i="24"/>
  <c r="T11" i="24"/>
  <c r="V11" i="24" s="1"/>
  <c r="S11" i="24"/>
  <c r="P11" i="24"/>
  <c r="R11" i="24" s="1"/>
  <c r="Q11" i="24"/>
  <c r="H11" i="24"/>
  <c r="AA12" i="24"/>
  <c r="AB12" i="24" s="1"/>
  <c r="W12" i="24"/>
  <c r="U12" i="24"/>
  <c r="T12" i="24"/>
  <c r="V12" i="24" s="1"/>
  <c r="S12" i="24"/>
  <c r="P12" i="24"/>
  <c r="R12" i="24" s="1"/>
  <c r="Q12" i="24"/>
  <c r="H12" i="24"/>
  <c r="AA13" i="24"/>
  <c r="AB13" i="24" s="1"/>
  <c r="W13" i="24"/>
  <c r="U13" i="24"/>
  <c r="T13" i="24"/>
  <c r="V13" i="24" s="1"/>
  <c r="S13" i="24"/>
  <c r="P13" i="24"/>
  <c r="R13" i="24" s="1"/>
  <c r="Q13" i="24"/>
  <c r="H13" i="24"/>
  <c r="AA14" i="24"/>
  <c r="AB14" i="24" s="1"/>
  <c r="W14" i="24"/>
  <c r="U14" i="24"/>
  <c r="T14" i="24"/>
  <c r="V14" i="24" s="1"/>
  <c r="S14" i="24"/>
  <c r="P14" i="24"/>
  <c r="R14" i="24" s="1"/>
  <c r="Q14" i="24"/>
  <c r="H14" i="24"/>
  <c r="O6" i="25" l="1"/>
  <c r="C26" i="25" l="1"/>
  <c r="C5" i="25"/>
  <c r="C4" i="25"/>
  <c r="G21" i="25"/>
  <c r="G19" i="25"/>
  <c r="G18" i="25"/>
  <c r="G16" i="25"/>
  <c r="G9" i="25"/>
  <c r="C24" i="25"/>
  <c r="C22" i="25"/>
  <c r="C21" i="25"/>
  <c r="C9" i="25"/>
  <c r="C8" i="25"/>
  <c r="C7" i="25"/>
  <c r="C3" i="25" l="1"/>
  <c r="AC11" i="2" l="1"/>
  <c r="AC15" i="2"/>
  <c r="AC12" i="2"/>
  <c r="AC16" i="2"/>
  <c r="AC17" i="2"/>
  <c r="AC19" i="2"/>
  <c r="AC20" i="2"/>
  <c r="AC18" i="2"/>
  <c r="AC9" i="2"/>
  <c r="AC8" i="2"/>
  <c r="AC6" i="2"/>
  <c r="L4" i="25" l="1"/>
  <c r="O44" i="25" l="1"/>
  <c r="AI9" i="25" l="1"/>
  <c r="AE29" i="25"/>
  <c r="M9" i="25"/>
  <c r="U19" i="2" l="1"/>
  <c r="F28" i="3" l="1"/>
  <c r="E28" i="3" s="1"/>
  <c r="F23" i="3"/>
  <c r="A32" i="3"/>
  <c r="A36" i="3" s="1"/>
  <c r="A33" i="3" s="1"/>
  <c r="C3" i="3" s="1"/>
  <c r="X23" i="3"/>
  <c r="W23" i="3"/>
  <c r="X26" i="3"/>
  <c r="W26" i="3"/>
  <c r="F26" i="3"/>
  <c r="E26" i="3" s="1"/>
  <c r="X27" i="3"/>
  <c r="W27" i="3"/>
  <c r="F27" i="3"/>
  <c r="E27" i="3" s="1"/>
  <c r="X25" i="3"/>
  <c r="W25" i="3"/>
  <c r="E25" i="3"/>
  <c r="X12" i="3"/>
  <c r="W12" i="3"/>
  <c r="E12" i="3"/>
  <c r="X17" i="3"/>
  <c r="W17" i="3"/>
  <c r="E17" i="3"/>
  <c r="X13" i="3"/>
  <c r="W13" i="3"/>
  <c r="E13" i="3"/>
  <c r="X19" i="3"/>
  <c r="W19" i="3"/>
  <c r="E19" i="3"/>
  <c r="X16" i="3"/>
  <c r="W16" i="3"/>
  <c r="E16" i="3"/>
  <c r="X15" i="3"/>
  <c r="W15" i="3"/>
  <c r="E15" i="3"/>
  <c r="X18" i="3"/>
  <c r="W18" i="3"/>
  <c r="E18" i="3"/>
  <c r="X14" i="3"/>
  <c r="W14" i="3"/>
  <c r="E14" i="3"/>
  <c r="X3" i="3"/>
  <c r="W3" i="3"/>
  <c r="E3" i="3"/>
  <c r="X7" i="3"/>
  <c r="W7" i="3"/>
  <c r="E7" i="3"/>
  <c r="X22" i="3"/>
  <c r="W22" i="3"/>
  <c r="E22" i="3"/>
  <c r="X24" i="3"/>
  <c r="W24" i="3"/>
  <c r="E24" i="3"/>
  <c r="X28" i="3"/>
  <c r="W28" i="3"/>
  <c r="AG6" i="3"/>
  <c r="AG11" i="3" s="1"/>
  <c r="AG21" i="3" s="1"/>
  <c r="AF6" i="3"/>
  <c r="AF11" i="3" s="1"/>
  <c r="AF21" i="3" s="1"/>
  <c r="AE6" i="3"/>
  <c r="AE11" i="3" s="1"/>
  <c r="AE21" i="3" s="1"/>
  <c r="AD6" i="3"/>
  <c r="AD11" i="3" s="1"/>
  <c r="AD21" i="3" s="1"/>
  <c r="AC6" i="3"/>
  <c r="AC11" i="3" s="1"/>
  <c r="AC21" i="3" s="1"/>
  <c r="AB6" i="3"/>
  <c r="AB11" i="3" s="1"/>
  <c r="AB21" i="3" s="1"/>
  <c r="AA6" i="3"/>
  <c r="AA11" i="3" s="1"/>
  <c r="AA21" i="3" s="1"/>
  <c r="Y6" i="3"/>
  <c r="Y11" i="3" s="1"/>
  <c r="Y21" i="3" s="1"/>
  <c r="X6" i="3"/>
  <c r="X11" i="3" s="1"/>
  <c r="X21" i="3" s="1"/>
  <c r="W6" i="3"/>
  <c r="W11" i="3" s="1"/>
  <c r="W21" i="3" s="1"/>
  <c r="V6" i="3"/>
  <c r="V11" i="3" s="1"/>
  <c r="V21" i="3" s="1"/>
  <c r="U6" i="3"/>
  <c r="U11" i="3" s="1"/>
  <c r="U21" i="3" s="1"/>
  <c r="T6" i="3"/>
  <c r="T11" i="3" s="1"/>
  <c r="T21" i="3" s="1"/>
  <c r="S6" i="3"/>
  <c r="S11" i="3" s="1"/>
  <c r="S21" i="3" s="1"/>
  <c r="R6" i="3"/>
  <c r="R11" i="3" s="1"/>
  <c r="R21" i="3" s="1"/>
  <c r="Q6" i="3"/>
  <c r="Q11" i="3" s="1"/>
  <c r="Q21" i="3" s="1"/>
  <c r="P6" i="3"/>
  <c r="P11" i="3" s="1"/>
  <c r="P21" i="3" s="1"/>
  <c r="O6" i="3"/>
  <c r="O11" i="3" s="1"/>
  <c r="O21" i="3" s="1"/>
  <c r="N6" i="3"/>
  <c r="N11" i="3" s="1"/>
  <c r="N21" i="3" s="1"/>
  <c r="M6" i="3"/>
  <c r="M11" i="3" s="1"/>
  <c r="M21" i="3" s="1"/>
  <c r="L6" i="3"/>
  <c r="L11" i="3" s="1"/>
  <c r="L21" i="3" s="1"/>
  <c r="K6" i="3"/>
  <c r="K11" i="3" s="1"/>
  <c r="K21" i="3" s="1"/>
  <c r="J6" i="3"/>
  <c r="J11" i="3" s="1"/>
  <c r="J21" i="3" s="1"/>
  <c r="H6" i="3"/>
  <c r="H11" i="3" s="1"/>
  <c r="H21" i="3" s="1"/>
  <c r="G6" i="3"/>
  <c r="G11" i="3" s="1"/>
  <c r="G21" i="3" s="1"/>
  <c r="F6" i="3"/>
  <c r="F11" i="3" s="1"/>
  <c r="F21" i="3" s="1"/>
  <c r="X8" i="3"/>
  <c r="W8" i="3"/>
  <c r="E8" i="3"/>
  <c r="C8" i="3" l="1"/>
  <c r="C28" i="3"/>
  <c r="C7" i="3"/>
  <c r="C19" i="3"/>
  <c r="C24" i="3"/>
  <c r="C23" i="3"/>
  <c r="C26" i="3"/>
  <c r="C27" i="3"/>
  <c r="C25" i="3"/>
  <c r="C17" i="3"/>
  <c r="C13" i="3"/>
  <c r="C16" i="3"/>
  <c r="C15" i="3"/>
  <c r="C18" i="3"/>
  <c r="C14" i="3"/>
  <c r="C12" i="3"/>
  <c r="C22" i="3"/>
  <c r="O31" i="25"/>
  <c r="AE16" i="25"/>
  <c r="AE15" i="25" s="1"/>
  <c r="A6" i="12"/>
  <c r="B6" i="12"/>
  <c r="C6" i="12"/>
  <c r="D6" i="12"/>
  <c r="P6" i="12" s="1"/>
  <c r="G6" i="12"/>
  <c r="H6" i="12"/>
  <c r="R6" i="12" s="1"/>
  <c r="I6" i="12"/>
  <c r="S6" i="12" s="1"/>
  <c r="Z6" i="12" s="1"/>
  <c r="J6" i="12"/>
  <c r="T6" i="12" s="1"/>
  <c r="AA6" i="12" s="1"/>
  <c r="K6" i="12"/>
  <c r="U6" i="12" s="1"/>
  <c r="AB6" i="12" s="1"/>
  <c r="L6" i="12"/>
  <c r="M6" i="12"/>
  <c r="N6" i="12"/>
  <c r="X6" i="12" s="1"/>
  <c r="AE6" i="12" s="1"/>
  <c r="O6" i="12"/>
  <c r="V6" i="12"/>
  <c r="AC6" i="12" s="1"/>
  <c r="W6" i="12"/>
  <c r="Y6" i="12"/>
  <c r="AF6" i="12" s="1"/>
  <c r="AD6" i="12"/>
  <c r="A7" i="12"/>
  <c r="B7" i="12"/>
  <c r="C7" i="12"/>
  <c r="D7" i="12"/>
  <c r="P7" i="12" s="1"/>
  <c r="F7" i="12"/>
  <c r="G7" i="12"/>
  <c r="H7" i="12"/>
  <c r="R7" i="12" s="1"/>
  <c r="I7" i="12"/>
  <c r="S7" i="12" s="1"/>
  <c r="Z7" i="12" s="1"/>
  <c r="J7" i="12"/>
  <c r="T7" i="12" s="1"/>
  <c r="AA7" i="12" s="1"/>
  <c r="K7" i="12"/>
  <c r="U7" i="12" s="1"/>
  <c r="AB7" i="12" s="1"/>
  <c r="L7" i="12"/>
  <c r="M7" i="12"/>
  <c r="N7" i="12"/>
  <c r="O7" i="12"/>
  <c r="Y7" i="12" s="1"/>
  <c r="AF7" i="12" s="1"/>
  <c r="V7" i="12"/>
  <c r="AC7" i="12" s="1"/>
  <c r="W7" i="12"/>
  <c r="X7" i="12"/>
  <c r="AE7" i="12" s="1"/>
  <c r="AD7" i="12"/>
  <c r="A8" i="12"/>
  <c r="B8" i="12"/>
  <c r="C8" i="12"/>
  <c r="D8" i="12"/>
  <c r="P8" i="12" s="1"/>
  <c r="G8" i="12"/>
  <c r="H8" i="12"/>
  <c r="R8" i="12" s="1"/>
  <c r="I8" i="12"/>
  <c r="S8" i="12" s="1"/>
  <c r="Z8" i="12" s="1"/>
  <c r="J8" i="12"/>
  <c r="T8" i="12" s="1"/>
  <c r="AA8" i="12" s="1"/>
  <c r="K8" i="12"/>
  <c r="U8" i="12" s="1"/>
  <c r="AB8" i="12" s="1"/>
  <c r="L8" i="12"/>
  <c r="V8" i="12" s="1"/>
  <c r="AC8" i="12" s="1"/>
  <c r="M8" i="12"/>
  <c r="N8" i="12"/>
  <c r="X8" i="12" s="1"/>
  <c r="AE8" i="12" s="1"/>
  <c r="O8" i="12"/>
  <c r="W8" i="12"/>
  <c r="AD8" i="12" s="1"/>
  <c r="Y8" i="12"/>
  <c r="AF8" i="12" s="1"/>
  <c r="A9" i="12"/>
  <c r="B9" i="12"/>
  <c r="C9" i="12"/>
  <c r="D9" i="12"/>
  <c r="P9" i="12" s="1"/>
  <c r="F9" i="12"/>
  <c r="G9" i="12"/>
  <c r="H9" i="12"/>
  <c r="I9" i="12"/>
  <c r="S9" i="12" s="1"/>
  <c r="Z9" i="12" s="1"/>
  <c r="J9" i="12"/>
  <c r="T9" i="12" s="1"/>
  <c r="AA9" i="12" s="1"/>
  <c r="K9" i="12"/>
  <c r="U9" i="12" s="1"/>
  <c r="AB9" i="12" s="1"/>
  <c r="L9" i="12"/>
  <c r="M9" i="12"/>
  <c r="N9" i="12"/>
  <c r="X9" i="12" s="1"/>
  <c r="AE9" i="12" s="1"/>
  <c r="O9" i="12"/>
  <c r="R9" i="12"/>
  <c r="V9" i="12"/>
  <c r="AC9" i="12" s="1"/>
  <c r="W9" i="12"/>
  <c r="AD9" i="12" s="1"/>
  <c r="Y9" i="12"/>
  <c r="AF9" i="12" s="1"/>
  <c r="A10" i="12"/>
  <c r="B10" i="12"/>
  <c r="C10" i="12"/>
  <c r="D10" i="12"/>
  <c r="P10" i="12" s="1"/>
  <c r="G10" i="12"/>
  <c r="H10" i="12"/>
  <c r="R10" i="12" s="1"/>
  <c r="I10" i="12"/>
  <c r="J10" i="12"/>
  <c r="T10" i="12" s="1"/>
  <c r="AA10" i="12" s="1"/>
  <c r="K10" i="12"/>
  <c r="U10" i="12" s="1"/>
  <c r="AB10" i="12" s="1"/>
  <c r="L10" i="12"/>
  <c r="V10" i="12" s="1"/>
  <c r="AC10" i="12" s="1"/>
  <c r="M10" i="12"/>
  <c r="N10" i="12"/>
  <c r="X10" i="12" s="1"/>
  <c r="AE10" i="12" s="1"/>
  <c r="O10" i="12"/>
  <c r="Y10" i="12" s="1"/>
  <c r="AF10" i="12" s="1"/>
  <c r="S10" i="12"/>
  <c r="Z10" i="12" s="1"/>
  <c r="W10" i="12"/>
  <c r="AD10" i="12" s="1"/>
  <c r="A11" i="12"/>
  <c r="B11" i="12"/>
  <c r="C11" i="12"/>
  <c r="D11" i="12"/>
  <c r="P11" i="12" s="1"/>
  <c r="F11" i="12"/>
  <c r="G11" i="12"/>
  <c r="H11" i="12"/>
  <c r="I11" i="12"/>
  <c r="J11" i="12"/>
  <c r="T11" i="12" s="1"/>
  <c r="AA11" i="12" s="1"/>
  <c r="K11" i="12"/>
  <c r="U11" i="12" s="1"/>
  <c r="AB11" i="12" s="1"/>
  <c r="L11" i="12"/>
  <c r="V11" i="12" s="1"/>
  <c r="AC11" i="12" s="1"/>
  <c r="M11" i="12"/>
  <c r="N11" i="12"/>
  <c r="O11" i="12"/>
  <c r="Y11" i="12" s="1"/>
  <c r="AF11" i="12" s="1"/>
  <c r="R11" i="12"/>
  <c r="S11" i="12"/>
  <c r="Z11" i="12" s="1"/>
  <c r="W11" i="12"/>
  <c r="AD11" i="12" s="1"/>
  <c r="X11" i="12"/>
  <c r="AE11" i="12" s="1"/>
  <c r="A12" i="12"/>
  <c r="B12" i="12"/>
  <c r="C12" i="12"/>
  <c r="D12" i="12"/>
  <c r="P12" i="12" s="1"/>
  <c r="G12" i="12"/>
  <c r="H12" i="12"/>
  <c r="I12" i="12"/>
  <c r="J12" i="12"/>
  <c r="K12" i="12"/>
  <c r="U12" i="12" s="1"/>
  <c r="AB12" i="12" s="1"/>
  <c r="L12" i="12"/>
  <c r="V12" i="12" s="1"/>
  <c r="AC12" i="12" s="1"/>
  <c r="M12" i="12"/>
  <c r="W12" i="12" s="1"/>
  <c r="AD12" i="12" s="1"/>
  <c r="N12" i="12"/>
  <c r="X12" i="12" s="1"/>
  <c r="AE12" i="12" s="1"/>
  <c r="O12" i="12"/>
  <c r="R12" i="12"/>
  <c r="S12" i="12"/>
  <c r="Z12" i="12" s="1"/>
  <c r="T12" i="12"/>
  <c r="AA12" i="12" s="1"/>
  <c r="Y12" i="12"/>
  <c r="AF12" i="12" s="1"/>
  <c r="A13" i="12"/>
  <c r="B13" i="12"/>
  <c r="C13" i="12"/>
  <c r="D13" i="12"/>
  <c r="P13" i="12" s="1"/>
  <c r="F13" i="12"/>
  <c r="G13" i="12"/>
  <c r="H13" i="12"/>
  <c r="I13" i="12"/>
  <c r="J13" i="12"/>
  <c r="T13" i="12" s="1"/>
  <c r="AA13" i="12" s="1"/>
  <c r="K13" i="12"/>
  <c r="U13" i="12" s="1"/>
  <c r="AB13" i="12" s="1"/>
  <c r="L13" i="12"/>
  <c r="V13" i="12" s="1"/>
  <c r="AC13" i="12" s="1"/>
  <c r="M13" i="12"/>
  <c r="W13" i="12" s="1"/>
  <c r="AD13" i="12" s="1"/>
  <c r="N13" i="12"/>
  <c r="X13" i="12" s="1"/>
  <c r="AE13" i="12" s="1"/>
  <c r="O13" i="12"/>
  <c r="Y13" i="12" s="1"/>
  <c r="AF13" i="12" s="1"/>
  <c r="R13" i="12"/>
  <c r="S13" i="12"/>
  <c r="Z13" i="12" s="1"/>
  <c r="A14" i="12"/>
  <c r="B14" i="12"/>
  <c r="C14" i="12"/>
  <c r="D14" i="12"/>
  <c r="P14" i="12" s="1"/>
  <c r="G14" i="12"/>
  <c r="H14" i="12"/>
  <c r="I14" i="12"/>
  <c r="J14" i="12"/>
  <c r="K14" i="12"/>
  <c r="L14" i="12"/>
  <c r="V14" i="12" s="1"/>
  <c r="AC14" i="12" s="1"/>
  <c r="M14" i="12"/>
  <c r="W14" i="12" s="1"/>
  <c r="AD14" i="12" s="1"/>
  <c r="N14" i="12"/>
  <c r="X14" i="12" s="1"/>
  <c r="AE14" i="12" s="1"/>
  <c r="O14" i="12"/>
  <c r="Y14" i="12" s="1"/>
  <c r="AF14" i="12" s="1"/>
  <c r="R14" i="12"/>
  <c r="S14" i="12"/>
  <c r="T14" i="12"/>
  <c r="AA14" i="12" s="1"/>
  <c r="U14" i="12"/>
  <c r="AB14" i="12" s="1"/>
  <c r="Z14" i="12"/>
  <c r="A15" i="12"/>
  <c r="B15" i="12"/>
  <c r="C15" i="12"/>
  <c r="D15" i="12"/>
  <c r="P15" i="12" s="1"/>
  <c r="F15" i="12"/>
  <c r="G15" i="12"/>
  <c r="H15" i="12"/>
  <c r="I15" i="12"/>
  <c r="J15" i="12"/>
  <c r="K15" i="12"/>
  <c r="L15" i="12"/>
  <c r="V15" i="12" s="1"/>
  <c r="AC15" i="12" s="1"/>
  <c r="M15" i="12"/>
  <c r="W15" i="12" s="1"/>
  <c r="AD15" i="12" s="1"/>
  <c r="N15" i="12"/>
  <c r="X15" i="12" s="1"/>
  <c r="AE15" i="12" s="1"/>
  <c r="O15" i="12"/>
  <c r="R15" i="12"/>
  <c r="S15" i="12"/>
  <c r="T15" i="12"/>
  <c r="AA15" i="12" s="1"/>
  <c r="U15" i="12"/>
  <c r="AB15" i="12" s="1"/>
  <c r="Y15" i="12"/>
  <c r="Z15" i="12"/>
  <c r="AF15" i="12"/>
  <c r="A16" i="12"/>
  <c r="B16" i="12"/>
  <c r="C16" i="12"/>
  <c r="D16" i="12"/>
  <c r="P16" i="12" s="1"/>
  <c r="G16" i="12"/>
  <c r="H16" i="12"/>
  <c r="I16" i="12"/>
  <c r="J16" i="12"/>
  <c r="K16" i="12"/>
  <c r="L16" i="12"/>
  <c r="M16" i="12"/>
  <c r="W16" i="12" s="1"/>
  <c r="AD16" i="12" s="1"/>
  <c r="N16" i="12"/>
  <c r="X16" i="12" s="1"/>
  <c r="AE16" i="12" s="1"/>
  <c r="O16" i="12"/>
  <c r="Y16" i="12" s="1"/>
  <c r="AF16" i="12" s="1"/>
  <c r="R16" i="12"/>
  <c r="S16" i="12"/>
  <c r="Z16" i="12" s="1"/>
  <c r="T16" i="12"/>
  <c r="U16" i="12"/>
  <c r="AB16" i="12" s="1"/>
  <c r="V16" i="12"/>
  <c r="AC16" i="12" s="1"/>
  <c r="AA16" i="12"/>
  <c r="A17" i="12"/>
  <c r="B17" i="12"/>
  <c r="C17" i="12"/>
  <c r="D17" i="12"/>
  <c r="P17" i="12" s="1"/>
  <c r="F17" i="12"/>
  <c r="G17" i="12"/>
  <c r="H17" i="12"/>
  <c r="R17" i="12" s="1"/>
  <c r="I17" i="12"/>
  <c r="J17" i="12"/>
  <c r="T17" i="12" s="1"/>
  <c r="AA17" i="12" s="1"/>
  <c r="K17" i="12"/>
  <c r="U17" i="12" s="1"/>
  <c r="AB17" i="12" s="1"/>
  <c r="L17" i="12"/>
  <c r="M17" i="12"/>
  <c r="W17" i="12" s="1"/>
  <c r="AD17" i="12" s="1"/>
  <c r="N17" i="12"/>
  <c r="X17" i="12" s="1"/>
  <c r="AE17" i="12" s="1"/>
  <c r="O17" i="12"/>
  <c r="Y17" i="12" s="1"/>
  <c r="AF17" i="12" s="1"/>
  <c r="S17" i="12"/>
  <c r="Z17" i="12" s="1"/>
  <c r="V17" i="12"/>
  <c r="AC17" i="12" s="1"/>
  <c r="A18" i="12"/>
  <c r="B18" i="12"/>
  <c r="C18" i="12"/>
  <c r="D18" i="12"/>
  <c r="P18" i="12" s="1"/>
  <c r="G18" i="12"/>
  <c r="H18" i="12"/>
  <c r="R18" i="12" s="1"/>
  <c r="I18" i="12"/>
  <c r="J18" i="12"/>
  <c r="T18" i="12" s="1"/>
  <c r="AA18" i="12" s="1"/>
  <c r="K18" i="12"/>
  <c r="U18" i="12" s="1"/>
  <c r="AB18" i="12" s="1"/>
  <c r="L18" i="12"/>
  <c r="M18" i="12"/>
  <c r="N18" i="12"/>
  <c r="X18" i="12" s="1"/>
  <c r="AE18" i="12" s="1"/>
  <c r="O18" i="12"/>
  <c r="Y18" i="12" s="1"/>
  <c r="AF18" i="12" s="1"/>
  <c r="S18" i="12"/>
  <c r="Z18" i="12" s="1"/>
  <c r="V18" i="12"/>
  <c r="AC18" i="12" s="1"/>
  <c r="W18" i="12"/>
  <c r="AD18" i="12" s="1"/>
  <c r="A19" i="12"/>
  <c r="B19" i="12"/>
  <c r="C19" i="12"/>
  <c r="D19" i="12"/>
  <c r="P19" i="12" s="1"/>
  <c r="F19" i="12"/>
  <c r="G19" i="12"/>
  <c r="H19" i="12"/>
  <c r="R19" i="12" s="1"/>
  <c r="I19" i="12"/>
  <c r="J19" i="12"/>
  <c r="T19" i="12" s="1"/>
  <c r="AA19" i="12" s="1"/>
  <c r="K19" i="12"/>
  <c r="U19" i="12" s="1"/>
  <c r="AB19" i="12" s="1"/>
  <c r="L19" i="12"/>
  <c r="M19" i="12"/>
  <c r="N19" i="12"/>
  <c r="X19" i="12" s="1"/>
  <c r="AE19" i="12" s="1"/>
  <c r="O19" i="12"/>
  <c r="Y19" i="12" s="1"/>
  <c r="AF19" i="12" s="1"/>
  <c r="S19" i="12"/>
  <c r="Z19" i="12" s="1"/>
  <c r="V19" i="12"/>
  <c r="AC19" i="12" s="1"/>
  <c r="W19" i="12"/>
  <c r="AD19" i="12" s="1"/>
  <c r="A20" i="12"/>
  <c r="B20" i="12"/>
  <c r="C20" i="12"/>
  <c r="D20" i="12"/>
  <c r="G20" i="12"/>
  <c r="H20" i="12"/>
  <c r="R20" i="12" s="1"/>
  <c r="I20" i="12"/>
  <c r="S20" i="12" s="1"/>
  <c r="Z20" i="12" s="1"/>
  <c r="J20" i="12"/>
  <c r="T20" i="12" s="1"/>
  <c r="AA20" i="12" s="1"/>
  <c r="K20" i="12"/>
  <c r="U20" i="12" s="1"/>
  <c r="AB20" i="12" s="1"/>
  <c r="L20" i="12"/>
  <c r="V20" i="12" s="1"/>
  <c r="AC20" i="12" s="1"/>
  <c r="M20" i="12"/>
  <c r="N20" i="12"/>
  <c r="O20" i="12"/>
  <c r="Y20" i="12" s="1"/>
  <c r="AF20" i="12" s="1"/>
  <c r="P20" i="12"/>
  <c r="W20" i="12"/>
  <c r="AD20" i="12" s="1"/>
  <c r="X20" i="12"/>
  <c r="AE20" i="12" s="1"/>
  <c r="A21" i="12"/>
  <c r="B21" i="12"/>
  <c r="C21" i="12"/>
  <c r="D21" i="12"/>
  <c r="E21" i="12"/>
  <c r="Q21" i="12" s="1"/>
  <c r="F21" i="12"/>
  <c r="G21" i="12"/>
  <c r="H21" i="12"/>
  <c r="R21" i="12" s="1"/>
  <c r="I21" i="12"/>
  <c r="S21" i="12" s="1"/>
  <c r="Z21" i="12" s="1"/>
  <c r="J21" i="12"/>
  <c r="K21" i="12"/>
  <c r="L21" i="12"/>
  <c r="V21" i="12" s="1"/>
  <c r="AC21" i="12" s="1"/>
  <c r="M21" i="12"/>
  <c r="N21" i="12"/>
  <c r="O21" i="12"/>
  <c r="Y21" i="12" s="1"/>
  <c r="AF21" i="12" s="1"/>
  <c r="P21" i="12"/>
  <c r="T21" i="12"/>
  <c r="AA21" i="12" s="1"/>
  <c r="U21" i="12"/>
  <c r="AB21" i="12" s="1"/>
  <c r="W21" i="12"/>
  <c r="AD21" i="12" s="1"/>
  <c r="X21" i="12"/>
  <c r="AE21" i="12" s="1"/>
  <c r="A22" i="12"/>
  <c r="B22" i="12"/>
  <c r="C22" i="12"/>
  <c r="D22" i="12"/>
  <c r="E22" i="12"/>
  <c r="G22" i="12"/>
  <c r="H22" i="12"/>
  <c r="R22" i="12" s="1"/>
  <c r="I22" i="12"/>
  <c r="S22" i="12" s="1"/>
  <c r="Z22" i="12" s="1"/>
  <c r="J22" i="12"/>
  <c r="T22" i="12" s="1"/>
  <c r="AA22" i="12" s="1"/>
  <c r="K22" i="12"/>
  <c r="L22" i="12"/>
  <c r="M22" i="12"/>
  <c r="W22" i="12" s="1"/>
  <c r="AD22" i="12" s="1"/>
  <c r="N22" i="12"/>
  <c r="O22" i="12"/>
  <c r="P22" i="12"/>
  <c r="Q22" i="12"/>
  <c r="U22" i="12"/>
  <c r="AB22" i="12" s="1"/>
  <c r="V22" i="12"/>
  <c r="AC22" i="12" s="1"/>
  <c r="X22" i="12"/>
  <c r="AE22" i="12" s="1"/>
  <c r="Y22" i="12"/>
  <c r="AF22" i="12" s="1"/>
  <c r="A23" i="12"/>
  <c r="B23" i="12"/>
  <c r="C23" i="12"/>
  <c r="D23" i="12"/>
  <c r="E23" i="12"/>
  <c r="F23" i="12"/>
  <c r="G23" i="12"/>
  <c r="H23" i="12"/>
  <c r="R23" i="12" s="1"/>
  <c r="I23" i="12"/>
  <c r="S23" i="12" s="1"/>
  <c r="Z23" i="12" s="1"/>
  <c r="J23" i="12"/>
  <c r="T23" i="12" s="1"/>
  <c r="AA23" i="12" s="1"/>
  <c r="K23" i="12"/>
  <c r="L23" i="12"/>
  <c r="M23" i="12"/>
  <c r="W23" i="12" s="1"/>
  <c r="AD23" i="12" s="1"/>
  <c r="N23" i="12"/>
  <c r="O23" i="12"/>
  <c r="P23" i="12"/>
  <c r="Q23" i="12"/>
  <c r="U23" i="12"/>
  <c r="AB23" i="12" s="1"/>
  <c r="V23" i="12"/>
  <c r="AC23" i="12" s="1"/>
  <c r="X23" i="12"/>
  <c r="AE23" i="12" s="1"/>
  <c r="Y23" i="12"/>
  <c r="AF23" i="12" s="1"/>
  <c r="A24" i="12"/>
  <c r="B24" i="12"/>
  <c r="C24" i="12"/>
  <c r="D24" i="12"/>
  <c r="P24" i="12" s="1"/>
  <c r="E24" i="12"/>
  <c r="G24" i="12"/>
  <c r="H24" i="12"/>
  <c r="I24" i="12"/>
  <c r="S24" i="12" s="1"/>
  <c r="Z24" i="12" s="1"/>
  <c r="J24" i="12"/>
  <c r="T24" i="12" s="1"/>
  <c r="AA24" i="12" s="1"/>
  <c r="K24" i="12"/>
  <c r="U24" i="12" s="1"/>
  <c r="AB24" i="12" s="1"/>
  <c r="L24" i="12"/>
  <c r="M24" i="12"/>
  <c r="N24" i="12"/>
  <c r="X24" i="12" s="1"/>
  <c r="AE24" i="12" s="1"/>
  <c r="O24" i="12"/>
  <c r="Q24" i="12"/>
  <c r="R24" i="12"/>
  <c r="V24" i="12"/>
  <c r="AC24" i="12" s="1"/>
  <c r="W24" i="12"/>
  <c r="AD24" i="12" s="1"/>
  <c r="Y24" i="12"/>
  <c r="AF24" i="12" s="1"/>
  <c r="A25" i="12"/>
  <c r="B25" i="12"/>
  <c r="C25" i="12"/>
  <c r="D25" i="12"/>
  <c r="E25" i="12"/>
  <c r="F25" i="12"/>
  <c r="G25" i="12"/>
  <c r="H25" i="12"/>
  <c r="I25" i="12"/>
  <c r="S25" i="12" s="1"/>
  <c r="Z25" i="12" s="1"/>
  <c r="J25" i="12"/>
  <c r="T25" i="12" s="1"/>
  <c r="AA25" i="12" s="1"/>
  <c r="K25" i="12"/>
  <c r="U25" i="12" s="1"/>
  <c r="AB25" i="12" s="1"/>
  <c r="L25" i="12"/>
  <c r="M25" i="12"/>
  <c r="N25" i="12"/>
  <c r="X25" i="12" s="1"/>
  <c r="AE25" i="12" s="1"/>
  <c r="O25" i="12"/>
  <c r="P25" i="12"/>
  <c r="Q25" i="12"/>
  <c r="R25" i="12"/>
  <c r="V25" i="12"/>
  <c r="AC25" i="12" s="1"/>
  <c r="W25" i="12"/>
  <c r="AD25" i="12" s="1"/>
  <c r="Y25" i="12"/>
  <c r="AF25" i="12" s="1"/>
  <c r="A26" i="12"/>
  <c r="B26" i="12"/>
  <c r="C26" i="12"/>
  <c r="D26" i="12"/>
  <c r="E26" i="12"/>
  <c r="Q26" i="12" s="1"/>
  <c r="G26" i="12"/>
  <c r="H26" i="12"/>
  <c r="I26" i="12"/>
  <c r="J26" i="12"/>
  <c r="T26" i="12" s="1"/>
  <c r="AA26" i="12" s="1"/>
  <c r="K26" i="12"/>
  <c r="U26" i="12" s="1"/>
  <c r="AB26" i="12" s="1"/>
  <c r="L26" i="12"/>
  <c r="V26" i="12" s="1"/>
  <c r="AC26" i="12" s="1"/>
  <c r="M26" i="12"/>
  <c r="N26" i="12"/>
  <c r="O26" i="12"/>
  <c r="Y26" i="12" s="1"/>
  <c r="AF26" i="12" s="1"/>
  <c r="P26" i="12"/>
  <c r="R26" i="12"/>
  <c r="S26" i="12"/>
  <c r="Z26" i="12" s="1"/>
  <c r="W26" i="12"/>
  <c r="AD26" i="12" s="1"/>
  <c r="X26" i="12"/>
  <c r="AE26" i="12" s="1"/>
  <c r="A27" i="12"/>
  <c r="B27" i="12"/>
  <c r="C27" i="12"/>
  <c r="D27" i="12"/>
  <c r="E27" i="12"/>
  <c r="F27" i="12"/>
  <c r="G27" i="12"/>
  <c r="H27" i="12"/>
  <c r="I27" i="12"/>
  <c r="J27" i="12"/>
  <c r="T27" i="12" s="1"/>
  <c r="AA27" i="12" s="1"/>
  <c r="K27" i="12"/>
  <c r="U27" i="12" s="1"/>
  <c r="AB27" i="12" s="1"/>
  <c r="L27" i="12"/>
  <c r="V27" i="12" s="1"/>
  <c r="AC27" i="12" s="1"/>
  <c r="M27" i="12"/>
  <c r="N27" i="12"/>
  <c r="O27" i="12"/>
  <c r="Y27" i="12" s="1"/>
  <c r="AF27" i="12" s="1"/>
  <c r="P27" i="12"/>
  <c r="Q27" i="12"/>
  <c r="R27" i="12"/>
  <c r="S27" i="12"/>
  <c r="Z27" i="12" s="1"/>
  <c r="W27" i="12"/>
  <c r="AD27" i="12" s="1"/>
  <c r="X27" i="12"/>
  <c r="AE27" i="12" s="1"/>
  <c r="A5" i="10"/>
  <c r="B5" i="10"/>
  <c r="C5" i="10"/>
  <c r="G5" i="10" s="1"/>
  <c r="D5" i="10"/>
  <c r="E5" i="10" s="1"/>
  <c r="F5" i="10" s="1"/>
  <c r="A6" i="10"/>
  <c r="B6" i="10"/>
  <c r="C6" i="10"/>
  <c r="D6" i="10"/>
  <c r="E6" i="10" s="1"/>
  <c r="F6" i="10" s="1"/>
  <c r="G6" i="10"/>
  <c r="H6" i="10" s="1"/>
  <c r="A7" i="10"/>
  <c r="B7" i="10"/>
  <c r="C7" i="10"/>
  <c r="D7" i="10"/>
  <c r="E7" i="10" s="1"/>
  <c r="F7" i="10" s="1"/>
  <c r="G7" i="10"/>
  <c r="H7" i="10" s="1"/>
  <c r="A8" i="10"/>
  <c r="B8" i="10"/>
  <c r="C8" i="10"/>
  <c r="G8" i="10" s="1"/>
  <c r="D8" i="10"/>
  <c r="E8" i="10" s="1"/>
  <c r="F8" i="10" s="1"/>
  <c r="A9" i="10"/>
  <c r="B9" i="10"/>
  <c r="C9" i="10"/>
  <c r="G9" i="10" s="1"/>
  <c r="D9" i="10"/>
  <c r="E9" i="10"/>
  <c r="F9" i="10" s="1"/>
  <c r="A10" i="10"/>
  <c r="B10" i="10"/>
  <c r="C10" i="10"/>
  <c r="D10" i="10"/>
  <c r="E10" i="10" s="1"/>
  <c r="F10" i="10" s="1"/>
  <c r="G10" i="10"/>
  <c r="H10" i="10" s="1"/>
  <c r="A11" i="10"/>
  <c r="B11" i="10"/>
  <c r="C11" i="10"/>
  <c r="D11" i="10"/>
  <c r="E11" i="10" s="1"/>
  <c r="F11" i="10" s="1"/>
  <c r="G11" i="10"/>
  <c r="H11" i="10" s="1"/>
  <c r="A12" i="10"/>
  <c r="B12" i="10"/>
  <c r="C12" i="10"/>
  <c r="G12" i="10" s="1"/>
  <c r="D12" i="10"/>
  <c r="E12" i="10" s="1"/>
  <c r="F12" i="10" s="1"/>
  <c r="A13" i="10"/>
  <c r="B13" i="10"/>
  <c r="C13" i="10"/>
  <c r="G13" i="10" s="1"/>
  <c r="D13" i="10"/>
  <c r="E13" i="10" s="1"/>
  <c r="F13" i="10" s="1"/>
  <c r="A14" i="10"/>
  <c r="B14" i="10"/>
  <c r="C14" i="10"/>
  <c r="D14" i="10"/>
  <c r="E14" i="10" s="1"/>
  <c r="F14" i="10" s="1"/>
  <c r="G14" i="10"/>
  <c r="H14" i="10" s="1"/>
  <c r="A15" i="10"/>
  <c r="B15" i="10"/>
  <c r="C15" i="10"/>
  <c r="D15" i="10"/>
  <c r="E15" i="10" s="1"/>
  <c r="F15" i="10" s="1"/>
  <c r="G15" i="10"/>
  <c r="H15" i="10" s="1"/>
  <c r="A16" i="10"/>
  <c r="B16" i="10"/>
  <c r="C16" i="10"/>
  <c r="G16" i="10" s="1"/>
  <c r="D16" i="10"/>
  <c r="E16" i="10"/>
  <c r="F16" i="10" s="1"/>
  <c r="A17" i="10"/>
  <c r="B17" i="10"/>
  <c r="C17" i="10"/>
  <c r="G17" i="10" s="1"/>
  <c r="D17" i="10"/>
  <c r="E17" i="10"/>
  <c r="F17" i="10" s="1"/>
  <c r="A18" i="10"/>
  <c r="B18" i="10"/>
  <c r="C18" i="10"/>
  <c r="D18" i="10"/>
  <c r="E18" i="10" s="1"/>
  <c r="F18" i="10" s="1"/>
  <c r="G18" i="10"/>
  <c r="H18" i="10" s="1"/>
  <c r="A19" i="10"/>
  <c r="B19" i="10"/>
  <c r="C19" i="10"/>
  <c r="D19" i="10"/>
  <c r="E19" i="10" s="1"/>
  <c r="F19" i="10" s="1"/>
  <c r="G19" i="10"/>
  <c r="H19" i="10" s="1"/>
  <c r="A20" i="10"/>
  <c r="B20" i="10"/>
  <c r="C20" i="10"/>
  <c r="G20" i="10" s="1"/>
  <c r="D20" i="10"/>
  <c r="E20" i="10"/>
  <c r="F20" i="10" s="1"/>
  <c r="A21" i="10"/>
  <c r="B21" i="10"/>
  <c r="C21" i="10"/>
  <c r="G21" i="10" s="1"/>
  <c r="D21" i="10"/>
  <c r="E21" i="10"/>
  <c r="F21" i="10" s="1"/>
  <c r="A22" i="10"/>
  <c r="B22" i="10"/>
  <c r="C22" i="10"/>
  <c r="D22" i="10"/>
  <c r="E22" i="10" s="1"/>
  <c r="F22" i="10" s="1"/>
  <c r="G22" i="10"/>
  <c r="H22" i="10" s="1"/>
  <c r="J22" i="10" s="1"/>
  <c r="A23" i="10"/>
  <c r="B23" i="10"/>
  <c r="C23" i="10"/>
  <c r="D23" i="10"/>
  <c r="E23" i="10" s="1"/>
  <c r="F23" i="10" s="1"/>
  <c r="G23" i="10"/>
  <c r="H23" i="10" s="1"/>
  <c r="A24" i="10"/>
  <c r="B24" i="10"/>
  <c r="C24" i="10"/>
  <c r="G24" i="10" s="1"/>
  <c r="D24" i="10"/>
  <c r="E24" i="10"/>
  <c r="F24" i="10" s="1"/>
  <c r="A25" i="10"/>
  <c r="B25" i="10"/>
  <c r="C25" i="10"/>
  <c r="G25" i="10" s="1"/>
  <c r="D25" i="10"/>
  <c r="E25" i="10"/>
  <c r="F25" i="10" s="1"/>
  <c r="A26" i="10"/>
  <c r="B26" i="10"/>
  <c r="C26" i="10"/>
  <c r="D26" i="10"/>
  <c r="E26" i="10" s="1"/>
  <c r="F26" i="10" s="1"/>
  <c r="G26" i="10"/>
  <c r="H26" i="10" s="1"/>
  <c r="J26" i="10" s="1"/>
  <c r="A27" i="10"/>
  <c r="B27" i="10"/>
  <c r="C27" i="10"/>
  <c r="D27" i="10"/>
  <c r="E27" i="10" s="1"/>
  <c r="F27" i="10" s="1"/>
  <c r="G27" i="10"/>
  <c r="H27" i="10" s="1"/>
  <c r="A28" i="10"/>
  <c r="B28" i="10"/>
  <c r="C28" i="10"/>
  <c r="G28" i="10" s="1"/>
  <c r="D28" i="10"/>
  <c r="E28" i="10"/>
  <c r="F28" i="10" s="1"/>
  <c r="X6" i="9"/>
  <c r="W6" i="9"/>
  <c r="U6" i="9"/>
  <c r="M4" i="9"/>
  <c r="O4" i="9"/>
  <c r="P4" i="9"/>
  <c r="M5" i="9"/>
  <c r="O5" i="9"/>
  <c r="P5" i="9"/>
  <c r="M6" i="9"/>
  <c r="O6" i="9"/>
  <c r="P6" i="9"/>
  <c r="M7" i="9"/>
  <c r="O7" i="9"/>
  <c r="P7" i="9"/>
  <c r="M8" i="9"/>
  <c r="O8" i="9"/>
  <c r="P8" i="9"/>
  <c r="M9" i="9"/>
  <c r="O9" i="9"/>
  <c r="P9" i="9"/>
  <c r="M10" i="9"/>
  <c r="O10" i="9"/>
  <c r="P10" i="9"/>
  <c r="M11" i="9"/>
  <c r="O11" i="9"/>
  <c r="P11" i="9"/>
  <c r="M12" i="9"/>
  <c r="O12" i="9"/>
  <c r="P12" i="9"/>
  <c r="M13" i="9"/>
  <c r="O13" i="9"/>
  <c r="P13" i="9"/>
  <c r="M14" i="9"/>
  <c r="O14" i="9"/>
  <c r="P14" i="9"/>
  <c r="M15" i="9"/>
  <c r="O15" i="9"/>
  <c r="P15" i="9"/>
  <c r="M16" i="9"/>
  <c r="O16" i="9"/>
  <c r="P16" i="9"/>
  <c r="M17" i="9"/>
  <c r="O17" i="9"/>
  <c r="P17" i="9"/>
  <c r="M18" i="9"/>
  <c r="O18" i="9"/>
  <c r="P18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5" i="7"/>
  <c r="B5" i="7"/>
  <c r="D5" i="7"/>
  <c r="E5" i="7"/>
  <c r="F5" i="7"/>
  <c r="G5" i="7" s="1"/>
  <c r="J5" i="7"/>
  <c r="K5" i="7"/>
  <c r="L5" i="7"/>
  <c r="M5" i="7"/>
  <c r="N5" i="7"/>
  <c r="O5" i="7"/>
  <c r="P5" i="7"/>
  <c r="Q5" i="7"/>
  <c r="A6" i="7"/>
  <c r="B6" i="7"/>
  <c r="D6" i="7"/>
  <c r="E6" i="7"/>
  <c r="F6" i="7"/>
  <c r="H6" i="7" s="1"/>
  <c r="J6" i="7"/>
  <c r="K6" i="7"/>
  <c r="L6" i="7"/>
  <c r="M6" i="7"/>
  <c r="N6" i="7"/>
  <c r="O6" i="7"/>
  <c r="P6" i="7"/>
  <c r="Q6" i="7"/>
  <c r="A7" i="7"/>
  <c r="B7" i="7"/>
  <c r="D7" i="7"/>
  <c r="E7" i="7"/>
  <c r="F7" i="7"/>
  <c r="G7" i="7" s="1"/>
  <c r="J7" i="7"/>
  <c r="K7" i="7"/>
  <c r="L7" i="7"/>
  <c r="M7" i="7"/>
  <c r="N7" i="7"/>
  <c r="O7" i="7"/>
  <c r="P7" i="7"/>
  <c r="Q7" i="7"/>
  <c r="A8" i="7"/>
  <c r="B8" i="7"/>
  <c r="D8" i="7"/>
  <c r="E8" i="7"/>
  <c r="F8" i="7"/>
  <c r="H8" i="7" s="1"/>
  <c r="J8" i="7"/>
  <c r="K8" i="7"/>
  <c r="L8" i="7"/>
  <c r="M8" i="7"/>
  <c r="N8" i="7"/>
  <c r="O8" i="7"/>
  <c r="P8" i="7"/>
  <c r="Q8" i="7"/>
  <c r="A9" i="7"/>
  <c r="B9" i="7"/>
  <c r="D9" i="7"/>
  <c r="E9" i="7"/>
  <c r="F9" i="7"/>
  <c r="G9" i="7" s="1"/>
  <c r="J9" i="7"/>
  <c r="K9" i="7"/>
  <c r="L9" i="7"/>
  <c r="M9" i="7"/>
  <c r="N9" i="7"/>
  <c r="O9" i="7"/>
  <c r="P9" i="7"/>
  <c r="Q9" i="7"/>
  <c r="A10" i="7"/>
  <c r="B10" i="7"/>
  <c r="D10" i="7"/>
  <c r="E10" i="7"/>
  <c r="F10" i="7"/>
  <c r="G10" i="7" s="1"/>
  <c r="J10" i="7"/>
  <c r="K10" i="7"/>
  <c r="L10" i="7"/>
  <c r="M10" i="7"/>
  <c r="N10" i="7"/>
  <c r="O10" i="7"/>
  <c r="P10" i="7"/>
  <c r="Q10" i="7"/>
  <c r="A11" i="7"/>
  <c r="B11" i="7"/>
  <c r="D11" i="7"/>
  <c r="E11" i="7"/>
  <c r="F11" i="7"/>
  <c r="H11" i="7" s="1"/>
  <c r="J11" i="7"/>
  <c r="K11" i="7"/>
  <c r="L11" i="7"/>
  <c r="M11" i="7"/>
  <c r="N11" i="7"/>
  <c r="O11" i="7"/>
  <c r="P11" i="7"/>
  <c r="Q11" i="7"/>
  <c r="A12" i="7"/>
  <c r="B12" i="7"/>
  <c r="D12" i="7"/>
  <c r="E12" i="7"/>
  <c r="F12" i="7"/>
  <c r="G12" i="7" s="1"/>
  <c r="J12" i="7"/>
  <c r="K12" i="7"/>
  <c r="L12" i="7"/>
  <c r="M12" i="7"/>
  <c r="N12" i="7"/>
  <c r="O12" i="7"/>
  <c r="P12" i="7"/>
  <c r="Q12" i="7"/>
  <c r="A13" i="7"/>
  <c r="B13" i="7"/>
  <c r="D13" i="7"/>
  <c r="E13" i="7"/>
  <c r="F13" i="7"/>
  <c r="G13" i="7" s="1"/>
  <c r="J13" i="7"/>
  <c r="K13" i="7"/>
  <c r="L13" i="7"/>
  <c r="M13" i="7"/>
  <c r="N13" i="7"/>
  <c r="O13" i="7"/>
  <c r="P13" i="7"/>
  <c r="Q13" i="7"/>
  <c r="A14" i="7"/>
  <c r="B14" i="7"/>
  <c r="D14" i="7"/>
  <c r="E14" i="7"/>
  <c r="F14" i="7"/>
  <c r="H14" i="7" s="1"/>
  <c r="J14" i="7"/>
  <c r="K14" i="7"/>
  <c r="L14" i="7"/>
  <c r="M14" i="7"/>
  <c r="N14" i="7"/>
  <c r="O14" i="7"/>
  <c r="P14" i="7"/>
  <c r="Q14" i="7"/>
  <c r="A15" i="7"/>
  <c r="B15" i="7"/>
  <c r="D15" i="7"/>
  <c r="E15" i="7"/>
  <c r="F15" i="7"/>
  <c r="G15" i="7" s="1"/>
  <c r="J15" i="7"/>
  <c r="K15" i="7"/>
  <c r="L15" i="7"/>
  <c r="M15" i="7"/>
  <c r="N15" i="7"/>
  <c r="O15" i="7"/>
  <c r="P15" i="7"/>
  <c r="Q15" i="7"/>
  <c r="A16" i="7"/>
  <c r="B16" i="7"/>
  <c r="D16" i="7"/>
  <c r="E16" i="7"/>
  <c r="F16" i="7"/>
  <c r="G16" i="7" s="1"/>
  <c r="J16" i="7"/>
  <c r="K16" i="7"/>
  <c r="L16" i="7"/>
  <c r="M16" i="7"/>
  <c r="N16" i="7"/>
  <c r="O16" i="7"/>
  <c r="P16" i="7"/>
  <c r="Q16" i="7"/>
  <c r="A17" i="7"/>
  <c r="B17" i="7"/>
  <c r="D17" i="7"/>
  <c r="E17" i="7"/>
  <c r="F17" i="7"/>
  <c r="G17" i="7" s="1"/>
  <c r="J17" i="7"/>
  <c r="K17" i="7"/>
  <c r="L17" i="7"/>
  <c r="M17" i="7"/>
  <c r="N17" i="7"/>
  <c r="O17" i="7"/>
  <c r="P17" i="7"/>
  <c r="Q17" i="7"/>
  <c r="A18" i="7"/>
  <c r="B18" i="7"/>
  <c r="D18" i="7"/>
  <c r="E18" i="7"/>
  <c r="F18" i="7"/>
  <c r="G18" i="7" s="1"/>
  <c r="J18" i="7"/>
  <c r="K18" i="7"/>
  <c r="L18" i="7"/>
  <c r="M18" i="7"/>
  <c r="N18" i="7"/>
  <c r="O18" i="7"/>
  <c r="P18" i="7"/>
  <c r="Q18" i="7"/>
  <c r="A19" i="7"/>
  <c r="B19" i="7"/>
  <c r="D19" i="7"/>
  <c r="E19" i="7"/>
  <c r="F19" i="7"/>
  <c r="H19" i="7" s="1"/>
  <c r="J19" i="7"/>
  <c r="K19" i="7"/>
  <c r="L19" i="7"/>
  <c r="M19" i="7"/>
  <c r="N19" i="7"/>
  <c r="O19" i="7"/>
  <c r="P19" i="7"/>
  <c r="Q19" i="7"/>
  <c r="M4" i="20"/>
  <c r="L4" i="20"/>
  <c r="M6" i="20"/>
  <c r="L6" i="20"/>
  <c r="M12" i="20"/>
  <c r="L12" i="20"/>
  <c r="M5" i="20"/>
  <c r="L5" i="20"/>
  <c r="M9" i="20"/>
  <c r="L9" i="20"/>
  <c r="M8" i="20"/>
  <c r="L8" i="20"/>
  <c r="M10" i="20"/>
  <c r="L10" i="20"/>
  <c r="M14" i="20"/>
  <c r="L14" i="20"/>
  <c r="M13" i="20"/>
  <c r="L13" i="20"/>
  <c r="M11" i="20"/>
  <c r="L11" i="20"/>
  <c r="M7" i="20"/>
  <c r="L7" i="20"/>
  <c r="M4" i="19"/>
  <c r="M5" i="19"/>
  <c r="M6" i="19"/>
  <c r="M7" i="19"/>
  <c r="M8" i="19"/>
  <c r="M9" i="19"/>
  <c r="M10" i="19"/>
  <c r="M11" i="19"/>
  <c r="M12" i="19"/>
  <c r="M13" i="19"/>
  <c r="M14" i="19"/>
  <c r="L5" i="19"/>
  <c r="L9" i="19"/>
  <c r="L8" i="19"/>
  <c r="L4" i="19"/>
  <c r="L7" i="19"/>
  <c r="L6" i="19"/>
  <c r="L10" i="19"/>
  <c r="L11" i="19"/>
  <c r="L13" i="19"/>
  <c r="L12" i="19"/>
  <c r="L14" i="19"/>
  <c r="L5" i="18"/>
  <c r="L8" i="18"/>
  <c r="L11" i="18"/>
  <c r="L4" i="18"/>
  <c r="L7" i="18"/>
  <c r="L13" i="18"/>
  <c r="L12" i="18"/>
  <c r="L9" i="18"/>
  <c r="L6" i="18"/>
  <c r="L10" i="18"/>
  <c r="L14" i="18"/>
  <c r="H5" i="7" l="1"/>
  <c r="J10" i="10"/>
  <c r="J18" i="10"/>
  <c r="H13" i="7"/>
  <c r="H10" i="7"/>
  <c r="G6" i="7"/>
  <c r="C14" i="25"/>
  <c r="AE14" i="25"/>
  <c r="AE10" i="25" s="1"/>
  <c r="H16" i="7"/>
  <c r="G14" i="7"/>
  <c r="G11" i="7"/>
  <c r="H12" i="7"/>
  <c r="H18" i="7"/>
  <c r="G19" i="7"/>
  <c r="G8" i="7"/>
  <c r="I25" i="10"/>
  <c r="H25" i="10"/>
  <c r="J25" i="10" s="1"/>
  <c r="J23" i="10"/>
  <c r="I17" i="10"/>
  <c r="H17" i="10"/>
  <c r="J17" i="10" s="1"/>
  <c r="J15" i="10"/>
  <c r="H28" i="10"/>
  <c r="J28" i="10" s="1"/>
  <c r="I28" i="10"/>
  <c r="H20" i="10"/>
  <c r="J20" i="10" s="1"/>
  <c r="I20" i="10"/>
  <c r="H12" i="10"/>
  <c r="J12" i="10" s="1"/>
  <c r="I12" i="10"/>
  <c r="I9" i="10"/>
  <c r="H9" i="10"/>
  <c r="J9" i="10" s="1"/>
  <c r="J7" i="10"/>
  <c r="J27" i="10"/>
  <c r="I21" i="10"/>
  <c r="H21" i="10"/>
  <c r="J21" i="10" s="1"/>
  <c r="J19" i="10"/>
  <c r="I13" i="10"/>
  <c r="H13" i="10"/>
  <c r="J13" i="10" s="1"/>
  <c r="J11" i="10"/>
  <c r="I5" i="10"/>
  <c r="H5" i="10"/>
  <c r="J5" i="10" s="1"/>
  <c r="H24" i="10"/>
  <c r="J24" i="10" s="1"/>
  <c r="I24" i="10"/>
  <c r="H16" i="10"/>
  <c r="J16" i="10" s="1"/>
  <c r="I16" i="10"/>
  <c r="J14" i="10"/>
  <c r="H8" i="10"/>
  <c r="J8" i="10" s="1"/>
  <c r="I8" i="10"/>
  <c r="J6" i="10"/>
  <c r="I27" i="10"/>
  <c r="I23" i="10"/>
  <c r="I19" i="10"/>
  <c r="I15" i="10"/>
  <c r="I11" i="10"/>
  <c r="I7" i="10"/>
  <c r="I26" i="10"/>
  <c r="I22" i="10"/>
  <c r="I18" i="10"/>
  <c r="I14" i="10"/>
  <c r="I10" i="10"/>
  <c r="I6" i="10"/>
  <c r="H17" i="7"/>
  <c r="H9" i="7"/>
  <c r="H15" i="7"/>
  <c r="H7" i="7"/>
  <c r="V17" i="22" l="1"/>
  <c r="V18" i="22"/>
  <c r="V19" i="22"/>
  <c r="V20" i="22"/>
  <c r="V21" i="22"/>
  <c r="V22" i="22"/>
  <c r="V23" i="22"/>
  <c r="V24" i="22"/>
  <c r="V25" i="22"/>
  <c r="V26" i="22"/>
  <c r="V27" i="22"/>
  <c r="V28" i="22"/>
  <c r="V29" i="22"/>
  <c r="V30" i="22"/>
  <c r="V31" i="22"/>
  <c r="V32" i="22"/>
  <c r="V33" i="22"/>
  <c r="W33" i="22"/>
  <c r="V34" i="22"/>
  <c r="W34" i="22"/>
  <c r="V35" i="22"/>
  <c r="W35" i="22"/>
  <c r="V36" i="22"/>
  <c r="W36" i="22"/>
  <c r="U9" i="9"/>
  <c r="U10" i="9"/>
  <c r="U8" i="9"/>
  <c r="U11" i="9"/>
  <c r="U7" i="9"/>
  <c r="U2" i="9"/>
  <c r="U3" i="9"/>
  <c r="U4" i="9"/>
  <c r="U5" i="9"/>
  <c r="A27" i="9"/>
  <c r="A28" i="9"/>
  <c r="A31" i="9"/>
  <c r="A29" i="9"/>
  <c r="A30" i="9"/>
  <c r="R14" i="7"/>
  <c r="L17" i="25"/>
  <c r="L8" i="25"/>
  <c r="L9" i="25"/>
  <c r="L12" i="25"/>
  <c r="AE5" i="25"/>
  <c r="AE28" i="25" l="1"/>
  <c r="AE21" i="25"/>
  <c r="C17" i="25"/>
  <c r="V11" i="7"/>
  <c r="W11" i="7" s="1"/>
  <c r="R10" i="7"/>
  <c r="R8" i="7"/>
  <c r="R16" i="7"/>
  <c r="U11" i="7"/>
  <c r="R15" i="7"/>
  <c r="T11" i="7"/>
  <c r="R9" i="7"/>
  <c r="R11" i="7"/>
  <c r="R5" i="7"/>
  <c r="AE4" i="25" l="1"/>
  <c r="AE3" i="25" s="1"/>
  <c r="M31" i="25"/>
  <c r="K31" i="25"/>
  <c r="L50" i="25"/>
  <c r="P50" i="25" s="1"/>
  <c r="L49" i="25"/>
  <c r="P49" i="25" s="1"/>
  <c r="P48" i="25"/>
  <c r="P47" i="25"/>
  <c r="P45" i="25"/>
  <c r="L44" i="25"/>
  <c r="P44" i="25" s="1"/>
  <c r="P43" i="25"/>
  <c r="P42" i="25"/>
  <c r="P41" i="25"/>
  <c r="P40" i="25"/>
  <c r="P39" i="25"/>
  <c r="P38" i="25"/>
  <c r="L38" i="25"/>
  <c r="L37" i="25"/>
  <c r="P37" i="25" s="1"/>
  <c r="P36" i="25"/>
  <c r="P35" i="25"/>
  <c r="L34" i="25"/>
  <c r="P34" i="25" s="1"/>
  <c r="L33" i="25"/>
  <c r="P33" i="25" s="1"/>
  <c r="S15" i="25"/>
  <c r="T15" i="25" s="1"/>
  <c r="U15" i="25" s="1"/>
  <c r="V15" i="25" s="1"/>
  <c r="W15" i="25" s="1"/>
  <c r="X15" i="25" s="1"/>
  <c r="Y15" i="25" s="1"/>
  <c r="Z15" i="25" s="1"/>
  <c r="AA15" i="25" s="1"/>
  <c r="AB15" i="25" s="1"/>
  <c r="Z6" i="25"/>
  <c r="X6" i="25"/>
  <c r="V6" i="25"/>
  <c r="T6" i="25"/>
  <c r="M28" i="25"/>
  <c r="N28" i="25" s="1"/>
  <c r="O28" i="25" s="1"/>
  <c r="P28" i="25" s="1"/>
  <c r="Q28" i="25" s="1"/>
  <c r="R28" i="25" s="1"/>
  <c r="S28" i="25" s="1"/>
  <c r="T28" i="25" s="1"/>
  <c r="U28" i="25" s="1"/>
  <c r="V28" i="25" s="1"/>
  <c r="W28" i="25" s="1"/>
  <c r="X28" i="25" s="1"/>
  <c r="Y28" i="25" s="1"/>
  <c r="Z28" i="25" s="1"/>
  <c r="AA28" i="25" s="1"/>
  <c r="AB28" i="25" s="1"/>
  <c r="M25" i="25"/>
  <c r="AA24" i="25"/>
  <c r="AB24" i="25" s="1"/>
  <c r="N24" i="25"/>
  <c r="K24" i="25"/>
  <c r="AA23" i="25"/>
  <c r="AB23" i="25" s="1"/>
  <c r="N23" i="25"/>
  <c r="O23" i="25" s="1"/>
  <c r="AA21" i="25"/>
  <c r="AB21" i="25" s="1"/>
  <c r="N21" i="25"/>
  <c r="O21" i="25" s="1"/>
  <c r="P21" i="25" s="1"/>
  <c r="Q21" i="25" s="1"/>
  <c r="R21" i="25" s="1"/>
  <c r="S21" i="25" s="1"/>
  <c r="T21" i="25" s="1"/>
  <c r="U21" i="25" s="1"/>
  <c r="V21" i="25" s="1"/>
  <c r="W21" i="25" s="1"/>
  <c r="X21" i="25" s="1"/>
  <c r="Y21" i="25" s="1"/>
  <c r="X20" i="25"/>
  <c r="Y20" i="25" s="1"/>
  <c r="O20" i="25"/>
  <c r="O19" i="25"/>
  <c r="N19" i="25"/>
  <c r="K19" i="25"/>
  <c r="N18" i="25"/>
  <c r="K18" i="25"/>
  <c r="N16" i="25"/>
  <c r="K16" i="25"/>
  <c r="M14" i="25"/>
  <c r="Q13" i="25"/>
  <c r="AE8" i="25"/>
  <c r="V7" i="25"/>
  <c r="M5" i="25"/>
  <c r="M4" i="25"/>
  <c r="M26" i="25" s="1"/>
  <c r="N4" i="25" s="1"/>
  <c r="AI3" i="25"/>
  <c r="N3" i="25"/>
  <c r="O3" i="25" s="1"/>
  <c r="P3" i="25" s="1"/>
  <c r="Q3" i="25" s="1"/>
  <c r="R3" i="25" s="1"/>
  <c r="S3" i="25" s="1"/>
  <c r="T3" i="25" s="1"/>
  <c r="U3" i="25" s="1"/>
  <c r="V3" i="25" s="1"/>
  <c r="W3" i="25" s="1"/>
  <c r="X3" i="25" s="1"/>
  <c r="Y3" i="25" s="1"/>
  <c r="Z3" i="25" s="1"/>
  <c r="AA3" i="25" s="1"/>
  <c r="AB3" i="25" s="1"/>
  <c r="AB11" i="25" s="1"/>
  <c r="L11" i="25" s="1"/>
  <c r="C16" i="25" s="1"/>
  <c r="N1" i="25"/>
  <c r="O1" i="25" s="1"/>
  <c r="P1" i="25" s="1"/>
  <c r="Q1" i="25" s="1"/>
  <c r="R1" i="25" s="1"/>
  <c r="S1" i="25" s="1"/>
  <c r="T1" i="25" s="1"/>
  <c r="U1" i="25" s="1"/>
  <c r="V1" i="25" s="1"/>
  <c r="W1" i="25" s="1"/>
  <c r="X1" i="25" s="1"/>
  <c r="Y1" i="25" s="1"/>
  <c r="Z1" i="25" s="1"/>
  <c r="AA1" i="25" s="1"/>
  <c r="AB1" i="25" s="1"/>
  <c r="AE11" i="25" l="1"/>
  <c r="C11" i="25"/>
  <c r="AE20" i="25"/>
  <c r="P31" i="25"/>
  <c r="N14" i="25"/>
  <c r="O14" i="25"/>
  <c r="L6" i="25"/>
  <c r="C18" i="25" s="1"/>
  <c r="N31" i="25"/>
  <c r="C12" i="25" s="1"/>
  <c r="C10" i="25" s="1"/>
  <c r="W7" i="25"/>
  <c r="X7" i="25" s="1"/>
  <c r="Y7" i="25" s="1"/>
  <c r="P20" i="25"/>
  <c r="Q20" i="25" s="1"/>
  <c r="L21" i="25"/>
  <c r="N26" i="25"/>
  <c r="O4" i="25" s="1"/>
  <c r="O18" i="25"/>
  <c r="P18" i="25" s="1"/>
  <c r="Q18" i="25" s="1"/>
  <c r="R18" i="25" s="1"/>
  <c r="S18" i="25" s="1"/>
  <c r="T18" i="25" s="1"/>
  <c r="U18" i="25" s="1"/>
  <c r="V18" i="25" s="1"/>
  <c r="W18" i="25" s="1"/>
  <c r="X18" i="25" s="1"/>
  <c r="Y18" i="25" s="1"/>
  <c r="Z18" i="25" s="1"/>
  <c r="AA18" i="25" s="1"/>
  <c r="AB18" i="25" s="1"/>
  <c r="T22" i="25"/>
  <c r="U22" i="25" s="1"/>
  <c r="V22" i="25" s="1"/>
  <c r="W22" i="25" s="1"/>
  <c r="X22" i="25" s="1"/>
  <c r="Y22" i="25" s="1"/>
  <c r="Z22" i="25" s="1"/>
  <c r="AA22" i="25" s="1"/>
  <c r="AB22" i="25" s="1"/>
  <c r="L31" i="25"/>
  <c r="R13" i="25"/>
  <c r="S13" i="25" s="1"/>
  <c r="T13" i="25" s="1"/>
  <c r="U13" i="25" s="1"/>
  <c r="V13" i="25" s="1"/>
  <c r="W13" i="25" s="1"/>
  <c r="X13" i="25" s="1"/>
  <c r="Y13" i="25" s="1"/>
  <c r="Z13" i="25" s="1"/>
  <c r="AA13" i="25" s="1"/>
  <c r="AB13" i="25" s="1"/>
  <c r="N25" i="25"/>
  <c r="M27" i="25"/>
  <c r="N5" i="25" s="1"/>
  <c r="O16" i="25"/>
  <c r="P19" i="25"/>
  <c r="Q19" i="25" s="1"/>
  <c r="R19" i="25" s="1"/>
  <c r="S19" i="25" s="1"/>
  <c r="T19" i="25" s="1"/>
  <c r="U19" i="25" s="1"/>
  <c r="V19" i="25" s="1"/>
  <c r="W19" i="25" s="1"/>
  <c r="X19" i="25" s="1"/>
  <c r="Y19" i="25" s="1"/>
  <c r="Z19" i="25" s="1"/>
  <c r="AA19" i="25" s="1"/>
  <c r="AB19" i="25" s="1"/>
  <c r="P23" i="25"/>
  <c r="Q23" i="25" s="1"/>
  <c r="R23" i="25" s="1"/>
  <c r="S23" i="25" s="1"/>
  <c r="T23" i="25" s="1"/>
  <c r="U23" i="25" s="1"/>
  <c r="V23" i="25" s="1"/>
  <c r="W23" i="25" s="1"/>
  <c r="X23" i="25" s="1"/>
  <c r="Y23" i="25" s="1"/>
  <c r="O24" i="25"/>
  <c r="P24" i="25" s="1"/>
  <c r="Q24" i="25" s="1"/>
  <c r="R24" i="25" s="1"/>
  <c r="S24" i="25" s="1"/>
  <c r="T24" i="25" s="1"/>
  <c r="U24" i="25" s="1"/>
  <c r="V24" i="25" s="1"/>
  <c r="W24" i="25" s="1"/>
  <c r="X24" i="25" s="1"/>
  <c r="Y24" i="25" s="1"/>
  <c r="AD15" i="2"/>
  <c r="AD16" i="2"/>
  <c r="AD12" i="2"/>
  <c r="AD17" i="2"/>
  <c r="AE13" i="25" l="1"/>
  <c r="C13" i="25"/>
  <c r="AE22" i="25"/>
  <c r="L22" i="25"/>
  <c r="G20" i="25" s="1"/>
  <c r="L20" i="25"/>
  <c r="L24" i="25"/>
  <c r="AI20" i="25" s="1"/>
  <c r="L19" i="25"/>
  <c r="AI18" i="25" s="1"/>
  <c r="L18" i="25"/>
  <c r="AI17" i="25" s="1"/>
  <c r="L13" i="25"/>
  <c r="L23" i="25"/>
  <c r="AE27" i="25" s="1"/>
  <c r="W3" i="9"/>
  <c r="X11" i="9"/>
  <c r="W5" i="9"/>
  <c r="X7" i="9"/>
  <c r="X3" i="9"/>
  <c r="X2" i="9"/>
  <c r="W2" i="9"/>
  <c r="T16" i="7"/>
  <c r="X8" i="9"/>
  <c r="V12" i="7"/>
  <c r="W12" i="7" s="1"/>
  <c r="W9" i="9"/>
  <c r="W4" i="9"/>
  <c r="T13" i="7"/>
  <c r="W11" i="9"/>
  <c r="W7" i="9"/>
  <c r="T7" i="7"/>
  <c r="X9" i="9"/>
  <c r="N27" i="25"/>
  <c r="O5" i="25" s="1"/>
  <c r="O26" i="25"/>
  <c r="P4" i="25" s="1"/>
  <c r="P14" i="25"/>
  <c r="O25" i="25"/>
  <c r="P16" i="25"/>
  <c r="Z7" i="25"/>
  <c r="I2" i="2"/>
  <c r="M2" i="2"/>
  <c r="Q2" i="2"/>
  <c r="V2" i="2"/>
  <c r="T2" i="2"/>
  <c r="V21" i="2"/>
  <c r="T21" i="2"/>
  <c r="P11" i="2"/>
  <c r="AE30" i="25" l="1"/>
  <c r="AI19" i="25"/>
  <c r="AE26" i="25"/>
  <c r="Q14" i="25"/>
  <c r="L26" i="25"/>
  <c r="I10" i="7"/>
  <c r="T17" i="7"/>
  <c r="T10" i="7"/>
  <c r="V17" i="7"/>
  <c r="W17" i="7" s="1"/>
  <c r="U10" i="7"/>
  <c r="V10" i="7"/>
  <c r="W10" i="7" s="1"/>
  <c r="T5" i="7"/>
  <c r="T15" i="7"/>
  <c r="V15" i="7"/>
  <c r="W15" i="7" s="1"/>
  <c r="U15" i="7"/>
  <c r="V13" i="7"/>
  <c r="W13" i="7" s="1"/>
  <c r="T14" i="7"/>
  <c r="W14" i="7"/>
  <c r="U14" i="7"/>
  <c r="V14" i="7"/>
  <c r="W7" i="7"/>
  <c r="V7" i="7"/>
  <c r="V16" i="7"/>
  <c r="W16" i="7" s="1"/>
  <c r="U16" i="7"/>
  <c r="V5" i="7"/>
  <c r="W5" i="7" s="1"/>
  <c r="U5" i="7"/>
  <c r="O27" i="25"/>
  <c r="P5" i="25" s="1"/>
  <c r="P26" i="25"/>
  <c r="Q4" i="25" s="1"/>
  <c r="Q26" i="25" s="1"/>
  <c r="R4" i="25" s="1"/>
  <c r="R14" i="25"/>
  <c r="AA7" i="25"/>
  <c r="Q16" i="25"/>
  <c r="P25" i="25"/>
  <c r="O43" i="1"/>
  <c r="O41" i="1"/>
  <c r="O36" i="1"/>
  <c r="O33" i="1"/>
  <c r="O29" i="1"/>
  <c r="O28" i="1"/>
  <c r="O26" i="1"/>
  <c r="O27" i="1"/>
  <c r="O23" i="1"/>
  <c r="O20" i="1"/>
  <c r="O19" i="1"/>
  <c r="L57" i="1"/>
  <c r="AE9" i="25" l="1"/>
  <c r="P27" i="25"/>
  <c r="Q5" i="25" s="1"/>
  <c r="R26" i="25"/>
  <c r="S4" i="25" s="1"/>
  <c r="AB7" i="25"/>
  <c r="L7" i="25" s="1"/>
  <c r="C19" i="25" s="1"/>
  <c r="AE7" i="25"/>
  <c r="T10" i="25"/>
  <c r="S14" i="25"/>
  <c r="R16" i="25"/>
  <c r="Q25" i="25"/>
  <c r="AD19" i="2"/>
  <c r="AO15" i="2"/>
  <c r="U15" i="2"/>
  <c r="W15" i="2"/>
  <c r="R15" i="2"/>
  <c r="S15" i="2"/>
  <c r="P15" i="2"/>
  <c r="N15" i="2"/>
  <c r="J15" i="2"/>
  <c r="N13" i="9" s="1"/>
  <c r="K15" i="2"/>
  <c r="L15" i="2"/>
  <c r="AE23" i="25" l="1"/>
  <c r="I14" i="7"/>
  <c r="C13" i="9"/>
  <c r="B13" i="9"/>
  <c r="R7" i="7"/>
  <c r="U7" i="7"/>
  <c r="W10" i="9"/>
  <c r="U13" i="7"/>
  <c r="R13" i="7"/>
  <c r="W8" i="9"/>
  <c r="T12" i="7"/>
  <c r="U12" i="7"/>
  <c r="R12" i="7"/>
  <c r="R17" i="7"/>
  <c r="U17" i="7"/>
  <c r="X5" i="9"/>
  <c r="U19" i="7"/>
  <c r="R19" i="7"/>
  <c r="R6" i="7"/>
  <c r="R18" i="7"/>
  <c r="Q27" i="25"/>
  <c r="R5" i="25" s="1"/>
  <c r="S26" i="25"/>
  <c r="T4" i="25" s="1"/>
  <c r="S16" i="25"/>
  <c r="R25" i="25"/>
  <c r="U10" i="25"/>
  <c r="T14" i="25"/>
  <c r="AL15" i="2"/>
  <c r="AF15" i="2"/>
  <c r="AG15" i="2"/>
  <c r="AH15" i="2"/>
  <c r="Q13" i="9" s="1"/>
  <c r="AI15" i="2"/>
  <c r="R13" i="9" s="1"/>
  <c r="AK15" i="2"/>
  <c r="AJ15" i="2"/>
  <c r="D13" i="9" l="1"/>
  <c r="E13" i="9" s="1"/>
  <c r="V19" i="7"/>
  <c r="W19" i="7" s="1"/>
  <c r="T19" i="7"/>
  <c r="W27" i="22"/>
  <c r="R27" i="25"/>
  <c r="S5" i="25" s="1"/>
  <c r="T26" i="25"/>
  <c r="U4" i="25" s="1"/>
  <c r="T16" i="25"/>
  <c r="S25" i="25"/>
  <c r="V10" i="25"/>
  <c r="U14" i="25"/>
  <c r="F13" i="9" l="1"/>
  <c r="S27" i="25"/>
  <c r="T5" i="25" s="1"/>
  <c r="U26" i="25"/>
  <c r="V4" i="25" s="1"/>
  <c r="W10" i="25"/>
  <c r="V14" i="25"/>
  <c r="U16" i="25"/>
  <c r="T25" i="25"/>
  <c r="Y3" i="24"/>
  <c r="U3" i="24"/>
  <c r="T3" i="24"/>
  <c r="V3" i="24" s="1"/>
  <c r="S3" i="24"/>
  <c r="P3" i="24"/>
  <c r="R3" i="24" s="1"/>
  <c r="Q3" i="24"/>
  <c r="H3" i="24"/>
  <c r="W3" i="24" s="1"/>
  <c r="T27" i="25" l="1"/>
  <c r="U5" i="25" s="1"/>
  <c r="V26" i="25"/>
  <c r="W4" i="25" s="1"/>
  <c r="V16" i="25"/>
  <c r="U25" i="25"/>
  <c r="X10" i="25"/>
  <c r="W14" i="25"/>
  <c r="AA3" i="24"/>
  <c r="AB3" i="24" s="1"/>
  <c r="U27" i="25" l="1"/>
  <c r="V5" i="25" s="1"/>
  <c r="W26" i="25"/>
  <c r="X4" i="25" s="1"/>
  <c r="W16" i="25"/>
  <c r="V25" i="25"/>
  <c r="Y10" i="25"/>
  <c r="X14" i="25"/>
  <c r="AD18" i="2"/>
  <c r="AD8" i="2"/>
  <c r="V27" i="25" l="1"/>
  <c r="W5" i="25" s="1"/>
  <c r="X10" i="9"/>
  <c r="X4" i="9"/>
  <c r="X26" i="25"/>
  <c r="Y4" i="25" s="1"/>
  <c r="Z10" i="25"/>
  <c r="AA10" i="25" s="1"/>
  <c r="Y14" i="25"/>
  <c r="X16" i="25"/>
  <c r="W25" i="25"/>
  <c r="W27" i="25" l="1"/>
  <c r="X5" i="25" s="1"/>
  <c r="V18" i="7"/>
  <c r="W18" i="7" s="1"/>
  <c r="T18" i="7"/>
  <c r="U18" i="7"/>
  <c r="U9" i="7"/>
  <c r="W9" i="7"/>
  <c r="V9" i="7"/>
  <c r="T9" i="7"/>
  <c r="V8" i="7"/>
  <c r="W8" i="7" s="1"/>
  <c r="U8" i="7"/>
  <c r="T8" i="7"/>
  <c r="V6" i="7"/>
  <c r="W6" i="7" s="1"/>
  <c r="U6" i="7"/>
  <c r="T6" i="7"/>
  <c r="Y26" i="25"/>
  <c r="Z4" i="25" s="1"/>
  <c r="Y16" i="25"/>
  <c r="X25" i="25"/>
  <c r="Z14" i="25"/>
  <c r="L15" i="25"/>
  <c r="G17" i="25" s="1"/>
  <c r="G15" i="25" s="1"/>
  <c r="G8" i="25" s="1"/>
  <c r="L14" i="17"/>
  <c r="Q14" i="17" s="1"/>
  <c r="L13" i="17"/>
  <c r="Q13" i="17" s="1"/>
  <c r="L12" i="17"/>
  <c r="Q12" i="17" s="1"/>
  <c r="L11" i="17"/>
  <c r="Q11" i="17" s="1"/>
  <c r="L10" i="17"/>
  <c r="Q10" i="17" s="1"/>
  <c r="L9" i="17"/>
  <c r="L8" i="17"/>
  <c r="L7" i="17"/>
  <c r="L6" i="17"/>
  <c r="L5" i="17"/>
  <c r="L4" i="17"/>
  <c r="AI16" i="25" l="1"/>
  <c r="X27" i="25"/>
  <c r="Y5" i="25" s="1"/>
  <c r="Z26" i="25"/>
  <c r="AA4" i="25" s="1"/>
  <c r="AB10" i="25"/>
  <c r="L10" i="25" s="1"/>
  <c r="C20" i="25" s="1"/>
  <c r="AA14" i="25"/>
  <c r="Z16" i="25"/>
  <c r="Y25" i="25"/>
  <c r="B21" i="21"/>
  <c r="B20" i="21"/>
  <c r="B19" i="21"/>
  <c r="B18" i="21"/>
  <c r="C16" i="21"/>
  <c r="C18" i="21" s="1"/>
  <c r="C15" i="25" l="1"/>
  <c r="AE24" i="25"/>
  <c r="Y27" i="25"/>
  <c r="Z5" i="25" s="1"/>
  <c r="AA26" i="25"/>
  <c r="AB4" i="25" s="1"/>
  <c r="AB26" i="25" s="1"/>
  <c r="AA16" i="25"/>
  <c r="Z25" i="25"/>
  <c r="AB14" i="25"/>
  <c r="L14" i="25" s="1"/>
  <c r="D16" i="21"/>
  <c r="C21" i="21"/>
  <c r="C19" i="21"/>
  <c r="C20" i="21"/>
  <c r="G7" i="25" l="1"/>
  <c r="AE19" i="25"/>
  <c r="AE2" i="25" s="1"/>
  <c r="Z27" i="25"/>
  <c r="AA5" i="25" s="1"/>
  <c r="AB16" i="25"/>
  <c r="L16" i="25" s="1"/>
  <c r="AA25" i="25"/>
  <c r="E16" i="21"/>
  <c r="D21" i="21"/>
  <c r="D18" i="21"/>
  <c r="D20" i="21"/>
  <c r="D19" i="21"/>
  <c r="AF14" i="25" l="1"/>
  <c r="AA27" i="25"/>
  <c r="AB5" i="25" s="1"/>
  <c r="AI15" i="25"/>
  <c r="AB25" i="25"/>
  <c r="L25" i="25" s="1"/>
  <c r="F16" i="21"/>
  <c r="E20" i="21"/>
  <c r="E18" i="21"/>
  <c r="E19" i="21"/>
  <c r="E21" i="21"/>
  <c r="AI14" i="25" l="1"/>
  <c r="AI8" i="25" s="1"/>
  <c r="AI7" i="25" s="1"/>
  <c r="AB27" i="25"/>
  <c r="G16" i="21"/>
  <c r="F18" i="21"/>
  <c r="F20" i="21"/>
  <c r="F19" i="21"/>
  <c r="F21" i="21"/>
  <c r="T12" i="23"/>
  <c r="I12" i="23"/>
  <c r="T15" i="23"/>
  <c r="T13" i="23"/>
  <c r="I13" i="23"/>
  <c r="AB7" i="23"/>
  <c r="AB8" i="23" s="1"/>
  <c r="A5" i="23"/>
  <c r="A6" i="23"/>
  <c r="A7" i="23"/>
  <c r="A8" i="23"/>
  <c r="A9" i="23"/>
  <c r="A10" i="23"/>
  <c r="A11" i="23"/>
  <c r="A12" i="23"/>
  <c r="A13" i="23"/>
  <c r="A14" i="23"/>
  <c r="A15" i="23"/>
  <c r="A4" i="23"/>
  <c r="N4" i="23"/>
  <c r="Y4" i="23" s="1"/>
  <c r="M4" i="23"/>
  <c r="X4" i="23" s="1"/>
  <c r="L4" i="23"/>
  <c r="W4" i="23" s="1"/>
  <c r="K4" i="23"/>
  <c r="V4" i="23" s="1"/>
  <c r="J4" i="23"/>
  <c r="U4" i="23" s="1"/>
  <c r="I4" i="23"/>
  <c r="T4" i="23" s="1"/>
  <c r="H4" i="23"/>
  <c r="S4" i="23" s="1"/>
  <c r="G4" i="23"/>
  <c r="R4" i="23" s="1"/>
  <c r="E4" i="23"/>
  <c r="P4" i="23" s="1"/>
  <c r="D4" i="23"/>
  <c r="C4" i="23"/>
  <c r="C15" i="23"/>
  <c r="D15" i="23"/>
  <c r="E15" i="23"/>
  <c r="G15" i="23"/>
  <c r="R15" i="23" s="1"/>
  <c r="H15" i="23"/>
  <c r="S15" i="23" s="1"/>
  <c r="I15" i="23"/>
  <c r="J15" i="23"/>
  <c r="U15" i="23" s="1"/>
  <c r="K15" i="23"/>
  <c r="V15" i="23" s="1"/>
  <c r="M15" i="23"/>
  <c r="X15" i="23" s="1"/>
  <c r="N15" i="23"/>
  <c r="Y15" i="23" s="1"/>
  <c r="C14" i="23"/>
  <c r="D14" i="23"/>
  <c r="E14" i="23"/>
  <c r="P14" i="23" s="1"/>
  <c r="G14" i="23"/>
  <c r="R14" i="23" s="1"/>
  <c r="H14" i="23"/>
  <c r="S14" i="23" s="1"/>
  <c r="I14" i="23"/>
  <c r="J14" i="23"/>
  <c r="U14" i="23" s="1"/>
  <c r="K14" i="23"/>
  <c r="V14" i="23" s="1"/>
  <c r="M14" i="23"/>
  <c r="X14" i="23" s="1"/>
  <c r="N14" i="23"/>
  <c r="Y14" i="23" s="1"/>
  <c r="C6" i="23"/>
  <c r="D6" i="23"/>
  <c r="E6" i="23"/>
  <c r="G6" i="23"/>
  <c r="R6" i="23" s="1"/>
  <c r="H6" i="23"/>
  <c r="S6" i="23" s="1"/>
  <c r="I6" i="23"/>
  <c r="T6" i="23" s="1"/>
  <c r="J6" i="23"/>
  <c r="U6" i="23" s="1"/>
  <c r="K6" i="23"/>
  <c r="V6" i="23" s="1"/>
  <c r="M6" i="23"/>
  <c r="X6" i="23" s="1"/>
  <c r="N6" i="23"/>
  <c r="Y6" i="23" s="1"/>
  <c r="C7" i="23"/>
  <c r="D7" i="23"/>
  <c r="E7" i="23"/>
  <c r="G7" i="23"/>
  <c r="R7" i="23" s="1"/>
  <c r="H7" i="23"/>
  <c r="S7" i="23" s="1"/>
  <c r="I7" i="23"/>
  <c r="T7" i="23" s="1"/>
  <c r="J7" i="23"/>
  <c r="U7" i="23" s="1"/>
  <c r="K7" i="23"/>
  <c r="V7" i="23" s="1"/>
  <c r="M7" i="23"/>
  <c r="X7" i="23" s="1"/>
  <c r="N7" i="23"/>
  <c r="Y7" i="23" s="1"/>
  <c r="C8" i="23"/>
  <c r="D8" i="23"/>
  <c r="E8" i="23"/>
  <c r="P8" i="23" s="1"/>
  <c r="G8" i="23"/>
  <c r="R8" i="23" s="1"/>
  <c r="H8" i="23"/>
  <c r="S8" i="23" s="1"/>
  <c r="I8" i="23"/>
  <c r="T8" i="23" s="1"/>
  <c r="J8" i="23"/>
  <c r="U8" i="23" s="1"/>
  <c r="K8" i="23"/>
  <c r="V8" i="23" s="1"/>
  <c r="M8" i="23"/>
  <c r="X8" i="23" s="1"/>
  <c r="N8" i="23"/>
  <c r="Y8" i="23" s="1"/>
  <c r="C9" i="23"/>
  <c r="D9" i="23"/>
  <c r="E9" i="23"/>
  <c r="G9" i="23"/>
  <c r="R9" i="23" s="1"/>
  <c r="H9" i="23"/>
  <c r="S9" i="23" s="1"/>
  <c r="I9" i="23"/>
  <c r="T9" i="23" s="1"/>
  <c r="J9" i="23"/>
  <c r="U9" i="23" s="1"/>
  <c r="K9" i="23"/>
  <c r="V9" i="23" s="1"/>
  <c r="M9" i="23"/>
  <c r="X9" i="23" s="1"/>
  <c r="N9" i="23"/>
  <c r="Y9" i="23" s="1"/>
  <c r="C10" i="23"/>
  <c r="D10" i="23"/>
  <c r="E10" i="23"/>
  <c r="P10" i="23" s="1"/>
  <c r="G10" i="23"/>
  <c r="R10" i="23" s="1"/>
  <c r="H10" i="23"/>
  <c r="S10" i="23" s="1"/>
  <c r="I10" i="23"/>
  <c r="T10" i="23" s="1"/>
  <c r="J10" i="23"/>
  <c r="U10" i="23" s="1"/>
  <c r="K10" i="23"/>
  <c r="V10" i="23" s="1"/>
  <c r="M10" i="23"/>
  <c r="X10" i="23" s="1"/>
  <c r="N10" i="23"/>
  <c r="Y10" i="23" s="1"/>
  <c r="C11" i="23"/>
  <c r="D11" i="23"/>
  <c r="E11" i="23"/>
  <c r="G11" i="23"/>
  <c r="R11" i="23" s="1"/>
  <c r="H11" i="23"/>
  <c r="S11" i="23" s="1"/>
  <c r="I11" i="23"/>
  <c r="T11" i="23" s="1"/>
  <c r="J11" i="23"/>
  <c r="U11" i="23" s="1"/>
  <c r="K11" i="23"/>
  <c r="V11" i="23" s="1"/>
  <c r="M11" i="23"/>
  <c r="X11" i="23" s="1"/>
  <c r="N11" i="23"/>
  <c r="Y11" i="23" s="1"/>
  <c r="C12" i="23"/>
  <c r="D12" i="23"/>
  <c r="E12" i="23"/>
  <c r="G12" i="23"/>
  <c r="R12" i="23" s="1"/>
  <c r="H12" i="23"/>
  <c r="S12" i="23" s="1"/>
  <c r="J12" i="23"/>
  <c r="U12" i="23" s="1"/>
  <c r="K12" i="23"/>
  <c r="V12" i="23" s="1"/>
  <c r="M12" i="23"/>
  <c r="X12" i="23" s="1"/>
  <c r="N12" i="23"/>
  <c r="Y12" i="23" s="1"/>
  <c r="C13" i="23"/>
  <c r="D13" i="23"/>
  <c r="E13" i="23"/>
  <c r="G13" i="23"/>
  <c r="R13" i="23" s="1"/>
  <c r="H13" i="23"/>
  <c r="S13" i="23" s="1"/>
  <c r="J13" i="23"/>
  <c r="U13" i="23" s="1"/>
  <c r="K13" i="23"/>
  <c r="V13" i="23" s="1"/>
  <c r="M13" i="23"/>
  <c r="X13" i="23" s="1"/>
  <c r="N13" i="23"/>
  <c r="Y13" i="23" s="1"/>
  <c r="C5" i="23"/>
  <c r="D5" i="23"/>
  <c r="E5" i="23"/>
  <c r="P5" i="23" s="1"/>
  <c r="G5" i="23"/>
  <c r="R5" i="23" s="1"/>
  <c r="H5" i="23"/>
  <c r="S5" i="23" s="1"/>
  <c r="I5" i="23"/>
  <c r="T5" i="23" s="1"/>
  <c r="J5" i="23"/>
  <c r="U5" i="23" s="1"/>
  <c r="K5" i="23"/>
  <c r="V5" i="23" s="1"/>
  <c r="M5" i="23"/>
  <c r="X5" i="23" s="1"/>
  <c r="N5" i="23"/>
  <c r="Y5" i="23" s="1"/>
  <c r="AE17" i="25" l="1"/>
  <c r="L27" i="25"/>
  <c r="C27" i="25" s="1"/>
  <c r="C25" i="25" s="1"/>
  <c r="L5" i="23"/>
  <c r="W5" i="23" s="1"/>
  <c r="H16" i="21"/>
  <c r="G19" i="21"/>
  <c r="G21" i="21"/>
  <c r="G18" i="21"/>
  <c r="G20" i="21"/>
  <c r="L9" i="23"/>
  <c r="W9" i="23" s="1"/>
  <c r="L12" i="23"/>
  <c r="W12" i="23" s="1"/>
  <c r="L11" i="23"/>
  <c r="W11" i="23" s="1"/>
  <c r="L15" i="23"/>
  <c r="W15" i="23" s="1"/>
  <c r="L6" i="23"/>
  <c r="W6" i="23" s="1"/>
  <c r="L10" i="23"/>
  <c r="W10" i="23" s="1"/>
  <c r="L8" i="23"/>
  <c r="W8" i="23" s="1"/>
  <c r="L14" i="23"/>
  <c r="W14" i="23" s="1"/>
  <c r="L13" i="23"/>
  <c r="W13" i="23" s="1"/>
  <c r="L7" i="23"/>
  <c r="W7" i="23" s="1"/>
  <c r="N2" i="23"/>
  <c r="C2" i="25" l="1"/>
  <c r="D25" i="25" s="1"/>
  <c r="I16" i="21"/>
  <c r="H19" i="21"/>
  <c r="H21" i="21"/>
  <c r="H20" i="21"/>
  <c r="H18" i="21"/>
  <c r="F10" i="21"/>
  <c r="F11" i="21"/>
  <c r="F12" i="21"/>
  <c r="F9" i="21"/>
  <c r="D6" i="25" l="1"/>
  <c r="D22" i="25"/>
  <c r="D2" i="25"/>
  <c r="D7" i="25"/>
  <c r="D24" i="25"/>
  <c r="D12" i="25"/>
  <c r="D5" i="25"/>
  <c r="D10" i="25"/>
  <c r="D18" i="25"/>
  <c r="D9" i="25"/>
  <c r="D16" i="25"/>
  <c r="D26" i="25"/>
  <c r="D19" i="25"/>
  <c r="D21" i="25"/>
  <c r="D3" i="25"/>
  <c r="D14" i="25"/>
  <c r="D4" i="25"/>
  <c r="D17" i="25"/>
  <c r="D20" i="25"/>
  <c r="D15" i="25"/>
  <c r="AF12" i="25"/>
  <c r="AF10" i="25"/>
  <c r="AF29" i="25"/>
  <c r="AF24" i="25"/>
  <c r="AF20" i="25"/>
  <c r="AF26" i="25"/>
  <c r="AF27" i="25"/>
  <c r="AF21" i="25"/>
  <c r="AF16" i="25"/>
  <c r="AF22" i="25"/>
  <c r="AF30" i="25"/>
  <c r="AF19" i="25"/>
  <c r="AF23" i="25"/>
  <c r="AF15" i="25"/>
  <c r="AF7" i="25"/>
  <c r="AF4" i="25"/>
  <c r="AF6" i="25"/>
  <c r="AF9" i="25"/>
  <c r="AF2" i="25"/>
  <c r="AF3" i="25"/>
  <c r="AF5" i="25"/>
  <c r="AI2" i="25"/>
  <c r="J16" i="21"/>
  <c r="I19" i="21"/>
  <c r="I21" i="21"/>
  <c r="I18" i="21"/>
  <c r="I20" i="21"/>
  <c r="X16" i="16"/>
  <c r="E16" i="16"/>
  <c r="F16" i="16"/>
  <c r="G16" i="16"/>
  <c r="H16" i="16"/>
  <c r="I16" i="16"/>
  <c r="J16" i="16"/>
  <c r="K16" i="16"/>
  <c r="A16" i="16"/>
  <c r="B16" i="16"/>
  <c r="C16" i="16"/>
  <c r="AL2" i="25" l="1"/>
  <c r="AJ10" i="25"/>
  <c r="AJ9" i="25"/>
  <c r="AJ5" i="25"/>
  <c r="AJ2" i="25"/>
  <c r="AJ4" i="25"/>
  <c r="AJ3" i="25"/>
  <c r="AJ19" i="25"/>
  <c r="AJ8" i="25"/>
  <c r="AJ20" i="25"/>
  <c r="AJ18" i="25"/>
  <c r="AJ17" i="25"/>
  <c r="AJ16" i="25"/>
  <c r="AJ15" i="25"/>
  <c r="AJ14" i="25"/>
  <c r="AJ7" i="25"/>
  <c r="K16" i="21"/>
  <c r="J18" i="21"/>
  <c r="J19" i="21"/>
  <c r="J21" i="21"/>
  <c r="J20" i="21"/>
  <c r="V16" i="22"/>
  <c r="V15" i="22"/>
  <c r="AB2" i="22"/>
  <c r="W3" i="22" s="1"/>
  <c r="U17" i="22" l="1"/>
  <c r="U30" i="22"/>
  <c r="U31" i="22"/>
  <c r="U32" i="22"/>
  <c r="L16" i="21"/>
  <c r="K18" i="21"/>
  <c r="K20" i="21"/>
  <c r="K19" i="21"/>
  <c r="K21" i="21"/>
  <c r="V3" i="22"/>
  <c r="Z3" i="22"/>
  <c r="Y3" i="22"/>
  <c r="X3" i="22"/>
  <c r="U14" i="2"/>
  <c r="AO14" i="2"/>
  <c r="W14" i="2"/>
  <c r="R14" i="2"/>
  <c r="S14" i="2"/>
  <c r="P14" i="2"/>
  <c r="N14" i="2"/>
  <c r="J14" i="2"/>
  <c r="K14" i="2"/>
  <c r="L14" i="2"/>
  <c r="V7" i="9" l="1"/>
  <c r="N12" i="9"/>
  <c r="I13" i="7"/>
  <c r="B12" i="9"/>
  <c r="C12" i="9"/>
  <c r="BP14" i="7"/>
  <c r="M16" i="21"/>
  <c r="L18" i="21"/>
  <c r="L20" i="21"/>
  <c r="L19" i="21"/>
  <c r="L21" i="21"/>
  <c r="AF14" i="2"/>
  <c r="AK14" i="2"/>
  <c r="AJ14" i="2"/>
  <c r="AI14" i="2"/>
  <c r="R12" i="9" s="1"/>
  <c r="AH14" i="2"/>
  <c r="Q12" i="9" s="1"/>
  <c r="AL14" i="2"/>
  <c r="AG14" i="2"/>
  <c r="D12" i="9" l="1"/>
  <c r="E12" i="9" s="1"/>
  <c r="W26" i="22"/>
  <c r="AE14" i="7"/>
  <c r="AG14" i="7" s="1"/>
  <c r="CE14" i="7"/>
  <c r="CG14" i="7" s="1"/>
  <c r="BO14" i="7"/>
  <c r="AD14" i="7"/>
  <c r="BU14" i="7"/>
  <c r="BA14" i="7"/>
  <c r="AN14" i="7"/>
  <c r="AH14" i="7"/>
  <c r="BE14" i="7"/>
  <c r="AK14" i="7"/>
  <c r="CH14" i="7"/>
  <c r="CJ14" i="7" s="1"/>
  <c r="AM14" i="7"/>
  <c r="BG14" i="7"/>
  <c r="BY14" i="7"/>
  <c r="Y14" i="7"/>
  <c r="BN14" i="7"/>
  <c r="AB14" i="7"/>
  <c r="BW14" i="7"/>
  <c r="AY14" i="7"/>
  <c r="CI14" i="7"/>
  <c r="BI14" i="7"/>
  <c r="BR14" i="7"/>
  <c r="AX14" i="7"/>
  <c r="AZ14" i="7" s="1"/>
  <c r="AV14" i="7"/>
  <c r="AA14" i="7"/>
  <c r="AC14" i="7" s="1"/>
  <c r="BJ14" i="7"/>
  <c r="AJ14" i="7"/>
  <c r="CA14" i="7"/>
  <c r="S14" i="7"/>
  <c r="CK14" i="7"/>
  <c r="BB14" i="7"/>
  <c r="BD14" i="7" s="1"/>
  <c r="CC14" i="7"/>
  <c r="BS14" i="7"/>
  <c r="AF14" i="7"/>
  <c r="AI14" i="7"/>
  <c r="X14" i="7"/>
  <c r="Z14" i="7" s="1"/>
  <c r="BL14" i="7"/>
  <c r="BV14" i="7"/>
  <c r="AL14" i="7"/>
  <c r="BM14" i="7"/>
  <c r="AU14" i="7"/>
  <c r="AW14" i="7" s="1"/>
  <c r="AO14" i="7"/>
  <c r="CB14" i="7"/>
  <c r="BC14" i="7"/>
  <c r="BZ14" i="7"/>
  <c r="BF14" i="7"/>
  <c r="CF14" i="7"/>
  <c r="BX14" i="7"/>
  <c r="AR14" i="7"/>
  <c r="BT14" i="7"/>
  <c r="CD14" i="7"/>
  <c r="BH14" i="7"/>
  <c r="AQ14" i="7"/>
  <c r="AS14" i="7" s="1"/>
  <c r="BK14" i="7"/>
  <c r="AT14" i="7"/>
  <c r="AP14" i="7"/>
  <c r="BQ14" i="7"/>
  <c r="N16" i="21"/>
  <c r="M19" i="21"/>
  <c r="M18" i="21"/>
  <c r="M20" i="21"/>
  <c r="M21" i="21"/>
  <c r="B25" i="21"/>
  <c r="C23" i="21"/>
  <c r="C27" i="21" s="1"/>
  <c r="B23" i="21"/>
  <c r="B22" i="21"/>
  <c r="G13" i="21"/>
  <c r="G12" i="21"/>
  <c r="G11" i="21"/>
  <c r="G10" i="21"/>
  <c r="G9" i="21"/>
  <c r="K7" i="21"/>
  <c r="J7" i="21"/>
  <c r="I7" i="21"/>
  <c r="G7" i="21"/>
  <c r="E7" i="21"/>
  <c r="K6" i="21"/>
  <c r="J6" i="21"/>
  <c r="I6" i="21"/>
  <c r="G6" i="21"/>
  <c r="E6" i="21"/>
  <c r="K5" i="21"/>
  <c r="J5" i="21"/>
  <c r="I5" i="21"/>
  <c r="G5" i="21"/>
  <c r="E5" i="21"/>
  <c r="K4" i="21"/>
  <c r="J4" i="21"/>
  <c r="I4" i="21"/>
  <c r="G4" i="21"/>
  <c r="E4" i="21"/>
  <c r="C3" i="21"/>
  <c r="C11" i="21" s="1"/>
  <c r="B3" i="21"/>
  <c r="K5" i="20"/>
  <c r="J5" i="20"/>
  <c r="I5" i="20"/>
  <c r="H5" i="20"/>
  <c r="G5" i="20"/>
  <c r="F5" i="20"/>
  <c r="E5" i="20"/>
  <c r="C5" i="20"/>
  <c r="B5" i="20"/>
  <c r="A5" i="20"/>
  <c r="J13" i="20"/>
  <c r="I13" i="20"/>
  <c r="H13" i="20"/>
  <c r="G13" i="20"/>
  <c r="F13" i="20"/>
  <c r="E13" i="20"/>
  <c r="C13" i="20"/>
  <c r="B13" i="20"/>
  <c r="A13" i="20"/>
  <c r="K7" i="20"/>
  <c r="J7" i="20"/>
  <c r="I7" i="20"/>
  <c r="H7" i="20"/>
  <c r="G7" i="20"/>
  <c r="F7" i="20"/>
  <c r="E7" i="20"/>
  <c r="C7" i="20"/>
  <c r="B7" i="20"/>
  <c r="A7" i="20"/>
  <c r="J6" i="20"/>
  <c r="I6" i="20"/>
  <c r="H6" i="20"/>
  <c r="G6" i="20"/>
  <c r="F6" i="20"/>
  <c r="E6" i="20"/>
  <c r="C6" i="20"/>
  <c r="B6" i="20"/>
  <c r="A6" i="20"/>
  <c r="J12" i="20"/>
  <c r="I12" i="20"/>
  <c r="H12" i="20"/>
  <c r="G12" i="20"/>
  <c r="F12" i="20"/>
  <c r="E12" i="20"/>
  <c r="C12" i="20"/>
  <c r="B12" i="20"/>
  <c r="A12" i="20"/>
  <c r="J11" i="20"/>
  <c r="I11" i="20"/>
  <c r="H11" i="20"/>
  <c r="G11" i="20"/>
  <c r="F11" i="20"/>
  <c r="E11" i="20"/>
  <c r="C11" i="20"/>
  <c r="B11" i="20"/>
  <c r="A11" i="20"/>
  <c r="J10" i="20"/>
  <c r="I10" i="20"/>
  <c r="H10" i="20"/>
  <c r="G10" i="20"/>
  <c r="F10" i="20"/>
  <c r="E10" i="20"/>
  <c r="C10" i="20"/>
  <c r="B10" i="20"/>
  <c r="A10" i="20"/>
  <c r="J14" i="20"/>
  <c r="I14" i="20"/>
  <c r="H14" i="20"/>
  <c r="G14" i="20"/>
  <c r="F14" i="20"/>
  <c r="E14" i="20"/>
  <c r="C14" i="20"/>
  <c r="B14" i="20"/>
  <c r="A14" i="20"/>
  <c r="K9" i="20"/>
  <c r="J9" i="20"/>
  <c r="I9" i="20"/>
  <c r="H9" i="20"/>
  <c r="G9" i="20"/>
  <c r="F9" i="20"/>
  <c r="E9" i="20"/>
  <c r="C9" i="20"/>
  <c r="B9" i="20"/>
  <c r="A9" i="20"/>
  <c r="J4" i="20"/>
  <c r="I4" i="20"/>
  <c r="H4" i="20"/>
  <c r="G4" i="20"/>
  <c r="F4" i="20"/>
  <c r="E4" i="20"/>
  <c r="C4" i="20"/>
  <c r="B4" i="20"/>
  <c r="A4" i="20"/>
  <c r="J8" i="20"/>
  <c r="I8" i="20"/>
  <c r="H8" i="20"/>
  <c r="G8" i="20"/>
  <c r="F8" i="20"/>
  <c r="E8" i="20"/>
  <c r="C8" i="20"/>
  <c r="B8" i="20"/>
  <c r="A8" i="20"/>
  <c r="AF4" i="20"/>
  <c r="K3" i="20"/>
  <c r="J3" i="20"/>
  <c r="I3" i="20"/>
  <c r="H3" i="20"/>
  <c r="G3" i="20"/>
  <c r="F3" i="20"/>
  <c r="E3" i="20"/>
  <c r="D3" i="20"/>
  <c r="C3" i="20"/>
  <c r="B3" i="20"/>
  <c r="W8" i="19"/>
  <c r="U8" i="19"/>
  <c r="T8" i="19"/>
  <c r="V8" i="19"/>
  <c r="K8" i="19"/>
  <c r="J8" i="19"/>
  <c r="I8" i="19"/>
  <c r="H8" i="19"/>
  <c r="G8" i="19"/>
  <c r="F8" i="19"/>
  <c r="E8" i="19"/>
  <c r="C8" i="19"/>
  <c r="B8" i="19"/>
  <c r="A8" i="19"/>
  <c r="W10" i="19"/>
  <c r="J10" i="19"/>
  <c r="I10" i="19"/>
  <c r="H10" i="19"/>
  <c r="G10" i="19"/>
  <c r="F10" i="19"/>
  <c r="E10" i="19"/>
  <c r="C10" i="19"/>
  <c r="B10" i="19"/>
  <c r="A10" i="19"/>
  <c r="W13" i="19"/>
  <c r="K13" i="19"/>
  <c r="J13" i="19"/>
  <c r="I13" i="19"/>
  <c r="H13" i="19"/>
  <c r="G13" i="19"/>
  <c r="F13" i="19"/>
  <c r="E13" i="19"/>
  <c r="C13" i="19"/>
  <c r="B13" i="19"/>
  <c r="A13" i="19"/>
  <c r="W12" i="19"/>
  <c r="J12" i="19"/>
  <c r="I12" i="19"/>
  <c r="H12" i="19"/>
  <c r="G12" i="19"/>
  <c r="F12" i="19"/>
  <c r="E12" i="19"/>
  <c r="C12" i="19"/>
  <c r="B12" i="19"/>
  <c r="A12" i="19"/>
  <c r="W14" i="19"/>
  <c r="J14" i="19"/>
  <c r="I14" i="19"/>
  <c r="H14" i="19"/>
  <c r="G14" i="19"/>
  <c r="F14" i="19"/>
  <c r="E14" i="19"/>
  <c r="C14" i="19"/>
  <c r="B14" i="19"/>
  <c r="A14" i="19"/>
  <c r="J11" i="19"/>
  <c r="I11" i="19"/>
  <c r="H11" i="19"/>
  <c r="G11" i="19"/>
  <c r="F11" i="19"/>
  <c r="E11" i="19"/>
  <c r="C11" i="19"/>
  <c r="B11" i="19"/>
  <c r="A11" i="19"/>
  <c r="X5" i="19"/>
  <c r="J5" i="19"/>
  <c r="I5" i="19"/>
  <c r="H5" i="19"/>
  <c r="G5" i="19"/>
  <c r="F5" i="19"/>
  <c r="E5" i="19"/>
  <c r="C5" i="19"/>
  <c r="B5" i="19"/>
  <c r="A5" i="19"/>
  <c r="X9" i="19"/>
  <c r="J9" i="19"/>
  <c r="I9" i="19"/>
  <c r="H9" i="19"/>
  <c r="G9" i="19"/>
  <c r="F9" i="19"/>
  <c r="E9" i="19"/>
  <c r="C9" i="19"/>
  <c r="B9" i="19"/>
  <c r="A9" i="19"/>
  <c r="X7" i="19"/>
  <c r="K7" i="19"/>
  <c r="J7" i="19"/>
  <c r="I7" i="19"/>
  <c r="H7" i="19"/>
  <c r="G7" i="19"/>
  <c r="F7" i="19"/>
  <c r="E7" i="19"/>
  <c r="C7" i="19"/>
  <c r="B7" i="19"/>
  <c r="A7" i="19"/>
  <c r="X4" i="19"/>
  <c r="J4" i="19"/>
  <c r="I4" i="19"/>
  <c r="H4" i="19"/>
  <c r="G4" i="19"/>
  <c r="F4" i="19"/>
  <c r="E4" i="19"/>
  <c r="C4" i="19"/>
  <c r="B4" i="19"/>
  <c r="A4" i="19"/>
  <c r="X6" i="19"/>
  <c r="J6" i="19"/>
  <c r="I6" i="19"/>
  <c r="H6" i="19"/>
  <c r="G6" i="19"/>
  <c r="F6" i="19"/>
  <c r="E6" i="19"/>
  <c r="C6" i="19"/>
  <c r="B6" i="19"/>
  <c r="A6" i="19"/>
  <c r="AE4" i="19"/>
  <c r="K3" i="19"/>
  <c r="J3" i="19"/>
  <c r="I3" i="19"/>
  <c r="H3" i="19"/>
  <c r="G3" i="19"/>
  <c r="F3" i="19"/>
  <c r="E3" i="19"/>
  <c r="D3" i="19"/>
  <c r="C3" i="19"/>
  <c r="B3" i="19"/>
  <c r="W11" i="18"/>
  <c r="V11" i="18"/>
  <c r="U11" i="18"/>
  <c r="K11" i="18"/>
  <c r="J11" i="18"/>
  <c r="I11" i="18"/>
  <c r="H11" i="18"/>
  <c r="G11" i="18"/>
  <c r="F11" i="18"/>
  <c r="E11" i="18"/>
  <c r="C11" i="18"/>
  <c r="B11" i="18"/>
  <c r="A11" i="18"/>
  <c r="M10" i="18"/>
  <c r="J10" i="18"/>
  <c r="I10" i="18"/>
  <c r="H10" i="18"/>
  <c r="G10" i="18"/>
  <c r="F10" i="18"/>
  <c r="E10" i="18"/>
  <c r="C10" i="18"/>
  <c r="B10" i="18"/>
  <c r="A10" i="18"/>
  <c r="U12" i="18"/>
  <c r="K12" i="18"/>
  <c r="J12" i="18"/>
  <c r="I12" i="18"/>
  <c r="H12" i="18"/>
  <c r="G12" i="18"/>
  <c r="F12" i="18"/>
  <c r="E12" i="18"/>
  <c r="C12" i="18"/>
  <c r="B12" i="18"/>
  <c r="A12" i="18"/>
  <c r="M13" i="18"/>
  <c r="J13" i="18"/>
  <c r="I13" i="18"/>
  <c r="H13" i="18"/>
  <c r="G13" i="18"/>
  <c r="F13" i="18"/>
  <c r="E13" i="18"/>
  <c r="C13" i="18"/>
  <c r="B13" i="18"/>
  <c r="A13" i="18"/>
  <c r="J14" i="18"/>
  <c r="I14" i="18"/>
  <c r="H14" i="18"/>
  <c r="G14" i="18"/>
  <c r="F14" i="18"/>
  <c r="E14" i="18"/>
  <c r="C14" i="18"/>
  <c r="B14" i="18"/>
  <c r="A14" i="18"/>
  <c r="T9" i="18"/>
  <c r="J9" i="18"/>
  <c r="I9" i="18"/>
  <c r="H9" i="18"/>
  <c r="G9" i="18"/>
  <c r="F9" i="18"/>
  <c r="E9" i="18"/>
  <c r="C9" i="18"/>
  <c r="B9" i="18"/>
  <c r="A9" i="18"/>
  <c r="M5" i="18"/>
  <c r="J5" i="18"/>
  <c r="I5" i="18"/>
  <c r="H5" i="18"/>
  <c r="G5" i="18"/>
  <c r="F5" i="18"/>
  <c r="E5" i="18"/>
  <c r="C5" i="18"/>
  <c r="B5" i="18"/>
  <c r="A5" i="18"/>
  <c r="M8" i="18"/>
  <c r="J8" i="18"/>
  <c r="I8" i="18"/>
  <c r="H8" i="18"/>
  <c r="G8" i="18"/>
  <c r="F8" i="18"/>
  <c r="E8" i="18"/>
  <c r="C8" i="18"/>
  <c r="B8" i="18"/>
  <c r="A8" i="18"/>
  <c r="M7" i="18"/>
  <c r="K7" i="18"/>
  <c r="J7" i="18"/>
  <c r="I7" i="18"/>
  <c r="H7" i="18"/>
  <c r="G7" i="18"/>
  <c r="F7" i="18"/>
  <c r="E7" i="18"/>
  <c r="C7" i="18"/>
  <c r="B7" i="18"/>
  <c r="A7" i="18"/>
  <c r="M4" i="18"/>
  <c r="J4" i="18"/>
  <c r="I4" i="18"/>
  <c r="H4" i="18"/>
  <c r="G4" i="18"/>
  <c r="F4" i="18"/>
  <c r="E4" i="18"/>
  <c r="C4" i="18"/>
  <c r="B4" i="18"/>
  <c r="A4" i="18"/>
  <c r="M6" i="18"/>
  <c r="J6" i="18"/>
  <c r="I6" i="18"/>
  <c r="H6" i="18"/>
  <c r="G6" i="18"/>
  <c r="F6" i="18"/>
  <c r="E6" i="18"/>
  <c r="C6" i="18"/>
  <c r="B6" i="18"/>
  <c r="A6" i="18"/>
  <c r="AF4" i="18"/>
  <c r="K3" i="18"/>
  <c r="J3" i="18"/>
  <c r="I3" i="18"/>
  <c r="H3" i="18"/>
  <c r="G3" i="18"/>
  <c r="F3" i="18"/>
  <c r="E3" i="18"/>
  <c r="D3" i="18"/>
  <c r="C3" i="18"/>
  <c r="B3" i="18"/>
  <c r="X22" i="17"/>
  <c r="K22" i="17"/>
  <c r="J22" i="17"/>
  <c r="I22" i="17"/>
  <c r="H22" i="17"/>
  <c r="G22" i="17"/>
  <c r="F22" i="17"/>
  <c r="E22" i="17"/>
  <c r="C22" i="17"/>
  <c r="B22" i="17"/>
  <c r="A22" i="17"/>
  <c r="X21" i="17"/>
  <c r="K21" i="17"/>
  <c r="J21" i="17"/>
  <c r="I21" i="17"/>
  <c r="H21" i="17"/>
  <c r="G21" i="17"/>
  <c r="F21" i="17"/>
  <c r="E21" i="17"/>
  <c r="C21" i="17"/>
  <c r="B21" i="17"/>
  <c r="A21" i="17"/>
  <c r="X20" i="17"/>
  <c r="K20" i="17"/>
  <c r="J20" i="17"/>
  <c r="I20" i="17"/>
  <c r="H20" i="17"/>
  <c r="G20" i="17"/>
  <c r="F20" i="17"/>
  <c r="E20" i="17"/>
  <c r="C20" i="17"/>
  <c r="B20" i="17"/>
  <c r="A20" i="17"/>
  <c r="X19" i="17"/>
  <c r="J19" i="17"/>
  <c r="I19" i="17"/>
  <c r="H19" i="17"/>
  <c r="G19" i="17"/>
  <c r="F19" i="17"/>
  <c r="E19" i="17"/>
  <c r="C19" i="17"/>
  <c r="B19" i="17"/>
  <c r="A19" i="17"/>
  <c r="M12" i="17"/>
  <c r="J12" i="17"/>
  <c r="I12" i="17"/>
  <c r="H12" i="17"/>
  <c r="G12" i="17"/>
  <c r="F12" i="17"/>
  <c r="E12" i="17"/>
  <c r="C12" i="17"/>
  <c r="B12" i="17"/>
  <c r="A12" i="17"/>
  <c r="S14" i="17"/>
  <c r="J14" i="17"/>
  <c r="I14" i="17"/>
  <c r="H14" i="17"/>
  <c r="G14" i="17"/>
  <c r="F14" i="17"/>
  <c r="E14" i="17"/>
  <c r="C14" i="17"/>
  <c r="B14" i="17"/>
  <c r="A14" i="17"/>
  <c r="U9" i="17"/>
  <c r="K9" i="17"/>
  <c r="J9" i="17"/>
  <c r="I9" i="17"/>
  <c r="H9" i="17"/>
  <c r="G9" i="17"/>
  <c r="F9" i="17"/>
  <c r="E9" i="17"/>
  <c r="C9" i="17"/>
  <c r="B9" i="17"/>
  <c r="A9" i="17"/>
  <c r="U6" i="17"/>
  <c r="J6" i="17"/>
  <c r="I6" i="17"/>
  <c r="H6" i="17"/>
  <c r="G6" i="17"/>
  <c r="F6" i="17"/>
  <c r="E6" i="17"/>
  <c r="C6" i="17"/>
  <c r="B6" i="17"/>
  <c r="A6" i="17"/>
  <c r="K8" i="17"/>
  <c r="J8" i="17"/>
  <c r="I8" i="17"/>
  <c r="H8" i="17"/>
  <c r="G8" i="17"/>
  <c r="F8" i="17"/>
  <c r="E8" i="17"/>
  <c r="C8" i="17"/>
  <c r="B8" i="17"/>
  <c r="A8" i="17"/>
  <c r="U7" i="17"/>
  <c r="J7" i="17"/>
  <c r="I7" i="17"/>
  <c r="H7" i="17"/>
  <c r="G7" i="17"/>
  <c r="F7" i="17"/>
  <c r="E7" i="17"/>
  <c r="C7" i="17"/>
  <c r="B7" i="17"/>
  <c r="A7" i="17"/>
  <c r="U5" i="17"/>
  <c r="J5" i="17"/>
  <c r="I5" i="17"/>
  <c r="H5" i="17"/>
  <c r="G5" i="17"/>
  <c r="F5" i="17"/>
  <c r="E5" i="17"/>
  <c r="C5" i="17"/>
  <c r="B5" i="17"/>
  <c r="A5" i="17"/>
  <c r="U4" i="17"/>
  <c r="J4" i="17"/>
  <c r="I4" i="17"/>
  <c r="H4" i="17"/>
  <c r="G4" i="17"/>
  <c r="F4" i="17"/>
  <c r="E4" i="17"/>
  <c r="C4" i="17"/>
  <c r="B4" i="17"/>
  <c r="A4" i="17"/>
  <c r="X18" i="17"/>
  <c r="J18" i="17"/>
  <c r="I18" i="17"/>
  <c r="H18" i="17"/>
  <c r="G18" i="17"/>
  <c r="F18" i="17"/>
  <c r="E18" i="17"/>
  <c r="C18" i="17"/>
  <c r="B18" i="17"/>
  <c r="A18" i="17"/>
  <c r="N13" i="17"/>
  <c r="K13" i="17"/>
  <c r="J13" i="17"/>
  <c r="I13" i="17"/>
  <c r="H13" i="17"/>
  <c r="G13" i="17"/>
  <c r="F13" i="17"/>
  <c r="E13" i="17"/>
  <c r="C13" i="17"/>
  <c r="B13" i="17"/>
  <c r="A13" i="17"/>
  <c r="R11" i="17"/>
  <c r="N11" i="17"/>
  <c r="J11" i="17"/>
  <c r="I11" i="17"/>
  <c r="H11" i="17"/>
  <c r="G11" i="17"/>
  <c r="F11" i="17"/>
  <c r="E11" i="17"/>
  <c r="C11" i="17"/>
  <c r="B11" i="17"/>
  <c r="A11" i="17"/>
  <c r="X17" i="17"/>
  <c r="K17" i="17"/>
  <c r="J17" i="17"/>
  <c r="I17" i="17"/>
  <c r="H17" i="17"/>
  <c r="G17" i="17"/>
  <c r="F17" i="17"/>
  <c r="E17" i="17"/>
  <c r="C17" i="17"/>
  <c r="B17" i="17"/>
  <c r="A17" i="17"/>
  <c r="M10" i="17"/>
  <c r="J10" i="17"/>
  <c r="I10" i="17"/>
  <c r="H10" i="17"/>
  <c r="G10" i="17"/>
  <c r="F10" i="17"/>
  <c r="E10" i="17"/>
  <c r="C10" i="17"/>
  <c r="B10" i="17"/>
  <c r="A10" i="17"/>
  <c r="X16" i="17"/>
  <c r="K16" i="17"/>
  <c r="J16" i="17"/>
  <c r="I16" i="17"/>
  <c r="H16" i="17"/>
  <c r="G16" i="17"/>
  <c r="F16" i="17"/>
  <c r="E16" i="17"/>
  <c r="C16" i="17"/>
  <c r="B16" i="17"/>
  <c r="A16" i="17"/>
  <c r="AE4" i="17"/>
  <c r="X15" i="17"/>
  <c r="K15" i="17"/>
  <c r="J15" i="17"/>
  <c r="I15" i="17"/>
  <c r="H15" i="17"/>
  <c r="G15" i="17"/>
  <c r="F15" i="17"/>
  <c r="E15" i="17"/>
  <c r="C15" i="17"/>
  <c r="B15" i="17"/>
  <c r="A15" i="17"/>
  <c r="K3" i="17"/>
  <c r="J3" i="17"/>
  <c r="I3" i="17"/>
  <c r="H3" i="17"/>
  <c r="G3" i="17"/>
  <c r="F3" i="17"/>
  <c r="E3" i="17"/>
  <c r="D3" i="17"/>
  <c r="C3" i="17"/>
  <c r="B3" i="17"/>
  <c r="X25" i="16"/>
  <c r="K25" i="16"/>
  <c r="J25" i="16"/>
  <c r="I25" i="16"/>
  <c r="H25" i="16"/>
  <c r="G25" i="16"/>
  <c r="F25" i="16"/>
  <c r="E25" i="16"/>
  <c r="C25" i="16"/>
  <c r="B25" i="16"/>
  <c r="A25" i="16"/>
  <c r="X24" i="16"/>
  <c r="K24" i="16"/>
  <c r="J24" i="16"/>
  <c r="I24" i="16"/>
  <c r="H24" i="16"/>
  <c r="G24" i="16"/>
  <c r="F24" i="16"/>
  <c r="E24" i="16"/>
  <c r="C24" i="16"/>
  <c r="B24" i="16"/>
  <c r="A24" i="16"/>
  <c r="X23" i="16"/>
  <c r="K23" i="16"/>
  <c r="J23" i="16"/>
  <c r="I23" i="16"/>
  <c r="H23" i="16"/>
  <c r="G23" i="16"/>
  <c r="F23" i="16"/>
  <c r="E23" i="16"/>
  <c r="C23" i="16"/>
  <c r="B23" i="16"/>
  <c r="A23" i="16"/>
  <c r="X22" i="16"/>
  <c r="J22" i="16"/>
  <c r="I22" i="16"/>
  <c r="H22" i="16"/>
  <c r="G22" i="16"/>
  <c r="F22" i="16"/>
  <c r="E22" i="16"/>
  <c r="C22" i="16"/>
  <c r="B22" i="16"/>
  <c r="A22" i="16"/>
  <c r="L5" i="16"/>
  <c r="Q5" i="16" s="1"/>
  <c r="J5" i="16"/>
  <c r="I5" i="16"/>
  <c r="H5" i="16"/>
  <c r="G5" i="16"/>
  <c r="F5" i="16"/>
  <c r="E5" i="16"/>
  <c r="C5" i="16"/>
  <c r="B5" i="16"/>
  <c r="A5" i="16"/>
  <c r="L4" i="16"/>
  <c r="J4" i="16"/>
  <c r="I4" i="16"/>
  <c r="H4" i="16"/>
  <c r="G4" i="16"/>
  <c r="F4" i="16"/>
  <c r="E4" i="16"/>
  <c r="C4" i="16"/>
  <c r="B4" i="16"/>
  <c r="A4" i="16"/>
  <c r="L15" i="16"/>
  <c r="M15" i="16" s="1"/>
  <c r="K15" i="16"/>
  <c r="J15" i="16"/>
  <c r="I15" i="16"/>
  <c r="H15" i="16"/>
  <c r="G15" i="16"/>
  <c r="F15" i="16"/>
  <c r="E15" i="16"/>
  <c r="C15" i="16"/>
  <c r="B15" i="16"/>
  <c r="A15" i="16"/>
  <c r="T14" i="16"/>
  <c r="L14" i="16"/>
  <c r="S14" i="16" s="1"/>
  <c r="J14" i="16"/>
  <c r="I14" i="16"/>
  <c r="H14" i="16"/>
  <c r="G14" i="16"/>
  <c r="F14" i="16"/>
  <c r="E14" i="16"/>
  <c r="C14" i="16"/>
  <c r="B14" i="16"/>
  <c r="A14" i="16"/>
  <c r="L11" i="16"/>
  <c r="U11" i="16" s="1"/>
  <c r="K11" i="16"/>
  <c r="J11" i="16"/>
  <c r="I11" i="16"/>
  <c r="H11" i="16"/>
  <c r="G11" i="16"/>
  <c r="F11" i="16"/>
  <c r="E11" i="16"/>
  <c r="C11" i="16"/>
  <c r="B11" i="16"/>
  <c r="A11" i="16"/>
  <c r="L13" i="16"/>
  <c r="U13" i="16" s="1"/>
  <c r="J13" i="16"/>
  <c r="I13" i="16"/>
  <c r="H13" i="16"/>
  <c r="G13" i="16"/>
  <c r="F13" i="16"/>
  <c r="E13" i="16"/>
  <c r="C13" i="16"/>
  <c r="B13" i="16"/>
  <c r="A13" i="16"/>
  <c r="L10" i="16"/>
  <c r="J10" i="16"/>
  <c r="I10" i="16"/>
  <c r="H10" i="16"/>
  <c r="G10" i="16"/>
  <c r="F10" i="16"/>
  <c r="E10" i="16"/>
  <c r="C10" i="16"/>
  <c r="B10" i="16"/>
  <c r="A10" i="16"/>
  <c r="L12" i="16"/>
  <c r="J12" i="16"/>
  <c r="I12" i="16"/>
  <c r="H12" i="16"/>
  <c r="G12" i="16"/>
  <c r="F12" i="16"/>
  <c r="E12" i="16"/>
  <c r="C12" i="16"/>
  <c r="B12" i="16"/>
  <c r="A12" i="16"/>
  <c r="X21" i="16"/>
  <c r="J21" i="16"/>
  <c r="I21" i="16"/>
  <c r="H21" i="16"/>
  <c r="G21" i="16"/>
  <c r="F21" i="16"/>
  <c r="E21" i="16"/>
  <c r="C21" i="16"/>
  <c r="B21" i="16"/>
  <c r="A21" i="16"/>
  <c r="L9" i="16"/>
  <c r="K9" i="16"/>
  <c r="J9" i="16"/>
  <c r="I9" i="16"/>
  <c r="H9" i="16"/>
  <c r="G9" i="16"/>
  <c r="F9" i="16"/>
  <c r="E9" i="16"/>
  <c r="C9" i="16"/>
  <c r="B9" i="16"/>
  <c r="A9" i="16"/>
  <c r="L8" i="16"/>
  <c r="P8" i="16" s="1"/>
  <c r="J8" i="16"/>
  <c r="I8" i="16"/>
  <c r="H8" i="16"/>
  <c r="G8" i="16"/>
  <c r="F8" i="16"/>
  <c r="E8" i="16"/>
  <c r="C8" i="16"/>
  <c r="B8" i="16"/>
  <c r="A8" i="16"/>
  <c r="X20" i="16"/>
  <c r="K20" i="16"/>
  <c r="J20" i="16"/>
  <c r="I20" i="16"/>
  <c r="H20" i="16"/>
  <c r="G20" i="16"/>
  <c r="F20" i="16"/>
  <c r="E20" i="16"/>
  <c r="C20" i="16"/>
  <c r="B20" i="16"/>
  <c r="A20" i="16"/>
  <c r="X19" i="16"/>
  <c r="K19" i="16"/>
  <c r="J19" i="16"/>
  <c r="I19" i="16"/>
  <c r="H19" i="16"/>
  <c r="G19" i="16"/>
  <c r="F19" i="16"/>
  <c r="E19" i="16"/>
  <c r="C19" i="16"/>
  <c r="B19" i="16"/>
  <c r="A19" i="16"/>
  <c r="X18" i="16"/>
  <c r="K18" i="16"/>
  <c r="J18" i="16"/>
  <c r="I18" i="16"/>
  <c r="H18" i="16"/>
  <c r="G18" i="16"/>
  <c r="F18" i="16"/>
  <c r="E18" i="16"/>
  <c r="C18" i="16"/>
  <c r="B18" i="16"/>
  <c r="A18" i="16"/>
  <c r="L7" i="16"/>
  <c r="J7" i="16"/>
  <c r="I7" i="16"/>
  <c r="H7" i="16"/>
  <c r="G7" i="16"/>
  <c r="F7" i="16"/>
  <c r="E7" i="16"/>
  <c r="C7" i="16"/>
  <c r="B7" i="16"/>
  <c r="A7" i="16"/>
  <c r="L6" i="16"/>
  <c r="N6" i="16" s="1"/>
  <c r="X6" i="16" s="1"/>
  <c r="K6" i="16"/>
  <c r="J6" i="16"/>
  <c r="I6" i="16"/>
  <c r="H6" i="16"/>
  <c r="G6" i="16"/>
  <c r="F6" i="16"/>
  <c r="E6" i="16"/>
  <c r="C6" i="16"/>
  <c r="B6" i="16"/>
  <c r="A6" i="16"/>
  <c r="AE4" i="16"/>
  <c r="X17" i="16"/>
  <c r="K17" i="16"/>
  <c r="J17" i="16"/>
  <c r="I17" i="16"/>
  <c r="H17" i="16"/>
  <c r="G17" i="16"/>
  <c r="F17" i="16"/>
  <c r="E17" i="16"/>
  <c r="C17" i="16"/>
  <c r="B17" i="16"/>
  <c r="A17" i="16"/>
  <c r="K3" i="16"/>
  <c r="J3" i="16"/>
  <c r="I3" i="16"/>
  <c r="H3" i="16"/>
  <c r="G3" i="16"/>
  <c r="F3" i="16"/>
  <c r="E3" i="16"/>
  <c r="D3" i="16"/>
  <c r="C3" i="16"/>
  <c r="B3" i="16"/>
  <c r="L12" i="15"/>
  <c r="L11" i="15"/>
  <c r="L10" i="15"/>
  <c r="M9" i="15"/>
  <c r="L9" i="15"/>
  <c r="M8" i="15"/>
  <c r="L8" i="15"/>
  <c r="W7" i="15"/>
  <c r="V7" i="15"/>
  <c r="U7" i="15"/>
  <c r="T7" i="15"/>
  <c r="Q7" i="15"/>
  <c r="P7" i="15"/>
  <c r="O7" i="15"/>
  <c r="L7" i="15"/>
  <c r="J7" i="15"/>
  <c r="I7" i="15"/>
  <c r="H7" i="15"/>
  <c r="G7" i="15"/>
  <c r="F7" i="15"/>
  <c r="E7" i="15"/>
  <c r="D7" i="15"/>
  <c r="C7" i="15"/>
  <c r="B7" i="15"/>
  <c r="L6" i="15"/>
  <c r="S5" i="15"/>
  <c r="L5" i="15"/>
  <c r="L4" i="15"/>
  <c r="L3" i="15"/>
  <c r="L2" i="15"/>
  <c r="N13" i="14"/>
  <c r="X10" i="14"/>
  <c r="W10" i="14"/>
  <c r="T10" i="14"/>
  <c r="S10" i="14"/>
  <c r="R10" i="14"/>
  <c r="P10" i="14"/>
  <c r="O10" i="14"/>
  <c r="K10" i="14"/>
  <c r="J10" i="14"/>
  <c r="I10" i="14"/>
  <c r="H10" i="14"/>
  <c r="G10" i="14"/>
  <c r="F10" i="14"/>
  <c r="E10" i="14"/>
  <c r="D10" i="14"/>
  <c r="C10" i="14"/>
  <c r="T6" i="14"/>
  <c r="AG27" i="13"/>
  <c r="AE27" i="13"/>
  <c r="AC25" i="13"/>
  <c r="AA25" i="13"/>
  <c r="Y25" i="13"/>
  <c r="M25" i="13"/>
  <c r="AA24" i="13"/>
  <c r="Y24" i="13"/>
  <c r="W23" i="13"/>
  <c r="V23" i="13"/>
  <c r="U22" i="13"/>
  <c r="S22" i="13"/>
  <c r="Q22" i="13"/>
  <c r="AG21" i="13"/>
  <c r="AE21" i="13"/>
  <c r="AC19" i="13"/>
  <c r="AB19" i="13"/>
  <c r="AA19" i="13"/>
  <c r="Y19" i="13"/>
  <c r="M19" i="13"/>
  <c r="AA18" i="13"/>
  <c r="Y18" i="13"/>
  <c r="W17" i="13"/>
  <c r="U16" i="13"/>
  <c r="S16" i="13"/>
  <c r="Q16" i="13"/>
  <c r="AG15" i="13"/>
  <c r="AE15" i="13"/>
  <c r="AC13" i="13"/>
  <c r="AA13" i="13"/>
  <c r="Y13" i="13"/>
  <c r="AA12" i="13"/>
  <c r="Y12" i="13"/>
  <c r="W11" i="13"/>
  <c r="V11" i="13"/>
  <c r="U10" i="13"/>
  <c r="S10" i="13"/>
  <c r="Q10" i="13"/>
  <c r="AG9" i="13"/>
  <c r="AE9" i="13"/>
  <c r="AC7" i="13"/>
  <c r="AA7" i="13"/>
  <c r="Z7" i="13"/>
  <c r="Y7" i="13"/>
  <c r="AA6" i="13"/>
  <c r="Y6" i="13"/>
  <c r="W5" i="13"/>
  <c r="V5" i="13"/>
  <c r="AF4" i="13"/>
  <c r="U4" i="13"/>
  <c r="S4" i="13"/>
  <c r="Q4" i="13"/>
  <c r="U3" i="13"/>
  <c r="S3" i="13"/>
  <c r="R3" i="13"/>
  <c r="Q3" i="13"/>
  <c r="P3" i="13"/>
  <c r="L1" i="13"/>
  <c r="K1" i="13"/>
  <c r="AF22" i="13" s="1"/>
  <c r="J1" i="13"/>
  <c r="AD21" i="13" s="1"/>
  <c r="I1" i="13"/>
  <c r="AB12" i="13" s="1"/>
  <c r="H1" i="13"/>
  <c r="Z24" i="13" s="1"/>
  <c r="G1" i="13"/>
  <c r="X7" i="13" s="1"/>
  <c r="F1" i="13"/>
  <c r="V17" i="13" s="1"/>
  <c r="E1" i="13"/>
  <c r="T16" i="13" s="1"/>
  <c r="D1" i="13"/>
  <c r="C1" i="13"/>
  <c r="P22" i="13" s="1"/>
  <c r="AT28" i="12"/>
  <c r="AS28" i="12"/>
  <c r="AJ28" i="12"/>
  <c r="AT27" i="12"/>
  <c r="AS27" i="12"/>
  <c r="AK27" i="12"/>
  <c r="AT26" i="12"/>
  <c r="AS26" i="12"/>
  <c r="AN26" i="12"/>
  <c r="AJ26" i="12"/>
  <c r="AT25" i="12"/>
  <c r="AS25" i="12"/>
  <c r="AN25" i="12"/>
  <c r="AT24" i="12"/>
  <c r="AS24" i="12"/>
  <c r="AK24" i="12"/>
  <c r="AT23" i="12"/>
  <c r="AS23" i="12"/>
  <c r="AO23" i="12"/>
  <c r="AT22" i="12"/>
  <c r="AS22" i="12"/>
  <c r="AO22" i="12"/>
  <c r="AN22" i="12"/>
  <c r="AN19" i="12"/>
  <c r="AT18" i="12"/>
  <c r="AS18" i="12"/>
  <c r="AQ18" i="12"/>
  <c r="AP18" i="12"/>
  <c r="AO18" i="12"/>
  <c r="AN18" i="12"/>
  <c r="AM10" i="12"/>
  <c r="AM25" i="12" s="1"/>
  <c r="AI10" i="12"/>
  <c r="AI25" i="12" s="1"/>
  <c r="AM13" i="12"/>
  <c r="AM28" i="12" s="1"/>
  <c r="AI13" i="12"/>
  <c r="AI28" i="12" s="1"/>
  <c r="AM9" i="12"/>
  <c r="AI9" i="12"/>
  <c r="AI24" i="12" s="1"/>
  <c r="AP11" i="12"/>
  <c r="AP25" i="12" s="1"/>
  <c r="AM12" i="12"/>
  <c r="AM27" i="12" s="1"/>
  <c r="AL12" i="12"/>
  <c r="AL27" i="12" s="1"/>
  <c r="AI12" i="12"/>
  <c r="AI27" i="12" s="1"/>
  <c r="AP9" i="12"/>
  <c r="AP23" i="12" s="1"/>
  <c r="AM11" i="12"/>
  <c r="AM26" i="12" s="1"/>
  <c r="AI11" i="12"/>
  <c r="AI26" i="12" s="1"/>
  <c r="AP12" i="12"/>
  <c r="AP26" i="12" s="1"/>
  <c r="AR8" i="12"/>
  <c r="AR22" i="12" s="1"/>
  <c r="AQ8" i="12"/>
  <c r="AQ22" i="12" s="1"/>
  <c r="AP8" i="12"/>
  <c r="AP22" i="12" s="1"/>
  <c r="AN8" i="12"/>
  <c r="BA6" i="12"/>
  <c r="AZ6" i="12"/>
  <c r="BA5" i="12"/>
  <c r="AZ5" i="12"/>
  <c r="AN5" i="12"/>
  <c r="AN2" i="12" s="1"/>
  <c r="O5" i="12"/>
  <c r="Y5" i="12" s="1"/>
  <c r="AF5" i="12" s="1"/>
  <c r="N5" i="12"/>
  <c r="X5" i="12" s="1"/>
  <c r="AE5" i="12" s="1"/>
  <c r="M5" i="12"/>
  <c r="W5" i="12" s="1"/>
  <c r="AD5" i="12" s="1"/>
  <c r="L5" i="12"/>
  <c r="V5" i="12" s="1"/>
  <c r="AC5" i="12" s="1"/>
  <c r="K5" i="12"/>
  <c r="U5" i="12" s="1"/>
  <c r="AB5" i="12" s="1"/>
  <c r="J5" i="12"/>
  <c r="T5" i="12" s="1"/>
  <c r="AA5" i="12" s="1"/>
  <c r="I5" i="12"/>
  <c r="S5" i="12" s="1"/>
  <c r="Z5" i="12" s="1"/>
  <c r="H5" i="12"/>
  <c r="R5" i="12" s="1"/>
  <c r="G5" i="12"/>
  <c r="F5" i="12"/>
  <c r="D5" i="12"/>
  <c r="P5" i="12" s="1"/>
  <c r="C5" i="12"/>
  <c r="B5" i="12"/>
  <c r="A5" i="12"/>
  <c r="BA4" i="12"/>
  <c r="AZ4" i="12"/>
  <c r="O4" i="12"/>
  <c r="Y4" i="12" s="1"/>
  <c r="AF4" i="12" s="1"/>
  <c r="N4" i="12"/>
  <c r="X4" i="12" s="1"/>
  <c r="AE4" i="12" s="1"/>
  <c r="M4" i="12"/>
  <c r="W4" i="12" s="1"/>
  <c r="AD4" i="12" s="1"/>
  <c r="L4" i="12"/>
  <c r="V4" i="12" s="1"/>
  <c r="AC4" i="12" s="1"/>
  <c r="K4" i="12"/>
  <c r="U4" i="12" s="1"/>
  <c r="AB4" i="12" s="1"/>
  <c r="J4" i="12"/>
  <c r="T4" i="12" s="1"/>
  <c r="AA4" i="12" s="1"/>
  <c r="I4" i="12"/>
  <c r="S4" i="12" s="1"/>
  <c r="Z4" i="12" s="1"/>
  <c r="H4" i="12"/>
  <c r="R4" i="12" s="1"/>
  <c r="G4" i="12"/>
  <c r="D4" i="12"/>
  <c r="P4" i="12" s="1"/>
  <c r="C4" i="12"/>
  <c r="B4" i="12"/>
  <c r="A4" i="12"/>
  <c r="BA3" i="12"/>
  <c r="AZ3" i="12"/>
  <c r="BA2" i="12"/>
  <c r="AZ2" i="12"/>
  <c r="AP2" i="12"/>
  <c r="C2" i="12"/>
  <c r="C19" i="11"/>
  <c r="A18" i="11"/>
  <c r="A19" i="11" s="1"/>
  <c r="D19" i="11" s="1"/>
  <c r="T13" i="11"/>
  <c r="O13" i="11"/>
  <c r="N13" i="11"/>
  <c r="R13" i="11" s="1"/>
  <c r="J13" i="11"/>
  <c r="I13" i="11"/>
  <c r="A7" i="11"/>
  <c r="V4" i="11" s="1"/>
  <c r="R4" i="11"/>
  <c r="Q4" i="11"/>
  <c r="T4" i="11" s="1"/>
  <c r="U4" i="11" s="1"/>
  <c r="J4" i="11"/>
  <c r="I4" i="11"/>
  <c r="V2" i="11"/>
  <c r="R2" i="11"/>
  <c r="Q2" i="11"/>
  <c r="J2" i="11"/>
  <c r="I2" i="11"/>
  <c r="R12" i="10"/>
  <c r="Y12" i="10" s="1"/>
  <c r="O12" i="10"/>
  <c r="V12" i="10" s="1"/>
  <c r="O13" i="10"/>
  <c r="V13" i="10" s="1"/>
  <c r="O9" i="10"/>
  <c r="V9" i="10" s="1"/>
  <c r="S5" i="10"/>
  <c r="Z5" i="10" s="1"/>
  <c r="O5" i="10"/>
  <c r="V5" i="10" s="1"/>
  <c r="S10" i="10"/>
  <c r="Z10" i="10" s="1"/>
  <c r="O10" i="10"/>
  <c r="V10" i="10" s="1"/>
  <c r="P8" i="10"/>
  <c r="W8" i="10" s="1"/>
  <c r="R8" i="10"/>
  <c r="Y8" i="10" s="1"/>
  <c r="O8" i="10"/>
  <c r="V8" i="10" s="1"/>
  <c r="S11" i="10"/>
  <c r="Z11" i="10" s="1"/>
  <c r="O11" i="10"/>
  <c r="V11" i="10" s="1"/>
  <c r="P4" i="10"/>
  <c r="W4" i="10" s="1"/>
  <c r="O4" i="10"/>
  <c r="V4" i="10" s="1"/>
  <c r="P7" i="10"/>
  <c r="W7" i="10" s="1"/>
  <c r="S7" i="10"/>
  <c r="Z7" i="10" s="1"/>
  <c r="O7" i="10"/>
  <c r="V7" i="10" s="1"/>
  <c r="R5" i="10"/>
  <c r="Y5" i="10" s="1"/>
  <c r="P6" i="10"/>
  <c r="W6" i="10" s="1"/>
  <c r="O6" i="10"/>
  <c r="V6" i="10" s="1"/>
  <c r="D4" i="10"/>
  <c r="E4" i="10" s="1"/>
  <c r="F4" i="10" s="1"/>
  <c r="C4" i="10"/>
  <c r="G4" i="10" s="1"/>
  <c r="B4" i="10"/>
  <c r="A4" i="10"/>
  <c r="D3" i="10"/>
  <c r="E3" i="10" s="1"/>
  <c r="C3" i="10"/>
  <c r="G3" i="10" s="1"/>
  <c r="B3" i="10"/>
  <c r="A3" i="10"/>
  <c r="O3" i="10" s="1"/>
  <c r="V3" i="10" s="1"/>
  <c r="B26" i="9"/>
  <c r="H26" i="9" s="1"/>
  <c r="G30" i="9"/>
  <c r="G29" i="9"/>
  <c r="G27" i="9"/>
  <c r="G28" i="9"/>
  <c r="P3" i="9"/>
  <c r="O3" i="9"/>
  <c r="M3" i="9"/>
  <c r="A3" i="9"/>
  <c r="P2" i="9"/>
  <c r="O2" i="9"/>
  <c r="M2" i="9"/>
  <c r="A2" i="9"/>
  <c r="R1" i="9"/>
  <c r="Q1" i="9"/>
  <c r="P1" i="9"/>
  <c r="O1" i="9"/>
  <c r="M1" i="9"/>
  <c r="M57" i="7"/>
  <c r="L57" i="7"/>
  <c r="K57" i="7"/>
  <c r="J57" i="7"/>
  <c r="I57" i="7"/>
  <c r="E57" i="7"/>
  <c r="D57" i="7"/>
  <c r="B57" i="7"/>
  <c r="A57" i="7"/>
  <c r="N56" i="7"/>
  <c r="M56" i="7"/>
  <c r="L56" i="7"/>
  <c r="J56" i="7"/>
  <c r="F56" i="7"/>
  <c r="E56" i="7"/>
  <c r="B56" i="7"/>
  <c r="A56" i="7"/>
  <c r="M55" i="7"/>
  <c r="K55" i="7"/>
  <c r="G55" i="7"/>
  <c r="D55" i="7"/>
  <c r="B55" i="7"/>
  <c r="A55" i="7"/>
  <c r="N54" i="7"/>
  <c r="M54" i="7"/>
  <c r="L54" i="7"/>
  <c r="H54" i="7"/>
  <c r="G54" i="7"/>
  <c r="E54" i="7"/>
  <c r="B54" i="7"/>
  <c r="A54" i="7"/>
  <c r="E53" i="7"/>
  <c r="B53" i="7"/>
  <c r="H12" i="14"/>
  <c r="G52" i="7"/>
  <c r="E52" i="7"/>
  <c r="B52" i="7"/>
  <c r="I51" i="7"/>
  <c r="G51" i="7"/>
  <c r="E51" i="7"/>
  <c r="D51" i="7"/>
  <c r="B51" i="7"/>
  <c r="A51" i="7"/>
  <c r="L50" i="7"/>
  <c r="K50" i="7"/>
  <c r="H50" i="7"/>
  <c r="G50" i="7"/>
  <c r="E50" i="7"/>
  <c r="D50" i="7"/>
  <c r="B50" i="7"/>
  <c r="A50" i="7"/>
  <c r="G49" i="7"/>
  <c r="B49" i="7"/>
  <c r="E48" i="7"/>
  <c r="D48" i="7"/>
  <c r="B48" i="7"/>
  <c r="G47" i="7"/>
  <c r="E47" i="7"/>
  <c r="B47" i="7"/>
  <c r="N46" i="7"/>
  <c r="H46" i="7"/>
  <c r="G46" i="7"/>
  <c r="E46" i="7"/>
  <c r="B46" i="7"/>
  <c r="G45" i="7"/>
  <c r="E45" i="7"/>
  <c r="C11" i="15"/>
  <c r="B45" i="7"/>
  <c r="I44" i="7"/>
  <c r="H44" i="7"/>
  <c r="E44" i="7"/>
  <c r="B44" i="7"/>
  <c r="H43" i="7"/>
  <c r="G43" i="7"/>
  <c r="E43" i="7"/>
  <c r="B43" i="7"/>
  <c r="N42" i="7"/>
  <c r="M42" i="7"/>
  <c r="I42" i="7"/>
  <c r="H42" i="7"/>
  <c r="G42" i="7"/>
  <c r="D42" i="7"/>
  <c r="B42" i="7"/>
  <c r="A42" i="7"/>
  <c r="D4" i="15"/>
  <c r="G41" i="7"/>
  <c r="E41" i="7"/>
  <c r="B41" i="7"/>
  <c r="G40" i="7"/>
  <c r="E40" i="7"/>
  <c r="B40" i="7"/>
  <c r="G39" i="7"/>
  <c r="E39" i="7"/>
  <c r="B39" i="7"/>
  <c r="Q4" i="7"/>
  <c r="P4" i="7"/>
  <c r="O4" i="7"/>
  <c r="N4" i="7"/>
  <c r="K38" i="7" s="1"/>
  <c r="M4" i="7"/>
  <c r="J38" i="7" s="1"/>
  <c r="L4" i="7"/>
  <c r="I38" i="7" s="1"/>
  <c r="K4" i="7"/>
  <c r="J4" i="7"/>
  <c r="G38" i="7" s="1"/>
  <c r="F4" i="7"/>
  <c r="H4" i="7" s="1"/>
  <c r="E4" i="7"/>
  <c r="E38" i="7" s="1"/>
  <c r="D4" i="7"/>
  <c r="D38" i="7" s="1"/>
  <c r="B4" i="7"/>
  <c r="B38" i="7" s="1"/>
  <c r="A4" i="7"/>
  <c r="A38" i="7" s="1"/>
  <c r="Q3" i="7"/>
  <c r="P3" i="7"/>
  <c r="O3" i="7"/>
  <c r="N3" i="7"/>
  <c r="M3" i="7"/>
  <c r="L3" i="7"/>
  <c r="K3" i="7"/>
  <c r="J3" i="7"/>
  <c r="G37" i="7" s="1"/>
  <c r="F3" i="7"/>
  <c r="G3" i="7" s="1"/>
  <c r="E3" i="7"/>
  <c r="E37" i="7" s="1"/>
  <c r="D3" i="7"/>
  <c r="B3" i="7"/>
  <c r="B37" i="7" s="1"/>
  <c r="A3" i="7"/>
  <c r="AO16" i="2"/>
  <c r="W16" i="2"/>
  <c r="U16" i="2"/>
  <c r="S16" i="2"/>
  <c r="R16" i="2"/>
  <c r="P16" i="2"/>
  <c r="N16" i="2"/>
  <c r="L16" i="2"/>
  <c r="K16" i="2"/>
  <c r="J16" i="2"/>
  <c r="N14" i="9" s="1"/>
  <c r="AO13" i="2"/>
  <c r="W13" i="2"/>
  <c r="U13" i="2"/>
  <c r="S13" i="2"/>
  <c r="R13" i="2"/>
  <c r="P13" i="2"/>
  <c r="N13" i="2"/>
  <c r="L13" i="2"/>
  <c r="K13" i="2"/>
  <c r="J13" i="2"/>
  <c r="AO12" i="2"/>
  <c r="W12" i="2"/>
  <c r="U12" i="2"/>
  <c r="S12" i="2"/>
  <c r="R12" i="2"/>
  <c r="P12" i="2"/>
  <c r="N12" i="2"/>
  <c r="L12" i="2"/>
  <c r="K12" i="2"/>
  <c r="J12" i="2"/>
  <c r="N10" i="9" s="1"/>
  <c r="AO20" i="2"/>
  <c r="W20" i="2"/>
  <c r="U20" i="2"/>
  <c r="S20" i="2"/>
  <c r="R20" i="2"/>
  <c r="P20" i="2"/>
  <c r="N20" i="2"/>
  <c r="L20" i="2"/>
  <c r="K20" i="2"/>
  <c r="J20" i="2"/>
  <c r="N18" i="9" s="1"/>
  <c r="AO19" i="2"/>
  <c r="W19" i="2"/>
  <c r="S19" i="2"/>
  <c r="R19" i="2"/>
  <c r="P19" i="2"/>
  <c r="N19" i="2"/>
  <c r="L19" i="2"/>
  <c r="K19" i="2"/>
  <c r="J19" i="2"/>
  <c r="N17" i="9" s="1"/>
  <c r="AO18" i="2"/>
  <c r="W18" i="2"/>
  <c r="U18" i="2"/>
  <c r="S18" i="2"/>
  <c r="R18" i="2"/>
  <c r="P18" i="2"/>
  <c r="N18" i="2"/>
  <c r="L18" i="2"/>
  <c r="K18" i="2"/>
  <c r="J18" i="2"/>
  <c r="AO17" i="2"/>
  <c r="W17" i="2"/>
  <c r="U17" i="2"/>
  <c r="S17" i="2"/>
  <c r="R17" i="2"/>
  <c r="P17" i="2"/>
  <c r="N17" i="2"/>
  <c r="L17" i="2"/>
  <c r="K17" i="2"/>
  <c r="J17" i="2"/>
  <c r="N15" i="9" s="1"/>
  <c r="AO10" i="2"/>
  <c r="W10" i="2"/>
  <c r="U10" i="2"/>
  <c r="S10" i="2"/>
  <c r="R10" i="2"/>
  <c r="P10" i="2"/>
  <c r="N10" i="2"/>
  <c r="L10" i="2"/>
  <c r="K10" i="2"/>
  <c r="J10" i="2"/>
  <c r="N8" i="9" s="1"/>
  <c r="AO7" i="2"/>
  <c r="W7" i="2"/>
  <c r="U7" i="2"/>
  <c r="S7" i="2"/>
  <c r="R7" i="2"/>
  <c r="P7" i="2"/>
  <c r="N7" i="2"/>
  <c r="L7" i="2"/>
  <c r="K7" i="2"/>
  <c r="J7" i="2"/>
  <c r="N5" i="9" s="1"/>
  <c r="AO6" i="2"/>
  <c r="W6" i="2"/>
  <c r="U6" i="2"/>
  <c r="S6" i="2"/>
  <c r="R6" i="2"/>
  <c r="P6" i="2"/>
  <c r="N6" i="2"/>
  <c r="L6" i="2"/>
  <c r="K6" i="2"/>
  <c r="J6" i="2"/>
  <c r="N4" i="9" s="1"/>
  <c r="AO9" i="2"/>
  <c r="W9" i="2"/>
  <c r="U9" i="2"/>
  <c r="S9" i="2"/>
  <c r="R9" i="2"/>
  <c r="P9" i="2"/>
  <c r="N9" i="2"/>
  <c r="L9" i="2"/>
  <c r="K9" i="2"/>
  <c r="J9" i="2"/>
  <c r="N7" i="9" s="1"/>
  <c r="AO8" i="2"/>
  <c r="W8" i="2"/>
  <c r="U8" i="2"/>
  <c r="S8" i="2"/>
  <c r="R8" i="2"/>
  <c r="P8" i="2"/>
  <c r="N8" i="2"/>
  <c r="L8" i="2"/>
  <c r="K8" i="2"/>
  <c r="J8" i="2"/>
  <c r="N6" i="9" s="1"/>
  <c r="V6" i="9" s="1"/>
  <c r="V9" i="9"/>
  <c r="AO11" i="2"/>
  <c r="AK11" i="2"/>
  <c r="AJ11" i="2"/>
  <c r="W11" i="2"/>
  <c r="U11" i="2"/>
  <c r="S11" i="2"/>
  <c r="R11" i="2"/>
  <c r="N11" i="2"/>
  <c r="L11" i="2"/>
  <c r="K11" i="2"/>
  <c r="J11" i="2"/>
  <c r="AO5" i="2"/>
  <c r="W5" i="2"/>
  <c r="U5" i="2"/>
  <c r="S5" i="2"/>
  <c r="R5" i="2"/>
  <c r="P5" i="2"/>
  <c r="N5" i="2"/>
  <c r="L5" i="2"/>
  <c r="K5" i="2"/>
  <c r="J5" i="2"/>
  <c r="AO4" i="2"/>
  <c r="W4" i="2"/>
  <c r="U4" i="2"/>
  <c r="S4" i="2"/>
  <c r="R4" i="2"/>
  <c r="P4" i="2"/>
  <c r="N4" i="2"/>
  <c r="L4" i="2"/>
  <c r="K4" i="2"/>
  <c r="J4" i="2"/>
  <c r="AC2" i="2"/>
  <c r="AB2" i="2"/>
  <c r="AA2" i="2"/>
  <c r="Z2" i="2"/>
  <c r="Y2" i="2"/>
  <c r="X2" i="2"/>
  <c r="D1" i="2"/>
  <c r="O52" i="1"/>
  <c r="B37" i="1"/>
  <c r="O35" i="1"/>
  <c r="O25" i="1"/>
  <c r="O24" i="1"/>
  <c r="O22" i="1"/>
  <c r="O21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F18" i="2" l="1"/>
  <c r="F13" i="2"/>
  <c r="F7" i="2"/>
  <c r="F10" i="2"/>
  <c r="N9" i="9"/>
  <c r="C9" i="9"/>
  <c r="B9" i="9"/>
  <c r="V2" i="9"/>
  <c r="V3" i="9"/>
  <c r="V4" i="9"/>
  <c r="N16" i="9"/>
  <c r="V10" i="9"/>
  <c r="F17" i="2"/>
  <c r="F11" i="2"/>
  <c r="F14" i="2"/>
  <c r="F5" i="2"/>
  <c r="C5" i="2" s="1"/>
  <c r="F15" i="2"/>
  <c r="F19" i="2"/>
  <c r="F12" i="2"/>
  <c r="V11" i="9"/>
  <c r="N11" i="9"/>
  <c r="V8" i="9"/>
  <c r="F8" i="2"/>
  <c r="F20" i="2"/>
  <c r="F9" i="2"/>
  <c r="F6" i="2"/>
  <c r="V5" i="9"/>
  <c r="F16" i="2"/>
  <c r="F12" i="9"/>
  <c r="I7" i="7"/>
  <c r="F41" i="7" s="1"/>
  <c r="B6" i="9"/>
  <c r="C6" i="9"/>
  <c r="I9" i="7"/>
  <c r="BJ9" i="7" s="1"/>
  <c r="B8" i="9"/>
  <c r="C8" i="9"/>
  <c r="I19" i="7"/>
  <c r="AL19" i="7" s="1"/>
  <c r="B18" i="9"/>
  <c r="C18" i="9"/>
  <c r="I16" i="7"/>
  <c r="BM16" i="7" s="1"/>
  <c r="B15" i="9"/>
  <c r="C15" i="9"/>
  <c r="I11" i="7"/>
  <c r="S11" i="7" s="1"/>
  <c r="B10" i="9"/>
  <c r="C10" i="9"/>
  <c r="I8" i="7"/>
  <c r="AE8" i="7" s="1"/>
  <c r="AG8" i="7" s="1"/>
  <c r="B7" i="9"/>
  <c r="C7" i="9"/>
  <c r="I17" i="7"/>
  <c r="BT17" i="7" s="1"/>
  <c r="B16" i="9"/>
  <c r="C16" i="9"/>
  <c r="I12" i="7"/>
  <c r="BJ12" i="7" s="1"/>
  <c r="B11" i="9"/>
  <c r="C11" i="9"/>
  <c r="I5" i="7"/>
  <c r="BA5" i="7" s="1"/>
  <c r="B4" i="9"/>
  <c r="C4" i="9"/>
  <c r="I6" i="7"/>
  <c r="BM6" i="7" s="1"/>
  <c r="C5" i="9"/>
  <c r="B5" i="9"/>
  <c r="I18" i="7"/>
  <c r="CA18" i="7" s="1"/>
  <c r="C17" i="9"/>
  <c r="B17" i="9"/>
  <c r="I15" i="7"/>
  <c r="BP15" i="7" s="1"/>
  <c r="B14" i="9"/>
  <c r="C14" i="9"/>
  <c r="F4" i="2"/>
  <c r="C4" i="2" s="1"/>
  <c r="Y7" i="20"/>
  <c r="Y2" i="20" s="1"/>
  <c r="S10" i="19"/>
  <c r="S14" i="19"/>
  <c r="S13" i="19"/>
  <c r="S8" i="19"/>
  <c r="V13" i="18"/>
  <c r="W9" i="18"/>
  <c r="AM13" i="7"/>
  <c r="AF10" i="7"/>
  <c r="S2" i="2"/>
  <c r="U21" i="2"/>
  <c r="U2" i="2"/>
  <c r="R2" i="2"/>
  <c r="T3" i="13"/>
  <c r="AF10" i="13"/>
  <c r="T22" i="13"/>
  <c r="V10" i="19"/>
  <c r="AF16" i="13"/>
  <c r="Z13" i="13"/>
  <c r="P4" i="13"/>
  <c r="Z6" i="13"/>
  <c r="AF9" i="13"/>
  <c r="M11" i="16"/>
  <c r="M9" i="18"/>
  <c r="V12" i="18"/>
  <c r="M11" i="18"/>
  <c r="T2" i="11"/>
  <c r="U2" i="11" s="1"/>
  <c r="AF15" i="13"/>
  <c r="AF27" i="13"/>
  <c r="S11" i="16"/>
  <c r="S9" i="18"/>
  <c r="S13" i="18"/>
  <c r="W12" i="18"/>
  <c r="S11" i="18"/>
  <c r="S12" i="19"/>
  <c r="T13" i="19"/>
  <c r="P10" i="13"/>
  <c r="Z12" i="13"/>
  <c r="Z18" i="13"/>
  <c r="U9" i="18"/>
  <c r="T13" i="18"/>
  <c r="T11" i="18"/>
  <c r="V12" i="19"/>
  <c r="C8" i="21"/>
  <c r="U13" i="11"/>
  <c r="P16" i="13"/>
  <c r="V9" i="18"/>
  <c r="U13" i="18"/>
  <c r="O16" i="21"/>
  <c r="N20" i="21"/>
  <c r="N21" i="21"/>
  <c r="N18" i="21"/>
  <c r="N19" i="21"/>
  <c r="AR4" i="12"/>
  <c r="AR18" i="12" s="1"/>
  <c r="I3" i="7"/>
  <c r="BM3" i="7" s="1"/>
  <c r="AK5" i="2"/>
  <c r="AK17" i="2"/>
  <c r="M9" i="17"/>
  <c r="S11" i="17"/>
  <c r="H3" i="7"/>
  <c r="AS6" i="12"/>
  <c r="AL19" i="2"/>
  <c r="N8" i="17"/>
  <c r="U8" i="17"/>
  <c r="T14" i="19"/>
  <c r="U13" i="19"/>
  <c r="U14" i="19"/>
  <c r="V13" i="19"/>
  <c r="V14" i="19"/>
  <c r="X8" i="19"/>
  <c r="AQ10" i="12"/>
  <c r="AQ24" i="12" s="1"/>
  <c r="AH20" i="2"/>
  <c r="Q18" i="9" s="1"/>
  <c r="AL11" i="2"/>
  <c r="AH11" i="2"/>
  <c r="Q9" i="9" s="1"/>
  <c r="O57" i="7"/>
  <c r="AL18" i="2"/>
  <c r="R4" i="7"/>
  <c r="C9" i="21"/>
  <c r="C10" i="21"/>
  <c r="B30" i="21"/>
  <c r="B31" i="21" s="1"/>
  <c r="B12" i="21"/>
  <c r="T8" i="17"/>
  <c r="N10" i="17"/>
  <c r="R14" i="17"/>
  <c r="P10" i="17"/>
  <c r="R10" i="17"/>
  <c r="R8" i="16"/>
  <c r="Q8" i="16"/>
  <c r="R4" i="16"/>
  <c r="Q4" i="16"/>
  <c r="M6" i="16"/>
  <c r="O4" i="16"/>
  <c r="M7" i="16"/>
  <c r="Q7" i="16"/>
  <c r="X7" i="16" s="1"/>
  <c r="M9" i="16"/>
  <c r="Q9" i="16"/>
  <c r="O7" i="16"/>
  <c r="M4" i="16"/>
  <c r="O9" i="16"/>
  <c r="T11" i="16"/>
  <c r="P4" i="16"/>
  <c r="X4" i="16" s="1"/>
  <c r="M8" i="16"/>
  <c r="P9" i="16"/>
  <c r="S15" i="16"/>
  <c r="O8" i="16"/>
  <c r="X8" i="16" s="1"/>
  <c r="R9" i="16"/>
  <c r="T15" i="16"/>
  <c r="U15" i="16"/>
  <c r="P7" i="16"/>
  <c r="R7" i="16"/>
  <c r="U14" i="16"/>
  <c r="X14" i="16" s="1"/>
  <c r="M4" i="17"/>
  <c r="N12" i="17"/>
  <c r="N4" i="17"/>
  <c r="P12" i="17"/>
  <c r="M13" i="17"/>
  <c r="T4" i="17"/>
  <c r="M6" i="17"/>
  <c r="R12" i="17"/>
  <c r="M11" i="17"/>
  <c r="N6" i="17"/>
  <c r="P11" i="17"/>
  <c r="M8" i="17"/>
  <c r="T6" i="17"/>
  <c r="AJ10" i="12"/>
  <c r="AJ25" i="12" s="1"/>
  <c r="AL10" i="12"/>
  <c r="AL25" i="12" s="1"/>
  <c r="S4" i="10"/>
  <c r="Z4" i="10" s="1"/>
  <c r="R4" i="10"/>
  <c r="Y4" i="10" s="1"/>
  <c r="AR7" i="12"/>
  <c r="Z7" i="18"/>
  <c r="T3" i="7"/>
  <c r="V2" i="15" s="1"/>
  <c r="D20" i="17"/>
  <c r="W21" i="2"/>
  <c r="P5" i="10"/>
  <c r="W5" i="10" s="1"/>
  <c r="P11" i="10"/>
  <c r="W11" i="10" s="1"/>
  <c r="Q11" i="10"/>
  <c r="X11" i="10" s="1"/>
  <c r="AT20" i="12"/>
  <c r="AS20" i="12"/>
  <c r="H3" i="10"/>
  <c r="R3" i="10"/>
  <c r="P18" i="10" s="1"/>
  <c r="P10" i="10"/>
  <c r="W10" i="10" s="1"/>
  <c r="P3" i="10"/>
  <c r="W3" i="10" s="1"/>
  <c r="F3" i="10"/>
  <c r="Q3" i="10" s="1"/>
  <c r="X3" i="10" s="1"/>
  <c r="R10" i="10"/>
  <c r="Y10" i="10" s="1"/>
  <c r="AI11" i="2"/>
  <c r="R9" i="9" s="1"/>
  <c r="Q4" i="10"/>
  <c r="X4" i="10" s="1"/>
  <c r="AN9" i="12"/>
  <c r="AN23" i="12" s="1"/>
  <c r="Y7" i="19"/>
  <c r="X9" i="20"/>
  <c r="S54" i="7"/>
  <c r="AH10" i="2"/>
  <c r="Q8" i="9" s="1"/>
  <c r="AT6" i="12"/>
  <c r="R7" i="10"/>
  <c r="Y7" i="10" s="1"/>
  <c r="AG11" i="2"/>
  <c r="U6" i="15"/>
  <c r="AI18" i="2"/>
  <c r="R16" i="9" s="1"/>
  <c r="AL20" i="2"/>
  <c r="AJ18" i="2"/>
  <c r="AH8" i="2"/>
  <c r="Q6" i="9" s="1"/>
  <c r="AL5" i="2"/>
  <c r="AG5" i="2"/>
  <c r="AJ4" i="2"/>
  <c r="AH9" i="2"/>
  <c r="Q7" i="9" s="1"/>
  <c r="AK7" i="2"/>
  <c r="AI13" i="2"/>
  <c r="R11" i="9" s="1"/>
  <c r="AK4" i="2"/>
  <c r="AI9" i="2"/>
  <c r="R7" i="9" s="1"/>
  <c r="AL6" i="2"/>
  <c r="AF7" i="2"/>
  <c r="AG20" i="2"/>
  <c r="AL7" i="2"/>
  <c r="AG10" i="2"/>
  <c r="AF12" i="2"/>
  <c r="AJ13" i="2"/>
  <c r="AK13" i="2"/>
  <c r="AH16" i="2"/>
  <c r="Q14" i="9" s="1"/>
  <c r="AK8" i="2"/>
  <c r="A9" i="11"/>
  <c r="A10" i="11" s="1"/>
  <c r="AH4" i="2"/>
  <c r="AK18" i="2"/>
  <c r="AH19" i="2"/>
  <c r="Q17" i="9" s="1"/>
  <c r="AF13" i="2"/>
  <c r="AI6" i="2"/>
  <c r="R4" i="9" s="1"/>
  <c r="G4" i="15"/>
  <c r="K41" i="7"/>
  <c r="Q54" i="7"/>
  <c r="AI7" i="2"/>
  <c r="R5" i="9" s="1"/>
  <c r="J42" i="7"/>
  <c r="D8" i="15"/>
  <c r="E9" i="14"/>
  <c r="H47" i="7"/>
  <c r="AL10" i="2"/>
  <c r="AG16" i="2"/>
  <c r="AK16" i="2"/>
  <c r="AF16" i="2"/>
  <c r="AG4" i="2"/>
  <c r="AI10" i="2"/>
  <c r="R8" i="9" s="1"/>
  <c r="AL4" i="2"/>
  <c r="K21" i="16"/>
  <c r="K18" i="17"/>
  <c r="AR20" i="12"/>
  <c r="AG8" i="2"/>
  <c r="K4" i="19"/>
  <c r="Y4" i="19" s="1"/>
  <c r="K4" i="20"/>
  <c r="X4" i="20" s="1"/>
  <c r="K11" i="17"/>
  <c r="K4" i="18"/>
  <c r="Z4" i="18" s="1"/>
  <c r="K8" i="16"/>
  <c r="AR13" i="12"/>
  <c r="AR27" i="12" s="1"/>
  <c r="AJ9" i="2"/>
  <c r="AH17" i="2"/>
  <c r="Q15" i="9" s="1"/>
  <c r="AH18" i="2"/>
  <c r="Q16" i="9" s="1"/>
  <c r="N51" i="7"/>
  <c r="S51" i="7" s="1"/>
  <c r="AK20" i="2"/>
  <c r="AF20" i="2"/>
  <c r="AJ20" i="2"/>
  <c r="AI20" i="2"/>
  <c r="R18" i="9" s="1"/>
  <c r="AG12" i="2"/>
  <c r="I4" i="7"/>
  <c r="BQ4" i="7" s="1"/>
  <c r="N38" i="7"/>
  <c r="R38" i="7" s="1"/>
  <c r="V4" i="7"/>
  <c r="W4" i="7" s="1"/>
  <c r="K42" i="7"/>
  <c r="G44" i="7"/>
  <c r="F9" i="14"/>
  <c r="E8" i="15"/>
  <c r="I47" i="7"/>
  <c r="B5" i="15"/>
  <c r="C4" i="14"/>
  <c r="A40" i="7"/>
  <c r="I9" i="15"/>
  <c r="J7" i="14"/>
  <c r="M46" i="7"/>
  <c r="K10" i="18"/>
  <c r="Y10" i="18" s="1"/>
  <c r="K10" i="19"/>
  <c r="Y10" i="19" s="1"/>
  <c r="K6" i="17"/>
  <c r="K14" i="16"/>
  <c r="K13" i="20"/>
  <c r="X13" i="20" s="1"/>
  <c r="AI12" i="2"/>
  <c r="R10" i="9" s="1"/>
  <c r="AI16" i="2"/>
  <c r="R14" i="9" s="1"/>
  <c r="K6" i="19"/>
  <c r="Y6" i="19" s="1"/>
  <c r="K10" i="17"/>
  <c r="K7" i="16"/>
  <c r="K6" i="18"/>
  <c r="K8" i="20"/>
  <c r="X8" i="20" s="1"/>
  <c r="AH7" i="2"/>
  <c r="Q5" i="9" s="1"/>
  <c r="AF8" i="2"/>
  <c r="AL8" i="2"/>
  <c r="AF9" i="2"/>
  <c r="AK9" i="2"/>
  <c r="AJ6" i="2"/>
  <c r="AK10" i="2"/>
  <c r="K4" i="17"/>
  <c r="K9" i="18"/>
  <c r="K11" i="20"/>
  <c r="X11" i="20" s="1"/>
  <c r="K11" i="19"/>
  <c r="Y11" i="19" s="1"/>
  <c r="K12" i="16"/>
  <c r="AR9" i="12"/>
  <c r="AR23" i="12" s="1"/>
  <c r="K14" i="19"/>
  <c r="Y14" i="19" s="1"/>
  <c r="K12" i="20"/>
  <c r="X12" i="20" s="1"/>
  <c r="K10" i="16"/>
  <c r="K5" i="17"/>
  <c r="AR11" i="12"/>
  <c r="AR25" i="12" s="1"/>
  <c r="K14" i="18"/>
  <c r="Y14" i="18" s="1"/>
  <c r="AJ12" i="2"/>
  <c r="E42" i="7"/>
  <c r="S42" i="7" s="1"/>
  <c r="G6" i="14"/>
  <c r="F3" i="15"/>
  <c r="J43" i="7"/>
  <c r="D49" i="7"/>
  <c r="N2" i="9"/>
  <c r="C2" i="9"/>
  <c r="B2" i="9"/>
  <c r="AF4" i="2"/>
  <c r="AH5" i="2"/>
  <c r="AJ8" i="2"/>
  <c r="AG7" i="2"/>
  <c r="AI5" i="2"/>
  <c r="AD2" i="2"/>
  <c r="AI4" i="2"/>
  <c r="R2" i="9" s="1"/>
  <c r="N3" i="9"/>
  <c r="C3" i="9"/>
  <c r="B3" i="9"/>
  <c r="AJ5" i="2"/>
  <c r="AG9" i="2"/>
  <c r="AF6" i="2"/>
  <c r="AK6" i="2"/>
  <c r="AF17" i="2"/>
  <c r="AF18" i="2"/>
  <c r="AK12" i="2"/>
  <c r="H6" i="14"/>
  <c r="G3" i="15"/>
  <c r="K43" i="7"/>
  <c r="AL17" i="2"/>
  <c r="AH12" i="2"/>
  <c r="Q10" i="9" s="1"/>
  <c r="F3" i="14"/>
  <c r="E2" i="15"/>
  <c r="I37" i="7"/>
  <c r="U3" i="7"/>
  <c r="AH6" i="2"/>
  <c r="Q4" i="9" s="1"/>
  <c r="AI17" i="2"/>
  <c r="R15" i="9" s="1"/>
  <c r="E49" i="7"/>
  <c r="AJ17" i="2"/>
  <c r="AL12" i="2"/>
  <c r="AF5" i="2"/>
  <c r="AF11" i="2"/>
  <c r="AI8" i="2"/>
  <c r="R6" i="9" s="1"/>
  <c r="AL9" i="2"/>
  <c r="AG6" i="2"/>
  <c r="K9" i="19"/>
  <c r="Y9" i="19" s="1"/>
  <c r="K14" i="20"/>
  <c r="X14" i="20" s="1"/>
  <c r="K4" i="16"/>
  <c r="K8" i="18"/>
  <c r="K14" i="17"/>
  <c r="AQ5" i="12"/>
  <c r="AJ7" i="2"/>
  <c r="AF10" i="2"/>
  <c r="AG17" i="2"/>
  <c r="AG19" i="2"/>
  <c r="AK19" i="2"/>
  <c r="AF19" i="2"/>
  <c r="AI19" i="2"/>
  <c r="R17" i="9" s="1"/>
  <c r="AL16" i="2"/>
  <c r="D2" i="15"/>
  <c r="E3" i="14"/>
  <c r="H37" i="7"/>
  <c r="J5" i="15"/>
  <c r="K4" i="14"/>
  <c r="N40" i="7"/>
  <c r="C2" i="15"/>
  <c r="D37" i="7"/>
  <c r="H4" i="15"/>
  <c r="L41" i="7"/>
  <c r="L42" i="7"/>
  <c r="C3" i="15"/>
  <c r="D6" i="14"/>
  <c r="D43" i="7"/>
  <c r="B10" i="15"/>
  <c r="C11" i="14"/>
  <c r="A44" i="7"/>
  <c r="F8" i="15"/>
  <c r="G9" i="14"/>
  <c r="J47" i="7"/>
  <c r="H38" i="7"/>
  <c r="I6" i="15"/>
  <c r="M39" i="7"/>
  <c r="V6" i="15"/>
  <c r="I4" i="15"/>
  <c r="M41" i="7"/>
  <c r="V4" i="15"/>
  <c r="M50" i="7"/>
  <c r="I3" i="14"/>
  <c r="H2" i="15"/>
  <c r="L37" i="7"/>
  <c r="J6" i="15"/>
  <c r="N39" i="7"/>
  <c r="S39" i="7" s="1"/>
  <c r="W6" i="15"/>
  <c r="V5" i="14"/>
  <c r="G53" i="7"/>
  <c r="I56" i="7"/>
  <c r="O56" i="7" s="1"/>
  <c r="AG18" i="2"/>
  <c r="K6" i="20"/>
  <c r="X6" i="20" s="1"/>
  <c r="K13" i="18"/>
  <c r="Y13" i="18" s="1"/>
  <c r="K12" i="19"/>
  <c r="Y12" i="19" s="1"/>
  <c r="K13" i="16"/>
  <c r="AQ6" i="12"/>
  <c r="K7" i="17"/>
  <c r="AJ19" i="2"/>
  <c r="AG13" i="2"/>
  <c r="K22" i="16"/>
  <c r="K19" i="17"/>
  <c r="AJ16" i="2"/>
  <c r="B6" i="15"/>
  <c r="A39" i="7"/>
  <c r="F11" i="15"/>
  <c r="J45" i="7"/>
  <c r="G48" i="7"/>
  <c r="E55" i="7"/>
  <c r="AL13" i="2"/>
  <c r="I4" i="14"/>
  <c r="H5" i="15"/>
  <c r="L40" i="7"/>
  <c r="E5" i="14"/>
  <c r="H48" i="7"/>
  <c r="H51" i="7"/>
  <c r="L55" i="7"/>
  <c r="K12" i="17"/>
  <c r="K10" i="20"/>
  <c r="X10" i="20" s="1"/>
  <c r="K5" i="19"/>
  <c r="Y5" i="19" s="1"/>
  <c r="K5" i="18"/>
  <c r="Z5" i="18" s="1"/>
  <c r="K5" i="16"/>
  <c r="AJ10" i="2"/>
  <c r="AH13" i="2"/>
  <c r="Q11" i="9" s="1"/>
  <c r="R3" i="7"/>
  <c r="I5" i="15"/>
  <c r="J4" i="14"/>
  <c r="M40" i="7"/>
  <c r="R42" i="7"/>
  <c r="E3" i="15"/>
  <c r="F6" i="14"/>
  <c r="I43" i="7"/>
  <c r="I7" i="14"/>
  <c r="H9" i="15"/>
  <c r="L46" i="7"/>
  <c r="G8" i="14"/>
  <c r="J49" i="7"/>
  <c r="I12" i="14"/>
  <c r="L52" i="7"/>
  <c r="B12" i="15"/>
  <c r="C13" i="14"/>
  <c r="A53" i="7"/>
  <c r="F2" i="15"/>
  <c r="G3" i="14"/>
  <c r="T4" i="7"/>
  <c r="D6" i="15"/>
  <c r="H39" i="7"/>
  <c r="B4" i="15"/>
  <c r="A41" i="7"/>
  <c r="J4" i="15"/>
  <c r="N41" i="7"/>
  <c r="Q42" i="7"/>
  <c r="H3" i="15"/>
  <c r="I6" i="14"/>
  <c r="L43" i="7"/>
  <c r="G11" i="15"/>
  <c r="K45" i="7"/>
  <c r="C8" i="15"/>
  <c r="D9" i="14"/>
  <c r="G8" i="15"/>
  <c r="H9" i="14"/>
  <c r="K47" i="7"/>
  <c r="F5" i="14"/>
  <c r="I48" i="7"/>
  <c r="J12" i="14"/>
  <c r="M52" i="7"/>
  <c r="W12" i="14"/>
  <c r="D56" i="7"/>
  <c r="K56" i="7"/>
  <c r="F57" i="7"/>
  <c r="CA57" i="7" s="1"/>
  <c r="CC57" i="7" s="1"/>
  <c r="N57" i="7"/>
  <c r="R57" i="7" s="1"/>
  <c r="L38" i="7"/>
  <c r="K40" i="7"/>
  <c r="G2" i="15"/>
  <c r="H3" i="14"/>
  <c r="K37" i="7"/>
  <c r="V3" i="7"/>
  <c r="W3" i="7" s="1"/>
  <c r="U4" i="7"/>
  <c r="C6" i="15"/>
  <c r="D39" i="7"/>
  <c r="E6" i="15"/>
  <c r="I39" i="7"/>
  <c r="E4" i="14"/>
  <c r="D5" i="15"/>
  <c r="H40" i="7"/>
  <c r="J6" i="14"/>
  <c r="I3" i="15"/>
  <c r="M43" i="7"/>
  <c r="F10" i="15"/>
  <c r="G11" i="14"/>
  <c r="J44" i="7"/>
  <c r="H11" i="15"/>
  <c r="L45" i="7"/>
  <c r="H8" i="15"/>
  <c r="I9" i="14"/>
  <c r="L47" i="7"/>
  <c r="G5" i="14"/>
  <c r="J48" i="7"/>
  <c r="K12" i="14"/>
  <c r="N52" i="7"/>
  <c r="S52" i="7" s="1"/>
  <c r="X12" i="14"/>
  <c r="G57" i="7"/>
  <c r="M38" i="7"/>
  <c r="D47" i="7"/>
  <c r="F6" i="15"/>
  <c r="J39" i="7"/>
  <c r="C5" i="15"/>
  <c r="D40" i="7"/>
  <c r="E5" i="15"/>
  <c r="F4" i="14"/>
  <c r="I40" i="7"/>
  <c r="B3" i="15"/>
  <c r="C6" i="14"/>
  <c r="A43" i="7"/>
  <c r="H11" i="14"/>
  <c r="G10" i="15"/>
  <c r="K44" i="7"/>
  <c r="I11" i="15"/>
  <c r="M45" i="7"/>
  <c r="E9" i="15"/>
  <c r="F7" i="14"/>
  <c r="H5" i="14"/>
  <c r="K48" i="7"/>
  <c r="C8" i="14"/>
  <c r="A49" i="7"/>
  <c r="I50" i="7"/>
  <c r="O50" i="7" s="1"/>
  <c r="C12" i="14"/>
  <c r="A52" i="7"/>
  <c r="H12" i="15"/>
  <c r="I13" i="14"/>
  <c r="L53" i="7"/>
  <c r="I54" i="7"/>
  <c r="H57" i="7"/>
  <c r="I2" i="15"/>
  <c r="J3" i="14"/>
  <c r="M37" i="7"/>
  <c r="G4" i="7"/>
  <c r="G6" i="15"/>
  <c r="K39" i="7"/>
  <c r="F5" i="15"/>
  <c r="G4" i="14"/>
  <c r="J40" i="7"/>
  <c r="C4" i="15"/>
  <c r="D41" i="7"/>
  <c r="E4" i="15"/>
  <c r="I41" i="7"/>
  <c r="I11" i="14"/>
  <c r="H10" i="15"/>
  <c r="L44" i="7"/>
  <c r="D7" i="14"/>
  <c r="C9" i="15"/>
  <c r="D46" i="7"/>
  <c r="F9" i="15"/>
  <c r="G7" i="14"/>
  <c r="J46" i="7"/>
  <c r="E8" i="14"/>
  <c r="H49" i="7"/>
  <c r="J54" i="7"/>
  <c r="H41" i="7"/>
  <c r="B2" i="15"/>
  <c r="C3" i="14"/>
  <c r="A37" i="7"/>
  <c r="J2" i="15"/>
  <c r="K3" i="14"/>
  <c r="N37" i="7"/>
  <c r="H6" i="15"/>
  <c r="L39" i="7"/>
  <c r="G5" i="15"/>
  <c r="H4" i="14"/>
  <c r="F4" i="15"/>
  <c r="J41" i="7"/>
  <c r="W4" i="15"/>
  <c r="E6" i="14"/>
  <c r="D3" i="15"/>
  <c r="J11" i="14"/>
  <c r="I10" i="15"/>
  <c r="M44" i="7"/>
  <c r="B11" i="15"/>
  <c r="A45" i="7"/>
  <c r="S46" i="7"/>
  <c r="G9" i="15"/>
  <c r="H7" i="14"/>
  <c r="K46" i="7"/>
  <c r="F8" i="14"/>
  <c r="I49" i="7"/>
  <c r="M51" i="7"/>
  <c r="D54" i="7"/>
  <c r="J37" i="7"/>
  <c r="I46" i="7"/>
  <c r="P9" i="10"/>
  <c r="W9" i="10" s="1"/>
  <c r="Q9" i="10"/>
  <c r="X9" i="10" s="1"/>
  <c r="R9" i="10"/>
  <c r="Y9" i="10" s="1"/>
  <c r="Q13" i="10"/>
  <c r="X13" i="10" s="1"/>
  <c r="P13" i="10"/>
  <c r="W13" i="10" s="1"/>
  <c r="AL13" i="12"/>
  <c r="AL28" i="12" s="1"/>
  <c r="AR10" i="12"/>
  <c r="AR24" i="12" s="1"/>
  <c r="AK13" i="12"/>
  <c r="AK28" i="12" s="1"/>
  <c r="AS19" i="12"/>
  <c r="AS5" i="12"/>
  <c r="D10" i="15"/>
  <c r="E11" i="14"/>
  <c r="B9" i="15"/>
  <c r="C7" i="14"/>
  <c r="A46" i="7"/>
  <c r="J9" i="15"/>
  <c r="K7" i="14"/>
  <c r="I8" i="15"/>
  <c r="J9" i="14"/>
  <c r="M47" i="7"/>
  <c r="I5" i="14"/>
  <c r="L48" i="7"/>
  <c r="H8" i="14"/>
  <c r="K49" i="7"/>
  <c r="E12" i="14"/>
  <c r="H52" i="7"/>
  <c r="D12" i="15"/>
  <c r="E13" i="14"/>
  <c r="H53" i="7"/>
  <c r="J50" i="7"/>
  <c r="J51" i="7"/>
  <c r="C10" i="15"/>
  <c r="D11" i="14"/>
  <c r="D44" i="7"/>
  <c r="E10" i="15"/>
  <c r="F11" i="14"/>
  <c r="D11" i="15"/>
  <c r="H45" i="7"/>
  <c r="C9" i="14"/>
  <c r="B8" i="15"/>
  <c r="A47" i="7"/>
  <c r="J5" i="14"/>
  <c r="M48" i="7"/>
  <c r="I8" i="14"/>
  <c r="L49" i="7"/>
  <c r="D12" i="14"/>
  <c r="D52" i="7"/>
  <c r="F12" i="14"/>
  <c r="I52" i="7"/>
  <c r="H55" i="7"/>
  <c r="K51" i="7"/>
  <c r="K52" i="7"/>
  <c r="E11" i="15"/>
  <c r="I45" i="7"/>
  <c r="D9" i="15"/>
  <c r="E7" i="14"/>
  <c r="C5" i="14"/>
  <c r="A48" i="7"/>
  <c r="J8" i="14"/>
  <c r="M49" i="7"/>
  <c r="G12" i="14"/>
  <c r="J52" i="7"/>
  <c r="C12" i="15"/>
  <c r="D13" i="14"/>
  <c r="D53" i="7"/>
  <c r="G13" i="14"/>
  <c r="F12" i="15"/>
  <c r="I55" i="7"/>
  <c r="G56" i="7"/>
  <c r="AD56" i="7" s="1"/>
  <c r="D45" i="7"/>
  <c r="L51" i="7"/>
  <c r="J53" i="7"/>
  <c r="Q6" i="10"/>
  <c r="X6" i="10" s="1"/>
  <c r="G12" i="15"/>
  <c r="H13" i="14"/>
  <c r="J55" i="7"/>
  <c r="H56" i="7"/>
  <c r="K53" i="7"/>
  <c r="K54" i="7"/>
  <c r="I12" i="15"/>
  <c r="J13" i="14"/>
  <c r="M53" i="7"/>
  <c r="R6" i="10"/>
  <c r="Y6" i="10" s="1"/>
  <c r="BN57" i="7"/>
  <c r="Q56" i="7"/>
  <c r="P12" i="10"/>
  <c r="W12" i="10" s="1"/>
  <c r="Q12" i="10"/>
  <c r="X12" i="10" s="1"/>
  <c r="F13" i="14"/>
  <c r="E12" i="15"/>
  <c r="I53" i="7"/>
  <c r="R13" i="10"/>
  <c r="Y13" i="10" s="1"/>
  <c r="H4" i="10"/>
  <c r="J4" i="10" s="1"/>
  <c r="I4" i="10"/>
  <c r="AS7" i="12"/>
  <c r="AT7" i="12"/>
  <c r="AP13" i="12"/>
  <c r="AP27" i="12" s="1"/>
  <c r="AN13" i="12"/>
  <c r="AM24" i="12"/>
  <c r="AM16" i="12" s="1"/>
  <c r="AM2" i="12"/>
  <c r="R11" i="10"/>
  <c r="Y11" i="10" s="1"/>
  <c r="AO21" i="12"/>
  <c r="AO7" i="12"/>
  <c r="AL11" i="12"/>
  <c r="AL26" i="12" s="1"/>
  <c r="AK11" i="12"/>
  <c r="AK26" i="12" s="1"/>
  <c r="AJ12" i="12"/>
  <c r="AJ27" i="12" s="1"/>
  <c r="AP10" i="12"/>
  <c r="AP24" i="12" s="1"/>
  <c r="AN10" i="12"/>
  <c r="Q8" i="10"/>
  <c r="X8" i="10" s="1"/>
  <c r="AR12" i="12"/>
  <c r="AR26" i="12" s="1"/>
  <c r="AQ7" i="12"/>
  <c r="AR14" i="12"/>
  <c r="AR28" i="12" s="1"/>
  <c r="W12" i="9"/>
  <c r="I3" i="10"/>
  <c r="AP14" i="12"/>
  <c r="AP28" i="12" s="1"/>
  <c r="AN14" i="12"/>
  <c r="AQ14" i="12"/>
  <c r="AQ28" i="12" s="1"/>
  <c r="X24" i="13"/>
  <c r="X18" i="13"/>
  <c r="X12" i="13"/>
  <c r="X6" i="13"/>
  <c r="X19" i="13"/>
  <c r="AO12" i="12"/>
  <c r="AO26" i="12" s="1"/>
  <c r="X13" i="13"/>
  <c r="AQ12" i="12"/>
  <c r="AQ26" i="12" s="1"/>
  <c r="AO11" i="12"/>
  <c r="AO25" i="12" s="1"/>
  <c r="AB25" i="13"/>
  <c r="AB13" i="13"/>
  <c r="AB7" i="13"/>
  <c r="AB6" i="13"/>
  <c r="AB24" i="13"/>
  <c r="AB18" i="13"/>
  <c r="AP20" i="12"/>
  <c r="AP16" i="12" s="1"/>
  <c r="AN20" i="12"/>
  <c r="AO20" i="12" s="1"/>
  <c r="X25" i="13"/>
  <c r="AD15" i="13"/>
  <c r="AD9" i="13"/>
  <c r="AD27" i="13"/>
  <c r="U11" i="19"/>
  <c r="T11" i="19"/>
  <c r="W11" i="19"/>
  <c r="V11" i="19"/>
  <c r="S11" i="19"/>
  <c r="R16" i="13"/>
  <c r="R10" i="13"/>
  <c r="R4" i="13"/>
  <c r="R22" i="13"/>
  <c r="T5" i="17"/>
  <c r="N5" i="17"/>
  <c r="M5" i="17"/>
  <c r="U12" i="16"/>
  <c r="T12" i="16"/>
  <c r="S12" i="16"/>
  <c r="M12" i="16"/>
  <c r="R5" i="16"/>
  <c r="P5" i="16"/>
  <c r="O5" i="16"/>
  <c r="B13" i="21"/>
  <c r="B10" i="21" s="1"/>
  <c r="AF3" i="13"/>
  <c r="AF21" i="13"/>
  <c r="M5" i="16"/>
  <c r="T9" i="17"/>
  <c r="N9" i="17"/>
  <c r="Y12" i="18"/>
  <c r="W10" i="18"/>
  <c r="V10" i="18"/>
  <c r="U10" i="18"/>
  <c r="T10" i="18"/>
  <c r="Z19" i="13"/>
  <c r="S13" i="17"/>
  <c r="R13" i="17"/>
  <c r="S10" i="18"/>
  <c r="Z25" i="13"/>
  <c r="X9" i="16"/>
  <c r="X11" i="17"/>
  <c r="X11" i="18"/>
  <c r="T4" i="13"/>
  <c r="T10" i="13"/>
  <c r="W14" i="18"/>
  <c r="V14" i="18"/>
  <c r="U14" i="18"/>
  <c r="T14" i="18"/>
  <c r="S14" i="18"/>
  <c r="Y11" i="18"/>
  <c r="U10" i="16"/>
  <c r="T10" i="16"/>
  <c r="S10" i="16"/>
  <c r="M10" i="16"/>
  <c r="M14" i="18"/>
  <c r="C22" i="21"/>
  <c r="C26" i="21" s="1"/>
  <c r="Y13" i="19"/>
  <c r="M13" i="16"/>
  <c r="S10" i="17"/>
  <c r="M7" i="17"/>
  <c r="M14" i="17"/>
  <c r="S12" i="17"/>
  <c r="X12" i="17" s="1"/>
  <c r="W13" i="18"/>
  <c r="M12" i="18"/>
  <c r="U12" i="19"/>
  <c r="T12" i="19"/>
  <c r="C24" i="21"/>
  <c r="C28" i="21" s="1"/>
  <c r="S13" i="16"/>
  <c r="N7" i="17"/>
  <c r="N14" i="17"/>
  <c r="S12" i="18"/>
  <c r="T13" i="16"/>
  <c r="M14" i="16"/>
  <c r="T7" i="17"/>
  <c r="X7" i="17" s="1"/>
  <c r="X14" i="17"/>
  <c r="T12" i="18"/>
  <c r="Y8" i="19"/>
  <c r="C30" i="21"/>
  <c r="D30" i="21" s="1"/>
  <c r="B17" i="21"/>
  <c r="B39" i="21" s="1"/>
  <c r="X13" i="19"/>
  <c r="U10" i="19"/>
  <c r="T10" i="19"/>
  <c r="X5" i="20"/>
  <c r="J8" i="21"/>
  <c r="B24" i="21"/>
  <c r="C17" i="21"/>
  <c r="D9" i="9" l="1"/>
  <c r="BC15" i="7"/>
  <c r="T8" i="14" s="1"/>
  <c r="BK15" i="7"/>
  <c r="AL15" i="7"/>
  <c r="CH15" i="7"/>
  <c r="CJ15" i="7" s="1"/>
  <c r="Y15" i="7"/>
  <c r="AO15" i="7"/>
  <c r="BY15" i="7"/>
  <c r="CC15" i="7"/>
  <c r="AH15" i="7"/>
  <c r="AR15" i="7"/>
  <c r="BJ15" i="7"/>
  <c r="AF15" i="7"/>
  <c r="BS15" i="7"/>
  <c r="C8" i="7"/>
  <c r="C42" i="7" s="1"/>
  <c r="E9" i="12"/>
  <c r="Q9" i="12" s="1"/>
  <c r="C19" i="7"/>
  <c r="C53" i="7" s="1"/>
  <c r="E20" i="12"/>
  <c r="Q20" i="12" s="1"/>
  <c r="C17" i="7"/>
  <c r="C51" i="7" s="1"/>
  <c r="E18" i="12"/>
  <c r="Q18" i="12" s="1"/>
  <c r="C11" i="7"/>
  <c r="C45" i="7" s="1"/>
  <c r="E12" i="12"/>
  <c r="Q12" i="12" s="1"/>
  <c r="C9" i="7"/>
  <c r="C43" i="7" s="1"/>
  <c r="E10" i="12"/>
  <c r="Q10" i="12" s="1"/>
  <c r="C13" i="7"/>
  <c r="C47" i="7" s="1"/>
  <c r="E14" i="12"/>
  <c r="Q14" i="12" s="1"/>
  <c r="C12" i="7"/>
  <c r="C46" i="7" s="1"/>
  <c r="E13" i="12"/>
  <c r="Q13" i="12" s="1"/>
  <c r="C6" i="7"/>
  <c r="C40" i="7" s="1"/>
  <c r="E7" i="12"/>
  <c r="Q7" i="12" s="1"/>
  <c r="C16" i="7"/>
  <c r="C50" i="7" s="1"/>
  <c r="E17" i="12"/>
  <c r="Q17" i="12" s="1"/>
  <c r="C14" i="7"/>
  <c r="C48" i="7" s="1"/>
  <c r="E15" i="12"/>
  <c r="Q15" i="12" s="1"/>
  <c r="C10" i="7"/>
  <c r="C44" i="7" s="1"/>
  <c r="E11" i="12"/>
  <c r="Q11" i="12" s="1"/>
  <c r="C5" i="7"/>
  <c r="C39" i="7" s="1"/>
  <c r="E6" i="12"/>
  <c r="Q6" i="12" s="1"/>
  <c r="C18" i="7"/>
  <c r="C52" i="7" s="1"/>
  <c r="E19" i="12"/>
  <c r="Q19" i="12" s="1"/>
  <c r="C15" i="7"/>
  <c r="C49" i="7" s="1"/>
  <c r="E16" i="12"/>
  <c r="Q16" i="12" s="1"/>
  <c r="C7" i="7"/>
  <c r="C41" i="7" s="1"/>
  <c r="E8" i="12"/>
  <c r="Q8" i="12" s="1"/>
  <c r="S15" i="7"/>
  <c r="CA15" i="7"/>
  <c r="AM15" i="7"/>
  <c r="BB15" i="7"/>
  <c r="BD15" i="7" s="1"/>
  <c r="D16" i="9"/>
  <c r="E16" i="9" s="1"/>
  <c r="AQ15" i="7"/>
  <c r="AS15" i="7" s="1"/>
  <c r="CI15" i="7"/>
  <c r="AI15" i="7"/>
  <c r="BG15" i="7"/>
  <c r="BR15" i="7"/>
  <c r="CE15" i="7"/>
  <c r="CG15" i="7" s="1"/>
  <c r="BI15" i="7"/>
  <c r="AB15" i="7"/>
  <c r="BV15" i="7"/>
  <c r="AU15" i="7"/>
  <c r="AW15" i="7" s="1"/>
  <c r="BL11" i="7"/>
  <c r="BU11" i="7"/>
  <c r="O11" i="15" s="1"/>
  <c r="AU11" i="7"/>
  <c r="AW11" i="7" s="1"/>
  <c r="AX11" i="7"/>
  <c r="AZ11" i="7" s="1"/>
  <c r="BC11" i="7"/>
  <c r="D17" i="9"/>
  <c r="E17" i="9" s="1"/>
  <c r="C11" i="2"/>
  <c r="CC11" i="7"/>
  <c r="AH11" i="7"/>
  <c r="AY15" i="7"/>
  <c r="P8" i="14" s="1"/>
  <c r="AT15" i="7"/>
  <c r="CB15" i="7"/>
  <c r="BT15" i="7"/>
  <c r="BX15" i="7"/>
  <c r="BL15" i="7"/>
  <c r="BN15" i="7"/>
  <c r="AD15" i="7"/>
  <c r="AX15" i="7"/>
  <c r="AZ15" i="7" s="1"/>
  <c r="BM15" i="7"/>
  <c r="CD15" i="7"/>
  <c r="BO15" i="7"/>
  <c r="AP15" i="7"/>
  <c r="AE15" i="7"/>
  <c r="AG15" i="7" s="1"/>
  <c r="AN15" i="7"/>
  <c r="X15" i="7"/>
  <c r="Z15" i="7" s="1"/>
  <c r="AV15" i="7"/>
  <c r="BA15" i="7"/>
  <c r="R8" i="14" s="1"/>
  <c r="BE15" i="7"/>
  <c r="D4" i="9"/>
  <c r="E4" i="9" s="1"/>
  <c r="D6" i="9"/>
  <c r="B28" i="9" s="1"/>
  <c r="H28" i="9" s="1"/>
  <c r="BU15" i="7"/>
  <c r="BF15" i="7"/>
  <c r="AJ15" i="7"/>
  <c r="CK15" i="7"/>
  <c r="BQ15" i="7"/>
  <c r="AK15" i="7"/>
  <c r="CF15" i="7"/>
  <c r="BZ15" i="7"/>
  <c r="BW15" i="7"/>
  <c r="BH15" i="7"/>
  <c r="AA15" i="7"/>
  <c r="AC15" i="7" s="1"/>
  <c r="BV11" i="7"/>
  <c r="Q11" i="15" s="1"/>
  <c r="BS11" i="7"/>
  <c r="AE11" i="7"/>
  <c r="AG11" i="7" s="1"/>
  <c r="CD11" i="7"/>
  <c r="BT11" i="7"/>
  <c r="P11" i="15" s="1"/>
  <c r="CI11" i="7"/>
  <c r="BP11" i="7"/>
  <c r="AF11" i="7"/>
  <c r="CH11" i="7"/>
  <c r="CJ11" i="7" s="1"/>
  <c r="AL11" i="7"/>
  <c r="BN11" i="7"/>
  <c r="BZ11" i="7"/>
  <c r="CK11" i="7"/>
  <c r="AR11" i="7"/>
  <c r="BK11" i="7"/>
  <c r="AT11" i="7"/>
  <c r="AQ11" i="7"/>
  <c r="AS11" i="7" s="1"/>
  <c r="AP11" i="7"/>
  <c r="D8" i="9"/>
  <c r="B31" i="9" s="1"/>
  <c r="BH11" i="7"/>
  <c r="Y11" i="7"/>
  <c r="BI11" i="7"/>
  <c r="AK11" i="7"/>
  <c r="BB11" i="7"/>
  <c r="BD11" i="7" s="1"/>
  <c r="AB11" i="7"/>
  <c r="X11" i="7"/>
  <c r="Z11" i="7" s="1"/>
  <c r="BQ11" i="7"/>
  <c r="BA11" i="7"/>
  <c r="BM11" i="7"/>
  <c r="BJ11" i="7"/>
  <c r="BF11" i="7"/>
  <c r="AJ11" i="7"/>
  <c r="AY11" i="7"/>
  <c r="BR11" i="7"/>
  <c r="CF11" i="7"/>
  <c r="AI11" i="7"/>
  <c r="AN11" i="7"/>
  <c r="AV11" i="7"/>
  <c r="BW11" i="7"/>
  <c r="T11" i="15" s="1"/>
  <c r="CA11" i="7"/>
  <c r="AD11" i="7"/>
  <c r="BO11" i="7"/>
  <c r="BX11" i="7"/>
  <c r="S11" i="15" s="1"/>
  <c r="AA11" i="7"/>
  <c r="AC11" i="7" s="1"/>
  <c r="AM11" i="7"/>
  <c r="BE11" i="7"/>
  <c r="CB11" i="7"/>
  <c r="BG11" i="7"/>
  <c r="BY11" i="7"/>
  <c r="AO11" i="7"/>
  <c r="CE11" i="7"/>
  <c r="CG11" i="7" s="1"/>
  <c r="D11" i="9"/>
  <c r="F11" i="9" s="1"/>
  <c r="D10" i="9"/>
  <c r="D5" i="9"/>
  <c r="B27" i="9" s="1"/>
  <c r="D14" i="9"/>
  <c r="D15" i="9"/>
  <c r="D7" i="9"/>
  <c r="D18" i="9"/>
  <c r="X14" i="19"/>
  <c r="X13" i="18"/>
  <c r="X9" i="18"/>
  <c r="X12" i="18"/>
  <c r="F39" i="7"/>
  <c r="BN39" i="7" s="1"/>
  <c r="W18" i="22"/>
  <c r="U29" i="22" s="1"/>
  <c r="W30" i="22"/>
  <c r="U19" i="22" s="1"/>
  <c r="W20" i="22"/>
  <c r="U28" i="22" s="1"/>
  <c r="W29" i="22"/>
  <c r="W31" i="22"/>
  <c r="U22" i="22" s="1"/>
  <c r="W17" i="22"/>
  <c r="W21" i="22"/>
  <c r="W25" i="22"/>
  <c r="W28" i="22"/>
  <c r="W23" i="22"/>
  <c r="W24" i="22"/>
  <c r="U18" i="22" s="1"/>
  <c r="W19" i="22"/>
  <c r="U16" i="22" s="1"/>
  <c r="W22" i="22"/>
  <c r="W32" i="22"/>
  <c r="U26" i="22" s="1"/>
  <c r="BT5" i="7"/>
  <c r="AX5" i="7"/>
  <c r="AZ5" i="7" s="1"/>
  <c r="CE5" i="7"/>
  <c r="CG5" i="7" s="1"/>
  <c r="BT13" i="7"/>
  <c r="AP13" i="7"/>
  <c r="AI13" i="7"/>
  <c r="AY13" i="7"/>
  <c r="CK13" i="7"/>
  <c r="BJ13" i="7"/>
  <c r="AA13" i="7"/>
  <c r="AC13" i="7" s="1"/>
  <c r="AJ13" i="7"/>
  <c r="AU13" i="7"/>
  <c r="AW13" i="7" s="1"/>
  <c r="S13" i="7"/>
  <c r="CK9" i="7"/>
  <c r="AM9" i="7"/>
  <c r="BU9" i="7"/>
  <c r="CC13" i="7"/>
  <c r="BQ13" i="7"/>
  <c r="AN13" i="7"/>
  <c r="AD13" i="7"/>
  <c r="CA13" i="7"/>
  <c r="CD13" i="7"/>
  <c r="AB13" i="7"/>
  <c r="BV5" i="7"/>
  <c r="BS13" i="7"/>
  <c r="BH13" i="7"/>
  <c r="AR13" i="7"/>
  <c r="BV13" i="7"/>
  <c r="BN18" i="7"/>
  <c r="BS18" i="7"/>
  <c r="BB13" i="7"/>
  <c r="BD13" i="7" s="1"/>
  <c r="BI13" i="7"/>
  <c r="BZ13" i="7"/>
  <c r="AT13" i="7"/>
  <c r="Y13" i="7"/>
  <c r="BA13" i="7"/>
  <c r="BG13" i="7"/>
  <c r="Q8" i="15" s="1"/>
  <c r="BF13" i="7"/>
  <c r="AE9" i="7"/>
  <c r="AG9" i="7" s="1"/>
  <c r="BP5" i="7"/>
  <c r="BO9" i="7"/>
  <c r="AB5" i="7"/>
  <c r="AI9" i="7"/>
  <c r="Q6" i="14" s="1"/>
  <c r="BU5" i="7"/>
  <c r="S9" i="7"/>
  <c r="AN5" i="7"/>
  <c r="O6" i="15" s="1"/>
  <c r="S5" i="7"/>
  <c r="BQ9" i="7"/>
  <c r="AY5" i="7"/>
  <c r="CC5" i="7"/>
  <c r="BS9" i="7"/>
  <c r="AL9" i="7"/>
  <c r="R3" i="15" s="1"/>
  <c r="AD5" i="7"/>
  <c r="CA5" i="7"/>
  <c r="BT12" i="7"/>
  <c r="BL9" i="7"/>
  <c r="Y5" i="7"/>
  <c r="AM5" i="7"/>
  <c r="P6" i="15" s="1"/>
  <c r="BR5" i="7"/>
  <c r="BV19" i="7"/>
  <c r="BQ5" i="7"/>
  <c r="BZ19" i="7"/>
  <c r="AU9" i="7"/>
  <c r="AW9" i="7" s="1"/>
  <c r="AR9" i="7"/>
  <c r="X5" i="7"/>
  <c r="Z5" i="7" s="1"/>
  <c r="CF5" i="7"/>
  <c r="BY19" i="7"/>
  <c r="BP19" i="7"/>
  <c r="AE5" i="7"/>
  <c r="AG5" i="7" s="1"/>
  <c r="AI5" i="7"/>
  <c r="BZ5" i="7"/>
  <c r="AR5" i="7"/>
  <c r="BK5" i="7"/>
  <c r="BJ5" i="7"/>
  <c r="BW5" i="7"/>
  <c r="BI5" i="7"/>
  <c r="CC19" i="7"/>
  <c r="BL5" i="7"/>
  <c r="AQ5" i="7"/>
  <c r="AS5" i="7" s="1"/>
  <c r="BO5" i="7"/>
  <c r="CD5" i="7"/>
  <c r="AD19" i="7"/>
  <c r="AO19" i="7"/>
  <c r="CB19" i="7"/>
  <c r="AF5" i="7"/>
  <c r="BF5" i="7"/>
  <c r="BH5" i="7"/>
  <c r="BS5" i="7"/>
  <c r="AH19" i="7"/>
  <c r="CH5" i="7"/>
  <c r="CJ5" i="7" s="1"/>
  <c r="AQ16" i="7"/>
  <c r="AS16" i="7" s="1"/>
  <c r="CE19" i="7"/>
  <c r="CG19" i="7" s="1"/>
  <c r="AF13" i="7"/>
  <c r="X13" i="7"/>
  <c r="Z13" i="7" s="1"/>
  <c r="CF13" i="7"/>
  <c r="BY13" i="7"/>
  <c r="AE13" i="7"/>
  <c r="AG13" i="7" s="1"/>
  <c r="AA5" i="7"/>
  <c r="AC5" i="7" s="1"/>
  <c r="AT5" i="7"/>
  <c r="AH5" i="7"/>
  <c r="AO5" i="7"/>
  <c r="Q6" i="15" s="1"/>
  <c r="CB5" i="7"/>
  <c r="AK5" i="7"/>
  <c r="AJ18" i="7"/>
  <c r="AX19" i="7"/>
  <c r="AZ19" i="7" s="1"/>
  <c r="BS19" i="7"/>
  <c r="AQ19" i="7"/>
  <c r="AS19" i="7" s="1"/>
  <c r="AQ13" i="7"/>
  <c r="AS13" i="7" s="1"/>
  <c r="AL13" i="7"/>
  <c r="CB13" i="7"/>
  <c r="BU13" i="7"/>
  <c r="BO13" i="7"/>
  <c r="AP5" i="7"/>
  <c r="T6" i="15" s="1"/>
  <c r="T13" i="15" s="1"/>
  <c r="T14" i="15" s="1"/>
  <c r="T15" i="15" s="1"/>
  <c r="AJ5" i="7"/>
  <c r="BY5" i="7"/>
  <c r="BM5" i="7"/>
  <c r="BG5" i="7"/>
  <c r="AU5" i="7"/>
  <c r="AW5" i="7" s="1"/>
  <c r="AP19" i="7"/>
  <c r="AT19" i="7"/>
  <c r="CD18" i="7"/>
  <c r="CF16" i="7"/>
  <c r="BU16" i="7"/>
  <c r="BS16" i="7"/>
  <c r="BX16" i="7"/>
  <c r="AU16" i="7"/>
  <c r="AW16" i="7" s="1"/>
  <c r="Y16" i="7"/>
  <c r="AL16" i="7"/>
  <c r="BK16" i="7"/>
  <c r="BY16" i="7"/>
  <c r="AD16" i="7"/>
  <c r="BE16" i="7"/>
  <c r="CB16" i="7"/>
  <c r="BT18" i="7"/>
  <c r="BS12" i="7"/>
  <c r="BW18" i="7"/>
  <c r="BB18" i="7"/>
  <c r="BD18" i="7" s="1"/>
  <c r="BN13" i="7"/>
  <c r="CH13" i="7"/>
  <c r="CJ13" i="7" s="1"/>
  <c r="BL13" i="7"/>
  <c r="BX13" i="7"/>
  <c r="AO13" i="7"/>
  <c r="BP13" i="7"/>
  <c r="BE13" i="7"/>
  <c r="Q9" i="14" s="1"/>
  <c r="CB9" i="7"/>
  <c r="BM9" i="7"/>
  <c r="BU18" i="7"/>
  <c r="AH13" i="7"/>
  <c r="BW13" i="7"/>
  <c r="BR13" i="7"/>
  <c r="BK13" i="7"/>
  <c r="BC13" i="7"/>
  <c r="CE13" i="7"/>
  <c r="CG13" i="7" s="1"/>
  <c r="AH9" i="7"/>
  <c r="BY9" i="7"/>
  <c r="BO18" i="7"/>
  <c r="AP12" i="7"/>
  <c r="AI7" i="7"/>
  <c r="BB16" i="7"/>
  <c r="BD16" i="7" s="1"/>
  <c r="BV6" i="7"/>
  <c r="AP18" i="7"/>
  <c r="CF18" i="7"/>
  <c r="AL18" i="7"/>
  <c r="AM18" i="7"/>
  <c r="CI13" i="7"/>
  <c r="BM13" i="7"/>
  <c r="AV13" i="7"/>
  <c r="BN9" i="7"/>
  <c r="BW9" i="7"/>
  <c r="AY18" i="7"/>
  <c r="AN18" i="7"/>
  <c r="BQ18" i="7"/>
  <c r="CB18" i="7"/>
  <c r="BH18" i="7"/>
  <c r="BP18" i="7"/>
  <c r="BE12" i="7"/>
  <c r="P9" i="15" s="1"/>
  <c r="BM18" i="7"/>
  <c r="AI18" i="7"/>
  <c r="BF18" i="7"/>
  <c r="AB12" i="7"/>
  <c r="AK13" i="7"/>
  <c r="AX13" i="7"/>
  <c r="AZ13" i="7" s="1"/>
  <c r="BH9" i="7"/>
  <c r="BA9" i="7"/>
  <c r="Y9" i="7"/>
  <c r="CE18" i="7"/>
  <c r="CG18" i="7" s="1"/>
  <c r="BR18" i="7"/>
  <c r="Y18" i="7"/>
  <c r="BY12" i="7"/>
  <c r="CH18" i="7"/>
  <c r="CJ18" i="7" s="1"/>
  <c r="CI18" i="7"/>
  <c r="T12" i="14" s="1"/>
  <c r="BV12" i="7"/>
  <c r="BA18" i="7"/>
  <c r="BC18" i="7"/>
  <c r="BB9" i="7"/>
  <c r="BD9" i="7" s="1"/>
  <c r="AD9" i="7"/>
  <c r="CC9" i="7"/>
  <c r="CA9" i="7"/>
  <c r="X9" i="7"/>
  <c r="Z9" i="7" s="1"/>
  <c r="AY9" i="7"/>
  <c r="BE9" i="7"/>
  <c r="BX5" i="7"/>
  <c r="AV5" i="7"/>
  <c r="BB5" i="7"/>
  <c r="BD5" i="7" s="1"/>
  <c r="BN5" i="7"/>
  <c r="AK12" i="7"/>
  <c r="CH12" i="7"/>
  <c r="CJ12" i="7" s="1"/>
  <c r="AR12" i="7"/>
  <c r="BU19" i="7"/>
  <c r="BQ19" i="7"/>
  <c r="BR19" i="7"/>
  <c r="CH9" i="7"/>
  <c r="CJ9" i="7" s="1"/>
  <c r="CF9" i="7"/>
  <c r="CD9" i="7"/>
  <c r="AK9" i="7"/>
  <c r="R6" i="14" s="1"/>
  <c r="BP9" i="7"/>
  <c r="AQ9" i="7"/>
  <c r="AS9" i="7" s="1"/>
  <c r="AO9" i="7"/>
  <c r="BE5" i="7"/>
  <c r="CI5" i="7"/>
  <c r="AL5" i="7"/>
  <c r="BA12" i="7"/>
  <c r="S12" i="7"/>
  <c r="BI12" i="7"/>
  <c r="S9" i="15" s="1"/>
  <c r="CK19" i="7"/>
  <c r="BX19" i="7"/>
  <c r="AT9" i="7"/>
  <c r="AV9" i="7"/>
  <c r="BK9" i="7"/>
  <c r="BC9" i="7"/>
  <c r="AJ9" i="7"/>
  <c r="O3" i="15" s="1"/>
  <c r="AA9" i="7"/>
  <c r="AC9" i="7" s="1"/>
  <c r="BZ9" i="7"/>
  <c r="CA12" i="7"/>
  <c r="BP12" i="7"/>
  <c r="BI9" i="7"/>
  <c r="BX9" i="7"/>
  <c r="AN9" i="7"/>
  <c r="AF9" i="7"/>
  <c r="AB9" i="7"/>
  <c r="BF9" i="7"/>
  <c r="BR9" i="7"/>
  <c r="CK5" i="7"/>
  <c r="BC5" i="7"/>
  <c r="BM12" i="7"/>
  <c r="AN12" i="7"/>
  <c r="CD19" i="7"/>
  <c r="AF19" i="7"/>
  <c r="BM19" i="7"/>
  <c r="AP9" i="7"/>
  <c r="BV9" i="7"/>
  <c r="BG9" i="7"/>
  <c r="CI9" i="7"/>
  <c r="BT9" i="7"/>
  <c r="CE9" i="7"/>
  <c r="CG9" i="7" s="1"/>
  <c r="AX9" i="7"/>
  <c r="AZ9" i="7" s="1"/>
  <c r="AY12" i="7"/>
  <c r="AM12" i="7"/>
  <c r="BZ7" i="7"/>
  <c r="AM7" i="7"/>
  <c r="N4" i="15" s="1"/>
  <c r="AY19" i="7"/>
  <c r="BF19" i="7"/>
  <c r="BH19" i="7"/>
  <c r="BJ19" i="7"/>
  <c r="CI19" i="7"/>
  <c r="BT19" i="7"/>
  <c r="AB19" i="7"/>
  <c r="CE8" i="7"/>
  <c r="CG8" i="7" s="1"/>
  <c r="AY6" i="7"/>
  <c r="BH6" i="7"/>
  <c r="BZ17" i="7"/>
  <c r="AR6" i="7"/>
  <c r="BR17" i="7"/>
  <c r="BL17" i="7"/>
  <c r="AU17" i="7"/>
  <c r="AW17" i="7" s="1"/>
  <c r="CH8" i="7"/>
  <c r="CJ8" i="7" s="1"/>
  <c r="AK41" i="7"/>
  <c r="F42" i="7"/>
  <c r="AE42" i="7" s="1"/>
  <c r="AI16" i="7"/>
  <c r="AY16" i="7"/>
  <c r="AX16" i="7"/>
  <c r="AZ16" i="7" s="1"/>
  <c r="BO16" i="7"/>
  <c r="S16" i="7"/>
  <c r="CI16" i="7"/>
  <c r="BC16" i="7"/>
  <c r="AT12" i="7"/>
  <c r="BG12" i="7"/>
  <c r="Q9" i="15" s="1"/>
  <c r="BW12" i="7"/>
  <c r="CF12" i="7"/>
  <c r="AM19" i="7"/>
  <c r="BE19" i="7"/>
  <c r="AA19" i="7"/>
  <c r="AC19" i="7" s="1"/>
  <c r="BW19" i="7"/>
  <c r="AK19" i="7"/>
  <c r="S19" i="7"/>
  <c r="AU19" i="7"/>
  <c r="AW19" i="7" s="1"/>
  <c r="BX7" i="7"/>
  <c r="AO7" i="7"/>
  <c r="Q4" i="15" s="1"/>
  <c r="AB7" i="7"/>
  <c r="CE16" i="7"/>
  <c r="CG16" i="7" s="1"/>
  <c r="BZ16" i="7"/>
  <c r="BF16" i="7"/>
  <c r="BN16" i="7"/>
  <c r="CK16" i="7"/>
  <c r="AV16" i="7"/>
  <c r="AT16" i="7"/>
  <c r="CE12" i="7"/>
  <c r="CG12" i="7" s="1"/>
  <c r="BX12" i="7"/>
  <c r="AU12" i="7"/>
  <c r="AW12" i="7" s="1"/>
  <c r="BO19" i="7"/>
  <c r="AE19" i="7"/>
  <c r="AG19" i="7" s="1"/>
  <c r="BL19" i="7"/>
  <c r="AN19" i="7"/>
  <c r="CF19" i="7"/>
  <c r="S12" i="15" s="1"/>
  <c r="BN19" i="7"/>
  <c r="CH19" i="7"/>
  <c r="CJ19" i="7" s="1"/>
  <c r="AT7" i="7"/>
  <c r="BF7" i="7"/>
  <c r="AQ7" i="7"/>
  <c r="AS7" i="7" s="1"/>
  <c r="BB7" i="7"/>
  <c r="BD7" i="7" s="1"/>
  <c r="BR7" i="7"/>
  <c r="AA7" i="7"/>
  <c r="AC7" i="7" s="1"/>
  <c r="AA16" i="7"/>
  <c r="AC16" i="7" s="1"/>
  <c r="AE16" i="7"/>
  <c r="AG16" i="7" s="1"/>
  <c r="AN16" i="7"/>
  <c r="CD16" i="7"/>
  <c r="BH16" i="7"/>
  <c r="BW16" i="7"/>
  <c r="BQ16" i="7"/>
  <c r="BN7" i="7"/>
  <c r="AL7" i="7"/>
  <c r="X7" i="7"/>
  <c r="Z7" i="7" s="1"/>
  <c r="AP8" i="7"/>
  <c r="AP16" i="7"/>
  <c r="AR16" i="7"/>
  <c r="BP16" i="7"/>
  <c r="AJ16" i="7"/>
  <c r="BL16" i="7"/>
  <c r="CA16" i="7"/>
  <c r="AH16" i="7"/>
  <c r="BA16" i="7"/>
  <c r="BC19" i="7"/>
  <c r="AI19" i="7"/>
  <c r="BI19" i="7"/>
  <c r="AR19" i="7"/>
  <c r="Y19" i="7"/>
  <c r="BB19" i="7"/>
  <c r="BD19" i="7" s="1"/>
  <c r="AX7" i="7"/>
  <c r="AZ7" i="7" s="1"/>
  <c r="BY7" i="7"/>
  <c r="S8" i="7"/>
  <c r="BT16" i="7"/>
  <c r="AF16" i="7"/>
  <c r="BJ16" i="7"/>
  <c r="BI16" i="7"/>
  <c r="CC16" i="7"/>
  <c r="BR16" i="7"/>
  <c r="BV16" i="7"/>
  <c r="AK16" i="7"/>
  <c r="AQ12" i="7"/>
  <c r="AS12" i="7" s="1"/>
  <c r="X12" i="7"/>
  <c r="Z12" i="7" s="1"/>
  <c r="BF12" i="7"/>
  <c r="O9" i="15" s="1"/>
  <c r="BG19" i="7"/>
  <c r="BK19" i="7"/>
  <c r="X19" i="7"/>
  <c r="Z19" i="7" s="1"/>
  <c r="CA19" i="7"/>
  <c r="BA19" i="7"/>
  <c r="AJ19" i="7"/>
  <c r="AV19" i="7"/>
  <c r="AE7" i="7"/>
  <c r="AG7" i="7" s="1"/>
  <c r="AR7" i="7"/>
  <c r="BU8" i="7"/>
  <c r="AM16" i="7"/>
  <c r="X16" i="7"/>
  <c r="Z16" i="7" s="1"/>
  <c r="CH16" i="7"/>
  <c r="CJ16" i="7" s="1"/>
  <c r="AB16" i="7"/>
  <c r="AO16" i="7"/>
  <c r="BG16" i="7"/>
  <c r="AP7" i="7"/>
  <c r="R4" i="15" s="1"/>
  <c r="CK7" i="7"/>
  <c r="AJ7" i="7"/>
  <c r="S18" i="7"/>
  <c r="X18" i="7"/>
  <c r="Z18" i="7" s="1"/>
  <c r="AQ18" i="7"/>
  <c r="AS18" i="7" s="1"/>
  <c r="BJ18" i="7"/>
  <c r="BI18" i="7"/>
  <c r="AX18" i="7"/>
  <c r="AZ18" i="7" s="1"/>
  <c r="BK18" i="7"/>
  <c r="BR12" i="7"/>
  <c r="AL12" i="7"/>
  <c r="AD12" i="7"/>
  <c r="BL12" i="7"/>
  <c r="BO12" i="7"/>
  <c r="BB12" i="7"/>
  <c r="BD12" i="7" s="1"/>
  <c r="AI12" i="7"/>
  <c r="BG18" i="7"/>
  <c r="CK18" i="7"/>
  <c r="R12" i="14" s="1"/>
  <c r="AH18" i="7"/>
  <c r="AT18" i="7"/>
  <c r="AK18" i="7"/>
  <c r="AO18" i="7"/>
  <c r="AU18" i="7"/>
  <c r="AW18" i="7" s="1"/>
  <c r="BZ12" i="7"/>
  <c r="CD12" i="7"/>
  <c r="Y12" i="7"/>
  <c r="CK12" i="7"/>
  <c r="AA12" i="7"/>
  <c r="AC12" i="7" s="1"/>
  <c r="BK12" i="7"/>
  <c r="BN12" i="7"/>
  <c r="AO12" i="7"/>
  <c r="BV18" i="7"/>
  <c r="BE18" i="7"/>
  <c r="CC18" i="7"/>
  <c r="BL18" i="7"/>
  <c r="AD18" i="7"/>
  <c r="AR18" i="7"/>
  <c r="AV18" i="7"/>
  <c r="AE18" i="7"/>
  <c r="AG18" i="7" s="1"/>
  <c r="CI12" i="7"/>
  <c r="BH12" i="7"/>
  <c r="S7" i="14" s="1"/>
  <c r="BQ12" i="7"/>
  <c r="BU12" i="7"/>
  <c r="AX12" i="7"/>
  <c r="AZ12" i="7" s="1"/>
  <c r="AJ12" i="7"/>
  <c r="BC12" i="7"/>
  <c r="BM8" i="7"/>
  <c r="AF18" i="7"/>
  <c r="BX18" i="7"/>
  <c r="AA18" i="7"/>
  <c r="AC18" i="7" s="1"/>
  <c r="BZ18" i="7"/>
  <c r="BY18" i="7"/>
  <c r="AB18" i="7"/>
  <c r="CB12" i="7"/>
  <c r="AH12" i="7"/>
  <c r="CC12" i="7"/>
  <c r="AF12" i="7"/>
  <c r="AV12" i="7"/>
  <c r="AE12" i="7"/>
  <c r="AG12" i="7" s="1"/>
  <c r="AD8" i="7"/>
  <c r="AF7" i="7"/>
  <c r="AY8" i="7"/>
  <c r="AF8" i="7"/>
  <c r="BX8" i="7"/>
  <c r="CI8" i="7"/>
  <c r="BA17" i="7"/>
  <c r="BN6" i="7"/>
  <c r="BE6" i="7"/>
  <c r="AQ17" i="7"/>
  <c r="AS17" i="7" s="1"/>
  <c r="AQ6" i="7"/>
  <c r="AS6" i="7" s="1"/>
  <c r="AO6" i="7"/>
  <c r="CH7" i="7"/>
  <c r="CJ7" i="7" s="1"/>
  <c r="BS7" i="7"/>
  <c r="Y7" i="7"/>
  <c r="CA7" i="7"/>
  <c r="BQ7" i="7"/>
  <c r="CE7" i="7"/>
  <c r="CG7" i="7" s="1"/>
  <c r="CB7" i="7"/>
  <c r="AV17" i="7"/>
  <c r="BW17" i="7"/>
  <c r="CH6" i="7"/>
  <c r="CJ6" i="7" s="1"/>
  <c r="BS6" i="7"/>
  <c r="BJ7" i="7"/>
  <c r="BI7" i="7"/>
  <c r="CI7" i="7"/>
  <c r="BE7" i="7"/>
  <c r="BA7" i="7"/>
  <c r="BW7" i="7"/>
  <c r="BT7" i="7"/>
  <c r="CK17" i="7"/>
  <c r="BO17" i="7"/>
  <c r="BC6" i="7"/>
  <c r="AU6" i="7"/>
  <c r="AW6" i="7" s="1"/>
  <c r="AU7" i="7"/>
  <c r="AW7" i="7" s="1"/>
  <c r="S7" i="7"/>
  <c r="BM7" i="7"/>
  <c r="AH7" i="7"/>
  <c r="AK7" i="7"/>
  <c r="BO7" i="7"/>
  <c r="BL7" i="7"/>
  <c r="CA17" i="7"/>
  <c r="BF17" i="7"/>
  <c r="AM6" i="7"/>
  <c r="AD6" i="7"/>
  <c r="Q5" i="15" s="1"/>
  <c r="AD7" i="7"/>
  <c r="CF7" i="7"/>
  <c r="CD7" i="7"/>
  <c r="BV7" i="7"/>
  <c r="BP7" i="7"/>
  <c r="BG7" i="7"/>
  <c r="AV7" i="7"/>
  <c r="BY8" i="7"/>
  <c r="BG8" i="7"/>
  <c r="BS17" i="7"/>
  <c r="AN17" i="7"/>
  <c r="CI6" i="7"/>
  <c r="BQ6" i="7"/>
  <c r="CC7" i="7"/>
  <c r="BU7" i="7"/>
  <c r="BK7" i="7"/>
  <c r="BC7" i="7"/>
  <c r="BH7" i="7"/>
  <c r="AY7" i="7"/>
  <c r="AN7" i="7"/>
  <c r="O4" i="15" s="1"/>
  <c r="AO8" i="7"/>
  <c r="AO17" i="7"/>
  <c r="BC17" i="7"/>
  <c r="BJ17" i="7"/>
  <c r="AH17" i="7"/>
  <c r="BG17" i="7"/>
  <c r="AE17" i="7"/>
  <c r="AG17" i="7" s="1"/>
  <c r="AL17" i="7"/>
  <c r="Y6" i="7"/>
  <c r="AP6" i="7"/>
  <c r="AF6" i="7"/>
  <c r="X6" i="7"/>
  <c r="Z6" i="7" s="1"/>
  <c r="BZ6" i="7"/>
  <c r="BI6" i="7"/>
  <c r="AJ6" i="7"/>
  <c r="P4" i="14" s="1"/>
  <c r="BH17" i="7"/>
  <c r="AT17" i="7"/>
  <c r="BB17" i="7"/>
  <c r="BD17" i="7" s="1"/>
  <c r="CF17" i="7"/>
  <c r="AX17" i="7"/>
  <c r="AZ17" i="7" s="1"/>
  <c r="BU17" i="7"/>
  <c r="AR17" i="7"/>
  <c r="CA6" i="7"/>
  <c r="CB6" i="7"/>
  <c r="BT6" i="7"/>
  <c r="CE6" i="7"/>
  <c r="CG6" i="7" s="1"/>
  <c r="BR6" i="7"/>
  <c r="BA6" i="7"/>
  <c r="AB6" i="7"/>
  <c r="O5" i="15" s="1"/>
  <c r="Y17" i="7"/>
  <c r="AP17" i="7"/>
  <c r="AK17" i="7"/>
  <c r="AI17" i="7"/>
  <c r="BX17" i="7"/>
  <c r="AF17" i="7"/>
  <c r="BE17" i="7"/>
  <c r="AJ17" i="7"/>
  <c r="BY6" i="7"/>
  <c r="BF6" i="7"/>
  <c r="AX6" i="7"/>
  <c r="AZ6" i="7" s="1"/>
  <c r="BL6" i="7"/>
  <c r="BJ6" i="7"/>
  <c r="AK6" i="7"/>
  <c r="R4" i="14" s="1"/>
  <c r="CK6" i="7"/>
  <c r="F40" i="7"/>
  <c r="BX40" i="7" s="1"/>
  <c r="CC17" i="7"/>
  <c r="CH17" i="7"/>
  <c r="CJ17" i="7" s="1"/>
  <c r="BK17" i="7"/>
  <c r="BY17" i="7"/>
  <c r="BP17" i="7"/>
  <c r="CD17" i="7"/>
  <c r="AM17" i="7"/>
  <c r="AB17" i="7"/>
  <c r="S6" i="7"/>
  <c r="AI6" i="7"/>
  <c r="O4" i="14" s="1"/>
  <c r="AA6" i="7"/>
  <c r="AC6" i="7" s="1"/>
  <c r="CD6" i="7"/>
  <c r="BB6" i="7"/>
  <c r="BD6" i="7" s="1"/>
  <c r="CF6" i="7"/>
  <c r="CC6" i="7"/>
  <c r="AD17" i="7"/>
  <c r="X17" i="7"/>
  <c r="Z17" i="7" s="1"/>
  <c r="AA17" i="7"/>
  <c r="AC17" i="7" s="1"/>
  <c r="BQ17" i="7"/>
  <c r="AY17" i="7"/>
  <c r="BV17" i="7"/>
  <c r="CB17" i="7"/>
  <c r="AE6" i="7"/>
  <c r="AG6" i="7" s="1"/>
  <c r="BW6" i="7"/>
  <c r="BO6" i="7"/>
  <c r="BG6" i="7"/>
  <c r="AT6" i="7"/>
  <c r="BX6" i="7"/>
  <c r="BU6" i="7"/>
  <c r="BM17" i="7"/>
  <c r="S17" i="7"/>
  <c r="CI17" i="7"/>
  <c r="BI17" i="7"/>
  <c r="CE17" i="7"/>
  <c r="CG17" i="7" s="1"/>
  <c r="BN17" i="7"/>
  <c r="BK6" i="7"/>
  <c r="AH6" i="7"/>
  <c r="AV6" i="7"/>
  <c r="AN6" i="7"/>
  <c r="AL6" i="7"/>
  <c r="S4" i="14" s="1"/>
  <c r="BP6" i="7"/>
  <c r="AI8" i="7"/>
  <c r="AH8" i="7"/>
  <c r="BC8" i="7"/>
  <c r="AV8" i="7"/>
  <c r="AQ8" i="7"/>
  <c r="AS8" i="7" s="1"/>
  <c r="CK8" i="7"/>
  <c r="X8" i="7"/>
  <c r="Z8" i="7" s="1"/>
  <c r="BS8" i="7"/>
  <c r="BV10" i="7"/>
  <c r="Q10" i="15" s="1"/>
  <c r="AN8" i="7"/>
  <c r="BL8" i="7"/>
  <c r="AR8" i="7"/>
  <c r="BJ8" i="7"/>
  <c r="AB8" i="7"/>
  <c r="BR8" i="7"/>
  <c r="BZ8" i="7"/>
  <c r="AX8" i="7"/>
  <c r="AZ8" i="7" s="1"/>
  <c r="CC8" i="7"/>
  <c r="BQ8" i="7"/>
  <c r="CA8" i="7"/>
  <c r="BK8" i="7"/>
  <c r="BI8" i="7"/>
  <c r="Y8" i="7"/>
  <c r="BE8" i="7"/>
  <c r="AJ8" i="7"/>
  <c r="AY10" i="7"/>
  <c r="BE10" i="7"/>
  <c r="BO10" i="7"/>
  <c r="AJ10" i="7"/>
  <c r="AA8" i="7"/>
  <c r="AC8" i="7" s="1"/>
  <c r="BO8" i="7"/>
  <c r="BT8" i="7"/>
  <c r="CB8" i="7"/>
  <c r="BA8" i="7"/>
  <c r="CD8" i="7"/>
  <c r="AU8" i="7"/>
  <c r="AW8" i="7" s="1"/>
  <c r="AT10" i="7"/>
  <c r="AK8" i="7"/>
  <c r="BV8" i="7"/>
  <c r="AM8" i="7"/>
  <c r="CI10" i="7"/>
  <c r="BW8" i="7"/>
  <c r="BH8" i="7"/>
  <c r="AT8" i="7"/>
  <c r="AL8" i="7"/>
  <c r="CF8" i="7"/>
  <c r="BN8" i="7"/>
  <c r="B29" i="9"/>
  <c r="AE10" i="7"/>
  <c r="AG10" i="7" s="1"/>
  <c r="BM10" i="7"/>
  <c r="BX10" i="7"/>
  <c r="S10" i="15" s="1"/>
  <c r="BI10" i="7"/>
  <c r="AV10" i="7"/>
  <c r="BY10" i="7"/>
  <c r="BA10" i="7"/>
  <c r="AA10" i="7"/>
  <c r="AC10" i="7" s="1"/>
  <c r="AI10" i="7"/>
  <c r="CE10" i="7"/>
  <c r="CG10" i="7" s="1"/>
  <c r="AD10" i="7"/>
  <c r="AB10" i="7"/>
  <c r="BN10" i="7"/>
  <c r="AO10" i="7"/>
  <c r="CB10" i="7"/>
  <c r="CK10" i="7"/>
  <c r="BB10" i="7"/>
  <c r="BD10" i="7" s="1"/>
  <c r="BS10" i="7"/>
  <c r="CF10" i="7"/>
  <c r="CA10" i="7"/>
  <c r="BC10" i="7"/>
  <c r="Y10" i="7"/>
  <c r="AQ10" i="7"/>
  <c r="AS10" i="7" s="1"/>
  <c r="AL10" i="7"/>
  <c r="S10" i="7"/>
  <c r="AN10" i="7"/>
  <c r="CD10" i="7"/>
  <c r="BQ10" i="7"/>
  <c r="AH10" i="7"/>
  <c r="X10" i="7"/>
  <c r="Z10" i="7" s="1"/>
  <c r="BR10" i="7"/>
  <c r="BK10" i="7"/>
  <c r="CC10" i="7"/>
  <c r="BP10" i="7"/>
  <c r="BZ10" i="7"/>
  <c r="BF10" i="7"/>
  <c r="BL10" i="7"/>
  <c r="CH10" i="7"/>
  <c r="CJ10" i="7" s="1"/>
  <c r="BU10" i="7"/>
  <c r="O10" i="15" s="1"/>
  <c r="BH10" i="7"/>
  <c r="AM10" i="7"/>
  <c r="AX10" i="7"/>
  <c r="AZ10" i="7" s="1"/>
  <c r="AU10" i="7"/>
  <c r="AW10" i="7" s="1"/>
  <c r="AR10" i="7"/>
  <c r="BB8" i="7"/>
  <c r="BD8" i="7" s="1"/>
  <c r="BP8" i="7"/>
  <c r="BF8" i="7"/>
  <c r="AP10" i="7"/>
  <c r="BW10" i="7"/>
  <c r="U11" i="14" s="1"/>
  <c r="BG10" i="7"/>
  <c r="BJ10" i="7"/>
  <c r="BT10" i="7"/>
  <c r="N10" i="15" s="1"/>
  <c r="AK10" i="7"/>
  <c r="AU57" i="7"/>
  <c r="C8" i="2"/>
  <c r="C15" i="2"/>
  <c r="S57" i="7"/>
  <c r="C16" i="2"/>
  <c r="C9" i="2"/>
  <c r="C6" i="2"/>
  <c r="C7" i="2"/>
  <c r="C14" i="2"/>
  <c r="S56" i="7"/>
  <c r="S41" i="7"/>
  <c r="F14" i="23"/>
  <c r="Q14" i="23" s="1"/>
  <c r="C12" i="2"/>
  <c r="F10" i="23"/>
  <c r="Q10" i="23" s="1"/>
  <c r="C17" i="2"/>
  <c r="F12" i="23"/>
  <c r="Q12" i="23" s="1"/>
  <c r="C19" i="2"/>
  <c r="F11" i="23"/>
  <c r="Q11" i="23" s="1"/>
  <c r="C18" i="2"/>
  <c r="F9" i="23"/>
  <c r="Q9" i="23" s="1"/>
  <c r="C10" i="2"/>
  <c r="F15" i="23"/>
  <c r="Q15" i="23" s="1"/>
  <c r="C13" i="2"/>
  <c r="F13" i="23"/>
  <c r="Q13" i="23" s="1"/>
  <c r="C20" i="2"/>
  <c r="AT57" i="7"/>
  <c r="AV57" i="7" s="1"/>
  <c r="AD57" i="7"/>
  <c r="Q57" i="7"/>
  <c r="BE56" i="7"/>
  <c r="S40" i="7"/>
  <c r="BZ57" i="7"/>
  <c r="AF57" i="7"/>
  <c r="Z57" i="7"/>
  <c r="BU57" i="7"/>
  <c r="BW57" i="7"/>
  <c r="AA57" i="7"/>
  <c r="AC57" i="7" s="1"/>
  <c r="CG57" i="7"/>
  <c r="BP57" i="7"/>
  <c r="CB57" i="7"/>
  <c r="AY57" i="7"/>
  <c r="CE57" i="7"/>
  <c r="AX57" i="7"/>
  <c r="AZ57" i="7" s="1"/>
  <c r="BS57" i="7"/>
  <c r="AK10" i="12"/>
  <c r="AK2" i="12" s="1"/>
  <c r="BA57" i="7"/>
  <c r="BO57" i="7"/>
  <c r="AI57" i="7"/>
  <c r="X11" i="16"/>
  <c r="AB57" i="7"/>
  <c r="P16" i="21"/>
  <c r="O19" i="21"/>
  <c r="O21" i="21"/>
  <c r="O18" i="21"/>
  <c r="O20" i="21"/>
  <c r="X10" i="18"/>
  <c r="X10" i="17"/>
  <c r="AG57" i="7"/>
  <c r="B32" i="21"/>
  <c r="P19" i="10"/>
  <c r="P20" i="10" s="1"/>
  <c r="Y3" i="10"/>
  <c r="W18" i="10" s="1"/>
  <c r="W19" i="10" s="1"/>
  <c r="W20" i="10" s="1"/>
  <c r="AR57" i="7"/>
  <c r="BY57" i="7"/>
  <c r="BD57" i="7"/>
  <c r="AW57" i="7"/>
  <c r="AE57" i="7"/>
  <c r="BG57" i="7"/>
  <c r="BT57" i="7"/>
  <c r="AH57" i="7"/>
  <c r="BM57" i="7"/>
  <c r="X57" i="7"/>
  <c r="AJ57" i="7"/>
  <c r="AM57" i="7"/>
  <c r="AO57" i="7" s="1"/>
  <c r="BE57" i="7"/>
  <c r="BX57" i="7"/>
  <c r="BR57" i="7"/>
  <c r="AP57" i="7"/>
  <c r="W57" i="7"/>
  <c r="Y57" i="7" s="1"/>
  <c r="AN57" i="7"/>
  <c r="CD57" i="7"/>
  <c r="CF57" i="7" s="1"/>
  <c r="AQ57" i="7"/>
  <c r="AS57" i="7" s="1"/>
  <c r="BC57" i="7"/>
  <c r="BH57" i="7"/>
  <c r="BQ57" i="7"/>
  <c r="BF57" i="7"/>
  <c r="BR3" i="7"/>
  <c r="BQ3" i="7"/>
  <c r="CH3" i="7"/>
  <c r="CJ3" i="7" s="1"/>
  <c r="X3" i="7"/>
  <c r="O3" i="14" s="1"/>
  <c r="AL3" i="7"/>
  <c r="AR3" i="7"/>
  <c r="BB3" i="7"/>
  <c r="BD3" i="7" s="1"/>
  <c r="AO3" i="7"/>
  <c r="AT3" i="7"/>
  <c r="BX3" i="7"/>
  <c r="BI3" i="7"/>
  <c r="BL3" i="7"/>
  <c r="AD3" i="7"/>
  <c r="BA3" i="7"/>
  <c r="CC3" i="7"/>
  <c r="AX3" i="7"/>
  <c r="AZ3" i="7" s="1"/>
  <c r="AV3" i="7"/>
  <c r="AK3" i="7"/>
  <c r="BP3" i="7"/>
  <c r="Y3" i="7"/>
  <c r="P3" i="14" s="1"/>
  <c r="BY3" i="7"/>
  <c r="AP3" i="7"/>
  <c r="BT3" i="7"/>
  <c r="S3" i="7"/>
  <c r="BJ3" i="7"/>
  <c r="BK3" i="7"/>
  <c r="BE3" i="7"/>
  <c r="X8" i="17"/>
  <c r="CF3" i="7"/>
  <c r="AA3" i="7"/>
  <c r="AC3" i="7" s="1"/>
  <c r="AN3" i="7"/>
  <c r="BF3" i="7"/>
  <c r="BW3" i="7"/>
  <c r="BG3" i="7"/>
  <c r="AQ3" i="7"/>
  <c r="AS3" i="7" s="1"/>
  <c r="F37" i="7"/>
  <c r="AW37" i="7" s="1"/>
  <c r="CK3" i="7"/>
  <c r="CD3" i="7"/>
  <c r="AB3" i="7"/>
  <c r="BZ3" i="7"/>
  <c r="BU3" i="7"/>
  <c r="BC3" i="7"/>
  <c r="AU3" i="7"/>
  <c r="AW3" i="7" s="1"/>
  <c r="AY3" i="7"/>
  <c r="AE3" i="7"/>
  <c r="AG3" i="7" s="1"/>
  <c r="CA3" i="7"/>
  <c r="BS3" i="7"/>
  <c r="AI3" i="7"/>
  <c r="AM3" i="7"/>
  <c r="CI3" i="7"/>
  <c r="BH3" i="7"/>
  <c r="CE3" i="7"/>
  <c r="CG3" i="7" s="1"/>
  <c r="BV3" i="7"/>
  <c r="CB3" i="7"/>
  <c r="BN3" i="7"/>
  <c r="BO3" i="7"/>
  <c r="AJ3" i="7"/>
  <c r="AF3" i="7"/>
  <c r="AH3" i="7"/>
  <c r="F43" i="7"/>
  <c r="U43" i="7" s="1"/>
  <c r="F54" i="7"/>
  <c r="CE54" i="7" s="1"/>
  <c r="F7" i="23"/>
  <c r="Q7" i="23" s="1"/>
  <c r="F6" i="23"/>
  <c r="Q6" i="23" s="1"/>
  <c r="F8" i="23"/>
  <c r="Q8" i="23" s="1"/>
  <c r="F46" i="7"/>
  <c r="AK46" i="7" s="1"/>
  <c r="F44" i="7"/>
  <c r="AE44" i="7" s="1"/>
  <c r="F45" i="7"/>
  <c r="CA45" i="7" s="1"/>
  <c r="CC45" i="7" s="1"/>
  <c r="R3" i="9"/>
  <c r="Y2" i="23"/>
  <c r="F4" i="23"/>
  <c r="Q4" i="23" s="1"/>
  <c r="D16" i="16"/>
  <c r="D7" i="16"/>
  <c r="F5" i="23"/>
  <c r="Q5" i="23" s="1"/>
  <c r="P57" i="7"/>
  <c r="AQ9" i="12"/>
  <c r="AQ23" i="12" s="1"/>
  <c r="AQ11" i="12"/>
  <c r="AQ25" i="12" s="1"/>
  <c r="BO56" i="7"/>
  <c r="CG56" i="7"/>
  <c r="W3" i="14"/>
  <c r="AQ20" i="12"/>
  <c r="BB57" i="7"/>
  <c r="BV57" i="7"/>
  <c r="BL57" i="7"/>
  <c r="C37" i="21"/>
  <c r="C38" i="21"/>
  <c r="C39" i="21"/>
  <c r="X15" i="16"/>
  <c r="X6" i="17"/>
  <c r="X4" i="17"/>
  <c r="X12" i="16"/>
  <c r="X10" i="19"/>
  <c r="X12" i="19"/>
  <c r="X11" i="19"/>
  <c r="X5" i="17"/>
  <c r="X9" i="17"/>
  <c r="Q3" i="9"/>
  <c r="W16" i="22"/>
  <c r="Q2" i="9"/>
  <c r="W15" i="22"/>
  <c r="AQ13" i="12"/>
  <c r="AQ27" i="12" s="1"/>
  <c r="V12" i="15"/>
  <c r="AL57" i="7"/>
  <c r="S38" i="7"/>
  <c r="AL9" i="12"/>
  <c r="AL24" i="12" s="1"/>
  <c r="AL16" i="12" s="1"/>
  <c r="R51" i="7"/>
  <c r="W14" i="10"/>
  <c r="D12" i="20"/>
  <c r="D5" i="17"/>
  <c r="D23" i="16"/>
  <c r="C56" i="7"/>
  <c r="Z6" i="18"/>
  <c r="D10" i="16"/>
  <c r="D14" i="19"/>
  <c r="Z8" i="18"/>
  <c r="D6" i="19"/>
  <c r="Y9" i="18"/>
  <c r="AR6" i="12"/>
  <c r="W16" i="10"/>
  <c r="W17" i="10" s="1"/>
  <c r="Q10" i="10"/>
  <c r="X10" i="10" s="1"/>
  <c r="Q5" i="10"/>
  <c r="X5" i="10" s="1"/>
  <c r="S3" i="10"/>
  <c r="J3" i="10"/>
  <c r="AJ9" i="12"/>
  <c r="AJ2" i="12" s="1"/>
  <c r="P14" i="10"/>
  <c r="BI4" i="7"/>
  <c r="CI4" i="7"/>
  <c r="BA4" i="7"/>
  <c r="D6" i="18"/>
  <c r="BK4" i="7"/>
  <c r="CH4" i="7"/>
  <c r="CJ4" i="7" s="1"/>
  <c r="AK4" i="7"/>
  <c r="BP4" i="7"/>
  <c r="BC4" i="7"/>
  <c r="BR4" i="7"/>
  <c r="BH4" i="7"/>
  <c r="BS4" i="7"/>
  <c r="AU4" i="7"/>
  <c r="AW4" i="7" s="1"/>
  <c r="AL4" i="7"/>
  <c r="AR4" i="7"/>
  <c r="AM4" i="7"/>
  <c r="AJ4" i="7"/>
  <c r="AE4" i="7"/>
  <c r="AG4" i="7" s="1"/>
  <c r="BY4" i="7"/>
  <c r="AB4" i="7"/>
  <c r="D10" i="17"/>
  <c r="D21" i="17"/>
  <c r="E4" i="12"/>
  <c r="Q4" i="12" s="1"/>
  <c r="D8" i="20"/>
  <c r="C3" i="7"/>
  <c r="C37" i="7" s="1"/>
  <c r="D17" i="16"/>
  <c r="D4" i="20"/>
  <c r="D14" i="18"/>
  <c r="D21" i="16"/>
  <c r="D15" i="17"/>
  <c r="D18" i="17"/>
  <c r="D12" i="19"/>
  <c r="D4" i="19"/>
  <c r="D8" i="16"/>
  <c r="D4" i="18"/>
  <c r="D11" i="17"/>
  <c r="D13" i="16"/>
  <c r="D7" i="17"/>
  <c r="D19" i="16"/>
  <c r="D24" i="16"/>
  <c r="D6" i="20"/>
  <c r="D13" i="18"/>
  <c r="Q7" i="10"/>
  <c r="CE56" i="7"/>
  <c r="AP56" i="7"/>
  <c r="AR5" i="12"/>
  <c r="AT19" i="12"/>
  <c r="AT5" i="12"/>
  <c r="R46" i="7"/>
  <c r="T41" i="7"/>
  <c r="V41" i="7" s="1"/>
  <c r="U41" i="7"/>
  <c r="R54" i="7"/>
  <c r="O42" i="7"/>
  <c r="BO41" i="7"/>
  <c r="AQ41" i="7"/>
  <c r="AS41" i="7" s="1"/>
  <c r="CB41" i="7"/>
  <c r="BE41" i="7"/>
  <c r="O41" i="7"/>
  <c r="AL41" i="7" s="1"/>
  <c r="BY41" i="7"/>
  <c r="AX41" i="7"/>
  <c r="AZ41" i="7" s="1"/>
  <c r="BT41" i="7"/>
  <c r="BJ41" i="7"/>
  <c r="D8" i="19"/>
  <c r="D11" i="18"/>
  <c r="D15" i="16"/>
  <c r="D5" i="20"/>
  <c r="D9" i="17"/>
  <c r="C54" i="7"/>
  <c r="AQ21" i="12"/>
  <c r="AQ2" i="12"/>
  <c r="AQ19" i="12"/>
  <c r="D25" i="16"/>
  <c r="D22" i="17"/>
  <c r="C57" i="7"/>
  <c r="J12" i="15"/>
  <c r="K13" i="14"/>
  <c r="N53" i="7"/>
  <c r="Q46" i="7"/>
  <c r="W8" i="15"/>
  <c r="X9" i="14"/>
  <c r="F38" i="7"/>
  <c r="AQ38" i="7" s="1"/>
  <c r="AS38" i="7" s="1"/>
  <c r="CB4" i="7"/>
  <c r="BT4" i="7"/>
  <c r="BL4" i="7"/>
  <c r="AN4" i="7"/>
  <c r="AF4" i="7"/>
  <c r="CA4" i="7"/>
  <c r="BZ4" i="7"/>
  <c r="BJ4" i="7"/>
  <c r="BB4" i="7"/>
  <c r="BD4" i="7" s="1"/>
  <c r="AT4" i="7"/>
  <c r="AD4" i="7"/>
  <c r="CF4" i="7"/>
  <c r="BX4" i="7"/>
  <c r="BV4" i="7"/>
  <c r="AY4" i="7"/>
  <c r="BU4" i="7"/>
  <c r="AX4" i="7"/>
  <c r="AZ4" i="7" s="1"/>
  <c r="AA4" i="7"/>
  <c r="AC4" i="7" s="1"/>
  <c r="BO4" i="7"/>
  <c r="CK4" i="7"/>
  <c r="BN4" i="7"/>
  <c r="AQ4" i="7"/>
  <c r="AS4" i="7" s="1"/>
  <c r="Y4" i="7"/>
  <c r="CE4" i="7"/>
  <c r="CG4" i="7" s="1"/>
  <c r="BM4" i="7"/>
  <c r="CD4" i="7"/>
  <c r="BG4" i="7"/>
  <c r="AI4" i="7"/>
  <c r="AH4" i="7"/>
  <c r="BF4" i="7"/>
  <c r="BE4" i="7"/>
  <c r="CC4" i="7"/>
  <c r="BW4" i="7"/>
  <c r="S12" i="10"/>
  <c r="Z12" i="10" s="1"/>
  <c r="O48" i="7"/>
  <c r="AQ56" i="7"/>
  <c r="AS56" i="7" s="1"/>
  <c r="V10" i="15"/>
  <c r="W11" i="14"/>
  <c r="O44" i="7"/>
  <c r="BP41" i="7"/>
  <c r="AJ41" i="7"/>
  <c r="AB41" i="7"/>
  <c r="BG41" i="7"/>
  <c r="AI41" i="7"/>
  <c r="AA41" i="7"/>
  <c r="AC41" i="7" s="1"/>
  <c r="BF41" i="7"/>
  <c r="BQ41" i="7"/>
  <c r="AU41" i="7"/>
  <c r="AT41" i="7"/>
  <c r="AV41" i="7" s="1"/>
  <c r="X41" i="7"/>
  <c r="W41" i="7"/>
  <c r="Y41" i="7" s="1"/>
  <c r="BV41" i="7"/>
  <c r="BL41" i="7"/>
  <c r="BB41" i="7"/>
  <c r="AF41" i="7"/>
  <c r="BA41" i="7"/>
  <c r="BU41" i="7"/>
  <c r="R41" i="7"/>
  <c r="AN41" i="7"/>
  <c r="BK41" i="7"/>
  <c r="AM41" i="7"/>
  <c r="AO41" i="7" s="1"/>
  <c r="AE41" i="7"/>
  <c r="W5" i="15"/>
  <c r="X4" i="14"/>
  <c r="W9" i="15"/>
  <c r="X7" i="14"/>
  <c r="O45" i="7"/>
  <c r="O55" i="7"/>
  <c r="N55" i="7"/>
  <c r="S55" i="7" s="1"/>
  <c r="O37" i="7"/>
  <c r="AR41" i="7"/>
  <c r="CE41" i="7"/>
  <c r="AY41" i="7"/>
  <c r="P41" i="7"/>
  <c r="CD41" i="7"/>
  <c r="CF41" i="7" s="1"/>
  <c r="Q41" i="7"/>
  <c r="D13" i="20"/>
  <c r="D10" i="19"/>
  <c r="D6" i="17"/>
  <c r="D14" i="16"/>
  <c r="D10" i="18"/>
  <c r="AP4" i="7"/>
  <c r="D11" i="20"/>
  <c r="D4" i="17"/>
  <c r="D9" i="18"/>
  <c r="D11" i="19"/>
  <c r="D12" i="16"/>
  <c r="F48" i="7"/>
  <c r="AX48" i="7" s="1"/>
  <c r="AZ48" i="7" s="1"/>
  <c r="R5" i="14"/>
  <c r="J11" i="15"/>
  <c r="N45" i="7"/>
  <c r="Q45" i="7" s="1"/>
  <c r="W11" i="15"/>
  <c r="B33" i="21"/>
  <c r="BR56" i="7"/>
  <c r="X13" i="17"/>
  <c r="S13" i="10"/>
  <c r="Z13" i="10" s="1"/>
  <c r="AY56" i="7"/>
  <c r="BY56" i="7"/>
  <c r="BZ56" i="7"/>
  <c r="O54" i="7"/>
  <c r="O38" i="7"/>
  <c r="BD56" i="7"/>
  <c r="BS56" i="7"/>
  <c r="BI56" i="7"/>
  <c r="BX56" i="7"/>
  <c r="AH56" i="7"/>
  <c r="BN56" i="7"/>
  <c r="O43" i="7"/>
  <c r="O46" i="7"/>
  <c r="V5" i="15"/>
  <c r="W4" i="14"/>
  <c r="U5" i="15"/>
  <c r="V4" i="14"/>
  <c r="Q39" i="7"/>
  <c r="U4" i="15"/>
  <c r="D3" i="9"/>
  <c r="W7" i="14"/>
  <c r="V9" i="15"/>
  <c r="J3" i="15"/>
  <c r="N43" i="7"/>
  <c r="R43" i="7" s="1"/>
  <c r="K6" i="14"/>
  <c r="K8" i="14"/>
  <c r="N49" i="7"/>
  <c r="Q49" i="7" s="1"/>
  <c r="W8" i="14"/>
  <c r="X8" i="14"/>
  <c r="E30" i="21"/>
  <c r="F30" i="21" s="1"/>
  <c r="D31" i="21"/>
  <c r="X5" i="16"/>
  <c r="S8" i="10"/>
  <c r="Z8" i="10" s="1"/>
  <c r="P56" i="7"/>
  <c r="BJ56" i="7"/>
  <c r="BC56" i="7"/>
  <c r="CA41" i="7"/>
  <c r="CC41" i="7" s="1"/>
  <c r="T57" i="7"/>
  <c r="V57" i="7" s="1"/>
  <c r="U57" i="7"/>
  <c r="Q38" i="7"/>
  <c r="R39" i="7"/>
  <c r="Q52" i="7"/>
  <c r="O52" i="7"/>
  <c r="BU56" i="7"/>
  <c r="BL56" i="7"/>
  <c r="AN56" i="7"/>
  <c r="AF56" i="7"/>
  <c r="X56" i="7"/>
  <c r="BK56" i="7"/>
  <c r="AU56" i="7"/>
  <c r="AM56" i="7"/>
  <c r="AO56" i="7" s="1"/>
  <c r="AE56" i="7"/>
  <c r="W56" i="7"/>
  <c r="Y56" i="7" s="1"/>
  <c r="BB56" i="7"/>
  <c r="AT56" i="7"/>
  <c r="AV56" i="7" s="1"/>
  <c r="BQ56" i="7"/>
  <c r="BA56" i="7"/>
  <c r="BF56" i="7"/>
  <c r="AI56" i="7"/>
  <c r="BV56" i="7"/>
  <c r="AB56" i="7"/>
  <c r="BP56" i="7"/>
  <c r="AA56" i="7"/>
  <c r="AC56" i="7" s="1"/>
  <c r="R56" i="7"/>
  <c r="BG56" i="7"/>
  <c r="AJ56" i="7"/>
  <c r="X12" i="9"/>
  <c r="Y12" i="9" s="1"/>
  <c r="F50" i="7"/>
  <c r="AD50" i="7" s="1"/>
  <c r="X3" i="14"/>
  <c r="W2" i="15"/>
  <c r="B40" i="21"/>
  <c r="X14" i="18"/>
  <c r="AO14" i="12"/>
  <c r="AO28" i="12" s="1"/>
  <c r="AN28" i="12"/>
  <c r="AN24" i="12"/>
  <c r="AO10" i="12"/>
  <c r="AO24" i="12" s="1"/>
  <c r="CD56" i="7"/>
  <c r="CF56" i="7" s="1"/>
  <c r="AK56" i="7"/>
  <c r="BH56" i="7"/>
  <c r="AL56" i="7"/>
  <c r="AG56" i="7"/>
  <c r="U56" i="7"/>
  <c r="T56" i="7"/>
  <c r="V56" i="7" s="1"/>
  <c r="O49" i="7"/>
  <c r="BH41" i="7"/>
  <c r="BW41" i="7"/>
  <c r="BR41" i="7"/>
  <c r="Z41" i="7"/>
  <c r="BZ41" i="7"/>
  <c r="BM41" i="7"/>
  <c r="BC41" i="7"/>
  <c r="AG41" i="7"/>
  <c r="AP41" i="7"/>
  <c r="AW41" i="7"/>
  <c r="AD41" i="7"/>
  <c r="CG41" i="7"/>
  <c r="O39" i="7"/>
  <c r="V11" i="15"/>
  <c r="CA56" i="7"/>
  <c r="CC56" i="7" s="1"/>
  <c r="S37" i="7"/>
  <c r="Q40" i="7"/>
  <c r="S4" i="7"/>
  <c r="D22" i="16"/>
  <c r="D19" i="17"/>
  <c r="C55" i="7"/>
  <c r="R37" i="7"/>
  <c r="D20" i="16"/>
  <c r="D9" i="19"/>
  <c r="D4" i="16"/>
  <c r="D8" i="18"/>
  <c r="D14" i="17"/>
  <c r="D14" i="20"/>
  <c r="Y2" i="19"/>
  <c r="AO4" i="7"/>
  <c r="F52" i="7"/>
  <c r="AH52" i="7" s="1"/>
  <c r="F55" i="7"/>
  <c r="BY55" i="7" s="1"/>
  <c r="K5" i="14"/>
  <c r="N48" i="7"/>
  <c r="R48" i="7" s="1"/>
  <c r="W5" i="14"/>
  <c r="O40" i="7"/>
  <c r="X2" i="20"/>
  <c r="Z2" i="20" s="1"/>
  <c r="AN16" i="12"/>
  <c r="AR56" i="7"/>
  <c r="AX56" i="7"/>
  <c r="AZ56" i="7" s="1"/>
  <c r="X13" i="16"/>
  <c r="AN27" i="12"/>
  <c r="AO13" i="12"/>
  <c r="AO27" i="12" s="1"/>
  <c r="BT56" i="7"/>
  <c r="Z56" i="7"/>
  <c r="AW56" i="7"/>
  <c r="AS21" i="12"/>
  <c r="AS16" i="12" s="1"/>
  <c r="AS2" i="12"/>
  <c r="S9" i="10"/>
  <c r="Z9" i="10" s="1"/>
  <c r="U3" i="15"/>
  <c r="V6" i="14"/>
  <c r="Q37" i="7"/>
  <c r="O53" i="7"/>
  <c r="R40" i="7"/>
  <c r="AK57" i="7"/>
  <c r="BK57" i="7"/>
  <c r="BJ57" i="7"/>
  <c r="BI57" i="7"/>
  <c r="X5" i="14"/>
  <c r="X4" i="7"/>
  <c r="Z4" i="7" s="1"/>
  <c r="J8" i="15"/>
  <c r="K9" i="14"/>
  <c r="N47" i="7"/>
  <c r="R47" i="7" s="1"/>
  <c r="D5" i="19"/>
  <c r="D10" i="20"/>
  <c r="D12" i="17"/>
  <c r="D5" i="18"/>
  <c r="D5" i="16"/>
  <c r="D2" i="9"/>
  <c r="J10" i="15"/>
  <c r="K11" i="14"/>
  <c r="N44" i="7"/>
  <c r="Q44" i="7" s="1"/>
  <c r="F53" i="7"/>
  <c r="BA53" i="7" s="1"/>
  <c r="D7" i="19"/>
  <c r="D9" i="16"/>
  <c r="D7" i="18"/>
  <c r="D9" i="20"/>
  <c r="D13" i="17"/>
  <c r="AV4" i="7"/>
  <c r="BX41" i="7"/>
  <c r="BN41" i="7"/>
  <c r="BD41" i="7"/>
  <c r="AH41" i="7"/>
  <c r="BS41" i="7"/>
  <c r="BI41" i="7"/>
  <c r="B37" i="21"/>
  <c r="B38" i="21"/>
  <c r="S6" i="10"/>
  <c r="Z6" i="10" s="1"/>
  <c r="C40" i="21"/>
  <c r="C25" i="21"/>
  <c r="C29" i="21" s="1"/>
  <c r="C31" i="21" s="1"/>
  <c r="X10" i="16"/>
  <c r="CB56" i="7"/>
  <c r="BW56" i="7"/>
  <c r="BM56" i="7"/>
  <c r="O51" i="7"/>
  <c r="P16" i="10"/>
  <c r="P17" i="10" s="1"/>
  <c r="P21" i="10" s="1"/>
  <c r="R52" i="7"/>
  <c r="Q51" i="7"/>
  <c r="P5" i="14"/>
  <c r="O47" i="7"/>
  <c r="F51" i="7"/>
  <c r="BR51" i="7" s="1"/>
  <c r="D13" i="19"/>
  <c r="D7" i="20"/>
  <c r="D8" i="17"/>
  <c r="D11" i="16"/>
  <c r="D12" i="18"/>
  <c r="D17" i="17"/>
  <c r="D18" i="16"/>
  <c r="F47" i="7"/>
  <c r="AW47" i="7" s="1"/>
  <c r="N50" i="7"/>
  <c r="Q50" i="7" s="1"/>
  <c r="D6" i="16"/>
  <c r="D16" i="17"/>
  <c r="E5" i="12"/>
  <c r="Q5" i="12" s="1"/>
  <c r="C4" i="7"/>
  <c r="C38" i="7" s="1"/>
  <c r="F49" i="7"/>
  <c r="BM49" i="7" s="1"/>
  <c r="F9" i="9" l="1"/>
  <c r="E9" i="9"/>
  <c r="AK25" i="12"/>
  <c r="AK16" i="12" s="1"/>
  <c r="U20" i="22"/>
  <c r="U27" i="22"/>
  <c r="U25" i="22"/>
  <c r="U24" i="22"/>
  <c r="U23" i="22"/>
  <c r="U21" i="22"/>
  <c r="F4" i="9"/>
  <c r="F16" i="9"/>
  <c r="AO16" i="12"/>
  <c r="F17" i="9"/>
  <c r="F6" i="9"/>
  <c r="D28" i="9" s="1"/>
  <c r="J28" i="9" s="1"/>
  <c r="E6" i="9"/>
  <c r="C28" i="9" s="1"/>
  <c r="I28" i="9" s="1"/>
  <c r="AK39" i="7"/>
  <c r="F8" i="9"/>
  <c r="D31" i="9" s="1"/>
  <c r="E11" i="9"/>
  <c r="E8" i="9"/>
  <c r="C31" i="9" s="1"/>
  <c r="F15" i="9"/>
  <c r="E15" i="9"/>
  <c r="F7" i="9"/>
  <c r="E7" i="9"/>
  <c r="E14" i="9"/>
  <c r="F14" i="9"/>
  <c r="E5" i="9"/>
  <c r="C27" i="9" s="1"/>
  <c r="I27" i="9" s="1"/>
  <c r="F5" i="9"/>
  <c r="D27" i="9" s="1"/>
  <c r="J27" i="9" s="1"/>
  <c r="E18" i="9"/>
  <c r="F18" i="9"/>
  <c r="E10" i="9"/>
  <c r="C30" i="9" s="1"/>
  <c r="F10" i="9"/>
  <c r="D30" i="9" s="1"/>
  <c r="J30" i="9" s="1"/>
  <c r="BR39" i="7"/>
  <c r="BZ39" i="7"/>
  <c r="BJ39" i="7"/>
  <c r="BQ39" i="7"/>
  <c r="P39" i="7"/>
  <c r="AF39" i="7"/>
  <c r="AA39" i="7"/>
  <c r="AC39" i="7" s="1"/>
  <c r="BI39" i="7"/>
  <c r="U39" i="7"/>
  <c r="BC39" i="7"/>
  <c r="BY39" i="7"/>
  <c r="AI39" i="7"/>
  <c r="AP39" i="7"/>
  <c r="BL39" i="7"/>
  <c r="BW39" i="7"/>
  <c r="X39" i="7"/>
  <c r="CD39" i="7"/>
  <c r="CF39" i="7" s="1"/>
  <c r="BH39" i="7"/>
  <c r="AU39" i="7"/>
  <c r="AL39" i="7"/>
  <c r="CB39" i="7"/>
  <c r="BV39" i="7"/>
  <c r="AG39" i="7"/>
  <c r="BB39" i="7"/>
  <c r="CE39" i="7"/>
  <c r="Z39" i="7"/>
  <c r="BO39" i="7"/>
  <c r="T39" i="7"/>
  <c r="V39" i="7" s="1"/>
  <c r="AT39" i="7"/>
  <c r="AV39" i="7" s="1"/>
  <c r="BF39" i="7"/>
  <c r="BA39" i="7"/>
  <c r="BX39" i="7"/>
  <c r="AD39" i="7"/>
  <c r="CG39" i="7"/>
  <c r="BT39" i="7"/>
  <c r="AM39" i="7"/>
  <c r="AO39" i="7" s="1"/>
  <c r="AE39" i="7"/>
  <c r="BG39" i="7"/>
  <c r="AY39" i="7"/>
  <c r="BD39" i="7"/>
  <c r="CA39" i="7"/>
  <c r="CC39" i="7" s="1"/>
  <c r="AW39" i="7"/>
  <c r="AX39" i="7"/>
  <c r="AZ39" i="7" s="1"/>
  <c r="BK39" i="7"/>
  <c r="BU39" i="7"/>
  <c r="AJ39" i="7"/>
  <c r="AR39" i="7"/>
  <c r="AH39" i="7"/>
  <c r="BE39" i="7"/>
  <c r="AN39" i="7"/>
  <c r="AB39" i="7"/>
  <c r="BS39" i="7"/>
  <c r="BM39" i="7"/>
  <c r="AQ39" i="7"/>
  <c r="AS39" i="7" s="1"/>
  <c r="W39" i="7"/>
  <c r="Y39" i="7" s="1"/>
  <c r="BP39" i="7"/>
  <c r="X2" i="18"/>
  <c r="B30" i="9"/>
  <c r="H30" i="9" s="1"/>
  <c r="S13" i="14"/>
  <c r="U13" i="14" s="1"/>
  <c r="BZ42" i="7"/>
  <c r="U42" i="7"/>
  <c r="CE42" i="7"/>
  <c r="BD42" i="7"/>
  <c r="AK42" i="7"/>
  <c r="AG42" i="7"/>
  <c r="AQ42" i="7"/>
  <c r="AS42" i="7" s="1"/>
  <c r="AW42" i="7"/>
  <c r="BJ42" i="7"/>
  <c r="BH42" i="7"/>
  <c r="AD42" i="7"/>
  <c r="BI42" i="7"/>
  <c r="BT42" i="7"/>
  <c r="AL42" i="7"/>
  <c r="P42" i="7"/>
  <c r="AN42" i="7"/>
  <c r="AR42" i="7"/>
  <c r="AP42" i="7"/>
  <c r="BR42" i="7"/>
  <c r="AH42" i="7"/>
  <c r="AX42" i="7"/>
  <c r="AZ42" i="7" s="1"/>
  <c r="W42" i="7"/>
  <c r="Y42" i="7" s="1"/>
  <c r="BK42" i="7"/>
  <c r="BP42" i="7"/>
  <c r="AJ42" i="7"/>
  <c r="AT42" i="7"/>
  <c r="AV42" i="7" s="1"/>
  <c r="BG42" i="7"/>
  <c r="AM42" i="7"/>
  <c r="AO42" i="7" s="1"/>
  <c r="AF42" i="7"/>
  <c r="BM42" i="7"/>
  <c r="BC42" i="7"/>
  <c r="CD42" i="7"/>
  <c r="CF42" i="7" s="1"/>
  <c r="BN42" i="7"/>
  <c r="BE42" i="7"/>
  <c r="BF42" i="7"/>
  <c r="BL42" i="7"/>
  <c r="AB42" i="7"/>
  <c r="BU42" i="7"/>
  <c r="BW42" i="7"/>
  <c r="BX42" i="7"/>
  <c r="BO42" i="7"/>
  <c r="X42" i="7"/>
  <c r="T42" i="7"/>
  <c r="V42" i="7" s="1"/>
  <c r="AU42" i="7"/>
  <c r="CA42" i="7"/>
  <c r="CC42" i="7" s="1"/>
  <c r="CG42" i="7"/>
  <c r="BS42" i="7"/>
  <c r="AY42" i="7"/>
  <c r="BY42" i="7"/>
  <c r="BB42" i="7"/>
  <c r="BQ42" i="7"/>
  <c r="AA42" i="7"/>
  <c r="AC42" i="7" s="1"/>
  <c r="Z42" i="7"/>
  <c r="CB42" i="7"/>
  <c r="AI42" i="7"/>
  <c r="BA42" i="7"/>
  <c r="BV42" i="7"/>
  <c r="AJ40" i="7"/>
  <c r="BH40" i="7"/>
  <c r="BO40" i="7"/>
  <c r="AU40" i="7"/>
  <c r="T40" i="7"/>
  <c r="V40" i="7" s="1"/>
  <c r="BC40" i="7"/>
  <c r="BD40" i="7"/>
  <c r="BL40" i="7"/>
  <c r="BA40" i="7"/>
  <c r="BK40" i="7"/>
  <c r="BP40" i="7"/>
  <c r="AL40" i="7"/>
  <c r="CD40" i="7"/>
  <c r="CF40" i="7" s="1"/>
  <c r="BR40" i="7"/>
  <c r="AW40" i="7"/>
  <c r="AK40" i="7"/>
  <c r="AP40" i="7"/>
  <c r="X40" i="7"/>
  <c r="CE40" i="7"/>
  <c r="BI40" i="7"/>
  <c r="CA40" i="7"/>
  <c r="CC40" i="7" s="1"/>
  <c r="BU40" i="7"/>
  <c r="BY40" i="7"/>
  <c r="AY40" i="7"/>
  <c r="BB40" i="7"/>
  <c r="BT40" i="7"/>
  <c r="Z40" i="7"/>
  <c r="BM40" i="7"/>
  <c r="AI40" i="7"/>
  <c r="AT40" i="7"/>
  <c r="AV40" i="7" s="1"/>
  <c r="AF40" i="7"/>
  <c r="CB40" i="7"/>
  <c r="AR40" i="7"/>
  <c r="AG40" i="7"/>
  <c r="AH40" i="7"/>
  <c r="BF40" i="7"/>
  <c r="U40" i="7"/>
  <c r="BV40" i="7"/>
  <c r="W40" i="7"/>
  <c r="Y40" i="7" s="1"/>
  <c r="AN40" i="7"/>
  <c r="BJ40" i="7"/>
  <c r="BE40" i="7"/>
  <c r="P40" i="7"/>
  <c r="BW40" i="7"/>
  <c r="BS40" i="7"/>
  <c r="BZ40" i="7"/>
  <c r="AA40" i="7"/>
  <c r="AC40" i="7" s="1"/>
  <c r="CG40" i="7"/>
  <c r="BN40" i="7"/>
  <c r="AE40" i="7"/>
  <c r="BG40" i="7"/>
  <c r="AQ40" i="7"/>
  <c r="AS40" i="7" s="1"/>
  <c r="AB40" i="7"/>
  <c r="AM40" i="7"/>
  <c r="AO40" i="7" s="1"/>
  <c r="BQ40" i="7"/>
  <c r="AX40" i="7"/>
  <c r="AZ40" i="7" s="1"/>
  <c r="AD40" i="7"/>
  <c r="N5" i="15"/>
  <c r="P5" i="15" s="1"/>
  <c r="W21" i="10"/>
  <c r="V14" i="14"/>
  <c r="Q16" i="21"/>
  <c r="P19" i="21"/>
  <c r="P21" i="21"/>
  <c r="P18" i="21"/>
  <c r="P20" i="21"/>
  <c r="C32" i="21"/>
  <c r="D32" i="21" s="1"/>
  <c r="T16" i="15"/>
  <c r="X2" i="19"/>
  <c r="U13" i="15"/>
  <c r="Z3" i="7"/>
  <c r="Q3" i="14" s="1"/>
  <c r="N2" i="15"/>
  <c r="O2" i="15"/>
  <c r="O13" i="15" s="1"/>
  <c r="O14" i="15" s="1"/>
  <c r="O16" i="15" s="1"/>
  <c r="BH43" i="7"/>
  <c r="AM37" i="7"/>
  <c r="AO37" i="7" s="1"/>
  <c r="AJ37" i="7"/>
  <c r="CE37" i="7"/>
  <c r="BL37" i="7"/>
  <c r="BO37" i="7"/>
  <c r="BH37" i="7"/>
  <c r="BS37" i="7"/>
  <c r="CD37" i="7"/>
  <c r="CF37" i="7" s="1"/>
  <c r="AY37" i="7"/>
  <c r="AB37" i="7"/>
  <c r="AE37" i="7"/>
  <c r="AQ37" i="7"/>
  <c r="AS37" i="7" s="1"/>
  <c r="BW37" i="7"/>
  <c r="AH37" i="7"/>
  <c r="X37" i="7"/>
  <c r="BP37" i="7"/>
  <c r="AU37" i="7"/>
  <c r="BY37" i="7"/>
  <c r="CG37" i="7"/>
  <c r="AR37" i="7"/>
  <c r="BD37" i="7"/>
  <c r="AF37" i="7"/>
  <c r="BA37" i="7"/>
  <c r="BK37" i="7"/>
  <c r="BJ37" i="7"/>
  <c r="AG37" i="7"/>
  <c r="AD37" i="7"/>
  <c r="AK37" i="7"/>
  <c r="BN37" i="7"/>
  <c r="BU37" i="7"/>
  <c r="BQ37" i="7"/>
  <c r="T37" i="7"/>
  <c r="V37" i="7" s="1"/>
  <c r="CB37" i="7"/>
  <c r="AL37" i="7"/>
  <c r="AP37" i="7"/>
  <c r="BR37" i="7"/>
  <c r="BX37" i="7"/>
  <c r="P37" i="7"/>
  <c r="BV37" i="7"/>
  <c r="AA37" i="7"/>
  <c r="AC37" i="7" s="1"/>
  <c r="AT37" i="7"/>
  <c r="AV37" i="7" s="1"/>
  <c r="U37" i="7"/>
  <c r="CA37" i="7"/>
  <c r="CC37" i="7" s="1"/>
  <c r="BE37" i="7"/>
  <c r="BM37" i="7"/>
  <c r="BZ37" i="7"/>
  <c r="BI37" i="7"/>
  <c r="AN37" i="7"/>
  <c r="AI37" i="7"/>
  <c r="BB37" i="7"/>
  <c r="BT37" i="7"/>
  <c r="Z37" i="7"/>
  <c r="BC37" i="7"/>
  <c r="BF37" i="7"/>
  <c r="BG37" i="7"/>
  <c r="W37" i="7"/>
  <c r="Y37" i="7" s="1"/>
  <c r="AX37" i="7"/>
  <c r="AZ37" i="7" s="1"/>
  <c r="U6" i="14"/>
  <c r="P6" i="14"/>
  <c r="R7" i="14"/>
  <c r="AM45" i="7"/>
  <c r="AO45" i="7" s="1"/>
  <c r="BE45" i="7"/>
  <c r="N3" i="15"/>
  <c r="T9" i="15"/>
  <c r="W43" i="7"/>
  <c r="Y43" i="7" s="1"/>
  <c r="BR54" i="7"/>
  <c r="BW54" i="7"/>
  <c r="BF54" i="7"/>
  <c r="U54" i="7"/>
  <c r="AL54" i="7"/>
  <c r="AY54" i="7"/>
  <c r="BD43" i="7"/>
  <c r="CB43" i="7"/>
  <c r="AE43" i="7"/>
  <c r="BG43" i="7"/>
  <c r="CD43" i="7"/>
  <c r="CF43" i="7" s="1"/>
  <c r="BK54" i="7"/>
  <c r="BA54" i="7"/>
  <c r="BD54" i="7"/>
  <c r="CA54" i="7"/>
  <c r="CC54" i="7" s="1"/>
  <c r="CD54" i="7"/>
  <c r="CF54" i="7" s="1"/>
  <c r="AP54" i="7"/>
  <c r="BM54" i="7"/>
  <c r="AU54" i="7"/>
  <c r="BS54" i="7"/>
  <c r="BE54" i="7"/>
  <c r="BT54" i="7"/>
  <c r="AD54" i="7"/>
  <c r="AR54" i="7"/>
  <c r="AA54" i="7"/>
  <c r="AC54" i="7" s="1"/>
  <c r="BV54" i="7"/>
  <c r="X54" i="7"/>
  <c r="BH54" i="7"/>
  <c r="T54" i="7"/>
  <c r="V54" i="7" s="1"/>
  <c r="BP54" i="7"/>
  <c r="AI54" i="7"/>
  <c r="AF54" i="7"/>
  <c r="BY54" i="7"/>
  <c r="BZ54" i="7"/>
  <c r="AJ54" i="7"/>
  <c r="AT54" i="7"/>
  <c r="AV54" i="7" s="1"/>
  <c r="AN54" i="7"/>
  <c r="BN54" i="7"/>
  <c r="BC54" i="7"/>
  <c r="BQ54" i="7"/>
  <c r="W54" i="7"/>
  <c r="Y54" i="7" s="1"/>
  <c r="BL54" i="7"/>
  <c r="BX54" i="7"/>
  <c r="AQ54" i="7"/>
  <c r="AS54" i="7" s="1"/>
  <c r="BO54" i="7"/>
  <c r="CB54" i="7"/>
  <c r="BJ54" i="7"/>
  <c r="CG54" i="7"/>
  <c r="AG54" i="7"/>
  <c r="AB54" i="7"/>
  <c r="AE54" i="7"/>
  <c r="BU54" i="7"/>
  <c r="AH54" i="7"/>
  <c r="AX54" i="7"/>
  <c r="AZ54" i="7" s="1"/>
  <c r="AK54" i="7"/>
  <c r="Z54" i="7"/>
  <c r="AW54" i="7"/>
  <c r="BB54" i="7"/>
  <c r="AM54" i="7"/>
  <c r="AO54" i="7" s="1"/>
  <c r="BG54" i="7"/>
  <c r="BI54" i="7"/>
  <c r="P54" i="7"/>
  <c r="CA43" i="7"/>
  <c r="CC43" i="7" s="1"/>
  <c r="AG44" i="7"/>
  <c r="BZ43" i="7"/>
  <c r="BX43" i="7"/>
  <c r="AL43" i="7"/>
  <c r="AR43" i="7"/>
  <c r="T43" i="7"/>
  <c r="V43" i="7" s="1"/>
  <c r="BL43" i="7"/>
  <c r="AU43" i="7"/>
  <c r="BR43" i="7"/>
  <c r="AH43" i="7"/>
  <c r="T44" i="7"/>
  <c r="V44" i="7" s="1"/>
  <c r="BE43" i="7"/>
  <c r="AM43" i="7"/>
  <c r="AO43" i="7" s="1"/>
  <c r="AI43" i="7"/>
  <c r="BQ43" i="7"/>
  <c r="AG43" i="7"/>
  <c r="BN43" i="7"/>
  <c r="BJ43" i="7"/>
  <c r="AX43" i="7"/>
  <c r="AZ43" i="7" s="1"/>
  <c r="BK43" i="7"/>
  <c r="X43" i="7"/>
  <c r="AB43" i="7"/>
  <c r="T11" i="14"/>
  <c r="AD43" i="7"/>
  <c r="AW43" i="7"/>
  <c r="AQ43" i="7"/>
  <c r="AS43" i="7" s="1"/>
  <c r="AN43" i="7"/>
  <c r="AJ43" i="7"/>
  <c r="BU43" i="7"/>
  <c r="CG43" i="7"/>
  <c r="BM43" i="7"/>
  <c r="BT43" i="7"/>
  <c r="BA43" i="7"/>
  <c r="AT43" i="7"/>
  <c r="AV43" i="7" s="1"/>
  <c r="BF43" i="7"/>
  <c r="BW43" i="7"/>
  <c r="Z43" i="7"/>
  <c r="BI43" i="7"/>
  <c r="BO43" i="7"/>
  <c r="AY43" i="7"/>
  <c r="AF43" i="7"/>
  <c r="BP43" i="7"/>
  <c r="BV43" i="7"/>
  <c r="BC43" i="7"/>
  <c r="AP43" i="7"/>
  <c r="BS43" i="7"/>
  <c r="BY43" i="7"/>
  <c r="CE43" i="7"/>
  <c r="AR44" i="7"/>
  <c r="BB43" i="7"/>
  <c r="AA43" i="7"/>
  <c r="AC43" i="7" s="1"/>
  <c r="R10" i="15"/>
  <c r="Q11" i="14"/>
  <c r="BB44" i="7"/>
  <c r="BR46" i="7"/>
  <c r="AN46" i="7"/>
  <c r="BO44" i="7"/>
  <c r="BF44" i="7"/>
  <c r="CB46" i="7"/>
  <c r="BL44" i="7"/>
  <c r="BM44" i="7"/>
  <c r="T46" i="7"/>
  <c r="V46" i="7" s="1"/>
  <c r="AI44" i="7"/>
  <c r="P7" i="14"/>
  <c r="CB44" i="7"/>
  <c r="BR44" i="7"/>
  <c r="AM46" i="7"/>
  <c r="AO46" i="7" s="1"/>
  <c r="U46" i="7"/>
  <c r="AW44" i="7"/>
  <c r="AM44" i="7"/>
  <c r="AO44" i="7" s="1"/>
  <c r="BD44" i="7"/>
  <c r="BY44" i="7"/>
  <c r="X44" i="7"/>
  <c r="BI44" i="7"/>
  <c r="AJ46" i="7"/>
  <c r="R11" i="14"/>
  <c r="O7" i="14"/>
  <c r="AY45" i="7"/>
  <c r="P11" i="14"/>
  <c r="AN45" i="7"/>
  <c r="CE45" i="7"/>
  <c r="BL45" i="7"/>
  <c r="BD45" i="7"/>
  <c r="T7" i="14"/>
  <c r="CD45" i="7"/>
  <c r="CF45" i="7" s="1"/>
  <c r="AI45" i="7"/>
  <c r="BF45" i="7"/>
  <c r="AH45" i="7"/>
  <c r="AJ45" i="7"/>
  <c r="BA45" i="7"/>
  <c r="BH45" i="7"/>
  <c r="AB45" i="7"/>
  <c r="T45" i="7"/>
  <c r="V45" i="7" s="1"/>
  <c r="AL45" i="7"/>
  <c r="AG45" i="7"/>
  <c r="W45" i="7"/>
  <c r="Y45" i="7" s="1"/>
  <c r="BT45" i="7"/>
  <c r="BM46" i="7"/>
  <c r="BI46" i="7"/>
  <c r="AL46" i="7"/>
  <c r="Q3" i="15"/>
  <c r="Q13" i="15" s="1"/>
  <c r="Q14" i="15" s="1"/>
  <c r="Q15" i="15" s="1"/>
  <c r="Q16" i="15" s="1"/>
  <c r="AR46" i="7"/>
  <c r="BU46" i="7"/>
  <c r="W46" i="7"/>
  <c r="Y46" i="7" s="1"/>
  <c r="AB46" i="7"/>
  <c r="BC46" i="7"/>
  <c r="AX46" i="7"/>
  <c r="AZ46" i="7" s="1"/>
  <c r="AE46" i="7"/>
  <c r="BP46" i="7"/>
  <c r="Z46" i="7"/>
  <c r="BD46" i="7"/>
  <c r="AQ46" i="7"/>
  <c r="AS46" i="7" s="1"/>
  <c r="P46" i="7"/>
  <c r="AU46" i="7"/>
  <c r="BF46" i="7"/>
  <c r="BA46" i="7"/>
  <c r="AD46" i="7"/>
  <c r="AP46" i="7"/>
  <c r="BS46" i="7"/>
  <c r="BO46" i="7"/>
  <c r="CA46" i="7"/>
  <c r="CC46" i="7" s="1"/>
  <c r="BK46" i="7"/>
  <c r="BV46" i="7"/>
  <c r="BQ46" i="7"/>
  <c r="BZ46" i="7"/>
  <c r="BW46" i="7"/>
  <c r="AH46" i="7"/>
  <c r="BE46" i="7"/>
  <c r="BY46" i="7"/>
  <c r="CD46" i="7"/>
  <c r="CF46" i="7" s="1"/>
  <c r="AF46" i="7"/>
  <c r="AA46" i="7"/>
  <c r="AC46" i="7" s="1"/>
  <c r="BH46" i="7"/>
  <c r="BJ46" i="7"/>
  <c r="AY46" i="7"/>
  <c r="AT46" i="7"/>
  <c r="AV46" i="7" s="1"/>
  <c r="BL46" i="7"/>
  <c r="AI46" i="7"/>
  <c r="AG46" i="7"/>
  <c r="BN46" i="7"/>
  <c r="AW46" i="7"/>
  <c r="CG46" i="7"/>
  <c r="BX46" i="7"/>
  <c r="BT46" i="7"/>
  <c r="CE46" i="7"/>
  <c r="X46" i="7"/>
  <c r="BB46" i="7"/>
  <c r="BG46" i="7"/>
  <c r="AX44" i="7"/>
  <c r="AZ44" i="7" s="1"/>
  <c r="BW45" i="7"/>
  <c r="AH44" i="7"/>
  <c r="Z44" i="7"/>
  <c r="AR45" i="7"/>
  <c r="BP45" i="7"/>
  <c r="AE45" i="7"/>
  <c r="BU45" i="7"/>
  <c r="AB44" i="7"/>
  <c r="BN45" i="7"/>
  <c r="CA44" i="7"/>
  <c r="CC44" i="7" s="1"/>
  <c r="CB45" i="7"/>
  <c r="BX44" i="7"/>
  <c r="AQ44" i="7"/>
  <c r="AS44" i="7" s="1"/>
  <c r="BC45" i="7"/>
  <c r="AA44" i="7"/>
  <c r="AC44" i="7" s="1"/>
  <c r="U44" i="7"/>
  <c r="BQ45" i="7"/>
  <c r="AU45" i="7"/>
  <c r="BV45" i="7"/>
  <c r="AF44" i="7"/>
  <c r="BV44" i="7"/>
  <c r="U45" i="7"/>
  <c r="BJ45" i="7"/>
  <c r="AX45" i="7"/>
  <c r="AZ45" i="7" s="1"/>
  <c r="BS44" i="7"/>
  <c r="BE44" i="7"/>
  <c r="AD45" i="7"/>
  <c r="AW45" i="7"/>
  <c r="BA44" i="7"/>
  <c r="AP44" i="7"/>
  <c r="CG44" i="7"/>
  <c r="AJ44" i="7"/>
  <c r="BB45" i="7"/>
  <c r="BK45" i="7"/>
  <c r="BI45" i="7"/>
  <c r="AT44" i="7"/>
  <c r="AV44" i="7" s="1"/>
  <c r="AY44" i="7"/>
  <c r="BO45" i="7"/>
  <c r="AL44" i="7"/>
  <c r="BZ45" i="7"/>
  <c r="BM45" i="7"/>
  <c r="BK44" i="7"/>
  <c r="BG44" i="7"/>
  <c r="BW44" i="7"/>
  <c r="BZ44" i="7"/>
  <c r="BC44" i="7"/>
  <c r="AU44" i="7"/>
  <c r="AA45" i="7"/>
  <c r="AC45" i="7" s="1"/>
  <c r="X45" i="7"/>
  <c r="BX45" i="7"/>
  <c r="CD44" i="7"/>
  <c r="CF44" i="7" s="1"/>
  <c r="BY45" i="7"/>
  <c r="BT44" i="7"/>
  <c r="CG45" i="7"/>
  <c r="Z45" i="7"/>
  <c r="BQ44" i="7"/>
  <c r="W44" i="7"/>
  <c r="Y44" i="7" s="1"/>
  <c r="BH44" i="7"/>
  <c r="BP44" i="7"/>
  <c r="AD44" i="7"/>
  <c r="AN44" i="7"/>
  <c r="AT45" i="7"/>
  <c r="AV45" i="7" s="1"/>
  <c r="BG45" i="7"/>
  <c r="AF45" i="7"/>
  <c r="BS45" i="7"/>
  <c r="CE44" i="7"/>
  <c r="AQ45" i="7"/>
  <c r="AS45" i="7" s="1"/>
  <c r="BN44" i="7"/>
  <c r="BJ44" i="7"/>
  <c r="BR45" i="7"/>
  <c r="AP45" i="7"/>
  <c r="BU44" i="7"/>
  <c r="W13" i="14"/>
  <c r="Y2" i="18"/>
  <c r="R45" i="7"/>
  <c r="S49" i="7"/>
  <c r="AL2" i="12"/>
  <c r="AQ16" i="12"/>
  <c r="Z2" i="18"/>
  <c r="T38" i="7"/>
  <c r="V38" i="7" s="1"/>
  <c r="P45" i="7"/>
  <c r="AM48" i="7"/>
  <c r="AO48" i="7" s="1"/>
  <c r="AU48" i="7"/>
  <c r="BB48" i="7"/>
  <c r="BU48" i="7"/>
  <c r="BV48" i="7"/>
  <c r="AJ48" i="7"/>
  <c r="AE48" i="7"/>
  <c r="BF48" i="7"/>
  <c r="BK48" i="7"/>
  <c r="X48" i="7"/>
  <c r="AA48" i="7"/>
  <c r="AC48" i="7" s="1"/>
  <c r="W48" i="7"/>
  <c r="Y48" i="7" s="1"/>
  <c r="AF48" i="7"/>
  <c r="AI48" i="7"/>
  <c r="AN48" i="7"/>
  <c r="AT48" i="7"/>
  <c r="AV48" i="7" s="1"/>
  <c r="BG48" i="7"/>
  <c r="BQ48" i="7"/>
  <c r="BL48" i="7"/>
  <c r="AB48" i="7"/>
  <c r="BA48" i="7"/>
  <c r="BP48" i="7"/>
  <c r="T13" i="14"/>
  <c r="R12" i="15"/>
  <c r="T12" i="15" s="1"/>
  <c r="BK52" i="7"/>
  <c r="BB52" i="7"/>
  <c r="U38" i="7"/>
  <c r="AK38" i="7"/>
  <c r="AR38" i="7"/>
  <c r="AA52" i="7"/>
  <c r="AC52" i="7" s="1"/>
  <c r="CA48" i="7"/>
  <c r="CC48" i="7" s="1"/>
  <c r="Q47" i="7"/>
  <c r="Q16" i="10"/>
  <c r="Q17" i="10" s="1"/>
  <c r="R9" i="14"/>
  <c r="Q18" i="10"/>
  <c r="Q19" i="10" s="1"/>
  <c r="Q20" i="10" s="1"/>
  <c r="Z3" i="10"/>
  <c r="X18" i="10" s="1"/>
  <c r="X19" i="10" s="1"/>
  <c r="X20" i="10" s="1"/>
  <c r="AJ24" i="12"/>
  <c r="AJ16" i="12" s="1"/>
  <c r="BV50" i="7"/>
  <c r="BQ50" i="7"/>
  <c r="N8" i="15"/>
  <c r="AY38" i="7"/>
  <c r="BJ38" i="7"/>
  <c r="AY48" i="7"/>
  <c r="BA50" i="7"/>
  <c r="AM50" i="7"/>
  <c r="AO50" i="7" s="1"/>
  <c r="BL52" i="7"/>
  <c r="CD48" i="7"/>
  <c r="CF48" i="7" s="1"/>
  <c r="BO38" i="7"/>
  <c r="W50" i="7"/>
  <c r="Y50" i="7" s="1"/>
  <c r="AN50" i="7"/>
  <c r="CD50" i="7"/>
  <c r="CF50" i="7" s="1"/>
  <c r="AE50" i="7"/>
  <c r="CE50" i="7"/>
  <c r="AI50" i="7"/>
  <c r="BG50" i="7"/>
  <c r="AF50" i="7"/>
  <c r="X50" i="7"/>
  <c r="AB50" i="7"/>
  <c r="AM52" i="7"/>
  <c r="AO52" i="7" s="1"/>
  <c r="BJ53" i="7"/>
  <c r="BL50" i="7"/>
  <c r="AT50" i="7"/>
  <c r="AV50" i="7" s="1"/>
  <c r="AJ50" i="7"/>
  <c r="BU50" i="7"/>
  <c r="AU50" i="7"/>
  <c r="AU52" i="7"/>
  <c r="BN52" i="7"/>
  <c r="BQ52" i="7"/>
  <c r="AE52" i="7"/>
  <c r="BF52" i="7"/>
  <c r="BT53" i="7"/>
  <c r="BC53" i="7"/>
  <c r="AR48" i="7"/>
  <c r="BN48" i="7"/>
  <c r="BO48" i="7"/>
  <c r="P51" i="7"/>
  <c r="AW55" i="7"/>
  <c r="AJ52" i="7"/>
  <c r="BB50" i="7"/>
  <c r="BF50" i="7"/>
  <c r="BP50" i="7"/>
  <c r="CG55" i="7"/>
  <c r="AR50" i="7"/>
  <c r="BJ52" i="7"/>
  <c r="P38" i="7"/>
  <c r="AL38" i="7"/>
  <c r="BT38" i="7"/>
  <c r="CD38" i="7"/>
  <c r="CF38" i="7" s="1"/>
  <c r="CB38" i="7"/>
  <c r="BK50" i="7"/>
  <c r="AA50" i="7"/>
  <c r="AC50" i="7" s="1"/>
  <c r="BE38" i="7"/>
  <c r="BY38" i="7"/>
  <c r="AX38" i="7"/>
  <c r="AZ38" i="7" s="1"/>
  <c r="CE38" i="7"/>
  <c r="BT51" i="7"/>
  <c r="S12" i="14"/>
  <c r="U12" i="14" s="1"/>
  <c r="CE53" i="7"/>
  <c r="AR53" i="7"/>
  <c r="BI48" i="7"/>
  <c r="BM52" i="7"/>
  <c r="BU49" i="7"/>
  <c r="BN49" i="7"/>
  <c r="AI53" i="7"/>
  <c r="AN53" i="7"/>
  <c r="AG53" i="7"/>
  <c r="BQ53" i="7"/>
  <c r="AR51" i="7"/>
  <c r="BA52" i="7"/>
  <c r="AT52" i="7"/>
  <c r="AV52" i="7" s="1"/>
  <c r="AN52" i="7"/>
  <c r="BJ51" i="7"/>
  <c r="U52" i="7"/>
  <c r="AD55" i="7"/>
  <c r="BS48" i="7"/>
  <c r="Z52" i="7"/>
  <c r="BL47" i="7"/>
  <c r="AH53" i="7"/>
  <c r="BZ50" i="7"/>
  <c r="W47" i="7"/>
  <c r="Y47" i="7" s="1"/>
  <c r="W52" i="7"/>
  <c r="Y52" i="7" s="1"/>
  <c r="BP52" i="7"/>
  <c r="BU52" i="7"/>
  <c r="T52" i="7"/>
  <c r="V52" i="7" s="1"/>
  <c r="BZ55" i="7"/>
  <c r="CA52" i="7"/>
  <c r="CC52" i="7" s="1"/>
  <c r="BL53" i="7"/>
  <c r="BX47" i="7"/>
  <c r="BD48" i="7"/>
  <c r="X55" i="7"/>
  <c r="CA49" i="7"/>
  <c r="CC49" i="7" s="1"/>
  <c r="Z50" i="7"/>
  <c r="AD48" i="7"/>
  <c r="AG47" i="7"/>
  <c r="AW51" i="7"/>
  <c r="AX49" i="7"/>
  <c r="AZ49" i="7" s="1"/>
  <c r="AH48" i="7"/>
  <c r="CA53" i="7"/>
  <c r="CC53" i="7" s="1"/>
  <c r="AU55" i="7"/>
  <c r="AK51" i="7"/>
  <c r="BT55" i="7"/>
  <c r="AG48" i="7"/>
  <c r="BM47" i="7"/>
  <c r="BH51" i="7"/>
  <c r="AL49" i="7"/>
  <c r="BB49" i="7"/>
  <c r="AA55" i="7"/>
  <c r="AC55" i="7" s="1"/>
  <c r="AL55" i="7"/>
  <c r="BJ47" i="7"/>
  <c r="AF52" i="7"/>
  <c r="BG52" i="7"/>
  <c r="BV52" i="7"/>
  <c r="BM55" i="7"/>
  <c r="AL50" i="7"/>
  <c r="AY50" i="7"/>
  <c r="AE53" i="7"/>
  <c r="CE48" i="7"/>
  <c r="AR52" i="7"/>
  <c r="BX48" i="7"/>
  <c r="CG52" i="7"/>
  <c r="AA49" i="7"/>
  <c r="AC49" i="7" s="1"/>
  <c r="BD51" i="7"/>
  <c r="AI55" i="7"/>
  <c r="BJ48" i="7"/>
  <c r="BY52" i="7"/>
  <c r="P52" i="7"/>
  <c r="BC52" i="7"/>
  <c r="AU49" i="7"/>
  <c r="BI51" i="7"/>
  <c r="AT55" i="7"/>
  <c r="AV55" i="7" s="1"/>
  <c r="AG49" i="7"/>
  <c r="AI52" i="7"/>
  <c r="X52" i="7"/>
  <c r="AB52" i="7"/>
  <c r="BX49" i="7"/>
  <c r="AG55" i="7"/>
  <c r="AL52" i="7"/>
  <c r="CE52" i="7"/>
  <c r="BH52" i="7"/>
  <c r="AB47" i="7"/>
  <c r="BG49" i="7"/>
  <c r="CE49" i="7"/>
  <c r="BB55" i="7"/>
  <c r="BC49" i="7"/>
  <c r="AQ48" i="7"/>
  <c r="AS48" i="7" s="1"/>
  <c r="C33" i="21"/>
  <c r="AK44" i="7"/>
  <c r="R44" i="7"/>
  <c r="S44" i="7"/>
  <c r="BT47" i="7"/>
  <c r="R50" i="7"/>
  <c r="AQ51" i="7"/>
  <c r="AS51" i="7" s="1"/>
  <c r="AL51" i="7"/>
  <c r="T51" i="7"/>
  <c r="V51" i="7" s="1"/>
  <c r="AQ53" i="7"/>
  <c r="AS53" i="7" s="1"/>
  <c r="BY53" i="7"/>
  <c r="AH49" i="7"/>
  <c r="T53" i="7"/>
  <c r="V53" i="7" s="1"/>
  <c r="Z53" i="7"/>
  <c r="BC55" i="7"/>
  <c r="BR55" i="7"/>
  <c r="P47" i="7"/>
  <c r="BT49" i="7"/>
  <c r="BV53" i="7"/>
  <c r="AU53" i="7"/>
  <c r="BK53" i="7"/>
  <c r="CB52" i="7"/>
  <c r="AH47" i="7"/>
  <c r="AY52" i="7"/>
  <c r="AO2" i="12"/>
  <c r="BZ52" i="7"/>
  <c r="AP52" i="7"/>
  <c r="H27" i="9"/>
  <c r="BV47" i="7"/>
  <c r="AM47" i="7"/>
  <c r="AO47" i="7" s="1"/>
  <c r="AK52" i="7"/>
  <c r="BK49" i="7"/>
  <c r="AI49" i="7"/>
  <c r="BQ49" i="7"/>
  <c r="BS51" i="7"/>
  <c r="AE55" i="7"/>
  <c r="BG55" i="7"/>
  <c r="BN53" i="7"/>
  <c r="BZ49" i="7"/>
  <c r="BR50" i="7"/>
  <c r="AX55" i="7"/>
  <c r="AZ55" i="7" s="1"/>
  <c r="AW48" i="7"/>
  <c r="AL48" i="7"/>
  <c r="CG47" i="7"/>
  <c r="BM51" i="7"/>
  <c r="AD51" i="7"/>
  <c r="D24" i="21"/>
  <c r="CA51" i="7"/>
  <c r="CC51" i="7" s="1"/>
  <c r="CB49" i="7"/>
  <c r="AT53" i="7"/>
  <c r="AV53" i="7" s="1"/>
  <c r="BF53" i="7"/>
  <c r="BU53" i="7"/>
  <c r="BI47" i="7"/>
  <c r="W6" i="14"/>
  <c r="V3" i="15"/>
  <c r="V13" i="15" s="1"/>
  <c r="BG47" i="7"/>
  <c r="AU47" i="7"/>
  <c r="E3" i="9"/>
  <c r="F3" i="9"/>
  <c r="CA47" i="7"/>
  <c r="CC47" i="7" s="1"/>
  <c r="BV49" i="7"/>
  <c r="AB49" i="7"/>
  <c r="W49" i="7"/>
  <c r="Y49" i="7" s="1"/>
  <c r="P49" i="7"/>
  <c r="BK55" i="7"/>
  <c r="AF55" i="7"/>
  <c r="AB55" i="7"/>
  <c r="BX52" i="7"/>
  <c r="BD53" i="7"/>
  <c r="AD49" i="7"/>
  <c r="AP50" i="7"/>
  <c r="AW50" i="7"/>
  <c r="AQ55" i="7"/>
  <c r="AS55" i="7" s="1"/>
  <c r="BM48" i="7"/>
  <c r="BY48" i="7"/>
  <c r="W12" i="15"/>
  <c r="X13" i="14"/>
  <c r="AD47" i="7"/>
  <c r="AP51" i="7"/>
  <c r="D17" i="21"/>
  <c r="D37" i="21" s="1"/>
  <c r="D44" i="21" s="1"/>
  <c r="D22" i="21"/>
  <c r="Q43" i="7"/>
  <c r="AL47" i="7"/>
  <c r="AE47" i="7"/>
  <c r="BW47" i="7"/>
  <c r="BB51" i="7"/>
  <c r="AA51" i="7"/>
  <c r="AC51" i="7" s="1"/>
  <c r="X51" i="7"/>
  <c r="BV51" i="7"/>
  <c r="AE51" i="7"/>
  <c r="AT51" i="7"/>
  <c r="AV51" i="7" s="1"/>
  <c r="BP51" i="7"/>
  <c r="BU51" i="7"/>
  <c r="BF51" i="7"/>
  <c r="BK51" i="7"/>
  <c r="AN51" i="7"/>
  <c r="AJ51" i="7"/>
  <c r="BQ51" i="7"/>
  <c r="AU51" i="7"/>
  <c r="AB51" i="7"/>
  <c r="AI51" i="7"/>
  <c r="AM51" i="7"/>
  <c r="AO51" i="7" s="1"/>
  <c r="BL51" i="7"/>
  <c r="W51" i="7"/>
  <c r="Y51" i="7" s="1"/>
  <c r="BG51" i="7"/>
  <c r="BA51" i="7"/>
  <c r="AF51" i="7"/>
  <c r="AL53" i="7"/>
  <c r="S8" i="15"/>
  <c r="S13" i="15" s="1"/>
  <c r="S14" i="15" s="1"/>
  <c r="T9" i="14"/>
  <c r="AQ47" i="7"/>
  <c r="AS47" i="7" s="1"/>
  <c r="BE47" i="7"/>
  <c r="AY51" i="7"/>
  <c r="BO51" i="7"/>
  <c r="F2" i="9"/>
  <c r="E2" i="9"/>
  <c r="BE53" i="7"/>
  <c r="BI49" i="7"/>
  <c r="AP53" i="7"/>
  <c r="AW53" i="7"/>
  <c r="Z55" i="7"/>
  <c r="P53" i="7"/>
  <c r="AK48" i="7"/>
  <c r="S48" i="7"/>
  <c r="P50" i="7"/>
  <c r="AQ49" i="7"/>
  <c r="AS49" i="7" s="1"/>
  <c r="BE49" i="7"/>
  <c r="W53" i="7"/>
  <c r="Y53" i="7" s="1"/>
  <c r="AA53" i="7"/>
  <c r="AC53" i="7" s="1"/>
  <c r="AB53" i="7"/>
  <c r="BT52" i="7"/>
  <c r="BS47" i="7"/>
  <c r="BR52" i="7"/>
  <c r="G30" i="21"/>
  <c r="H30" i="21" s="1"/>
  <c r="F31" i="21"/>
  <c r="W3" i="15"/>
  <c r="W13" i="15" s="1"/>
  <c r="X6" i="14"/>
  <c r="X14" i="14" s="1"/>
  <c r="BF47" i="7"/>
  <c r="BA47" i="7"/>
  <c r="BK47" i="7"/>
  <c r="R49" i="7"/>
  <c r="AJ49" i="7"/>
  <c r="AE49" i="7"/>
  <c r="BL55" i="7"/>
  <c r="BU55" i="7"/>
  <c r="AJ55" i="7"/>
  <c r="BD52" i="7"/>
  <c r="BS53" i="7"/>
  <c r="AP49" i="7"/>
  <c r="BH49" i="7"/>
  <c r="BM50" i="7"/>
  <c r="U48" i="7"/>
  <c r="BO55" i="7"/>
  <c r="CG48" i="7"/>
  <c r="Z48" i="7"/>
  <c r="BT48" i="7"/>
  <c r="BR47" i="7"/>
  <c r="BW51" i="7"/>
  <c r="BZ51" i="7"/>
  <c r="D23" i="21"/>
  <c r="AK43" i="7"/>
  <c r="S43" i="7"/>
  <c r="AY47" i="7"/>
  <c r="BU47" i="7"/>
  <c r="AK53" i="7"/>
  <c r="S53" i="7"/>
  <c r="S8" i="14"/>
  <c r="CD51" i="7"/>
  <c r="CF51" i="7" s="1"/>
  <c r="U51" i="7"/>
  <c r="U53" i="7"/>
  <c r="BO47" i="7"/>
  <c r="CE51" i="7"/>
  <c r="BY51" i="7"/>
  <c r="V8" i="15"/>
  <c r="W9" i="14"/>
  <c r="BO53" i="7"/>
  <c r="BS49" i="7"/>
  <c r="BM53" i="7"/>
  <c r="AD53" i="7"/>
  <c r="AP55" i="7"/>
  <c r="Q53" i="7"/>
  <c r="T47" i="7"/>
  <c r="V47" i="7" s="1"/>
  <c r="O5" i="14"/>
  <c r="Q5" i="14" s="1"/>
  <c r="CD47" i="7"/>
  <c r="CF47" i="7" s="1"/>
  <c r="BJ49" i="7"/>
  <c r="BB53" i="7"/>
  <c r="AM53" i="7"/>
  <c r="AO53" i="7" s="1"/>
  <c r="AJ53" i="7"/>
  <c r="CA50" i="7"/>
  <c r="CC50" i="7" s="1"/>
  <c r="BI50" i="7"/>
  <c r="BT50" i="7"/>
  <c r="BN50" i="7"/>
  <c r="BJ50" i="7"/>
  <c r="U50" i="7"/>
  <c r="BD50" i="7"/>
  <c r="AX50" i="7"/>
  <c r="AZ50" i="7" s="1"/>
  <c r="AH50" i="7"/>
  <c r="CB50" i="7"/>
  <c r="BY50" i="7"/>
  <c r="BE50" i="7"/>
  <c r="BO50" i="7"/>
  <c r="T50" i="7"/>
  <c r="V50" i="7" s="1"/>
  <c r="BS50" i="7"/>
  <c r="AQ50" i="7"/>
  <c r="AS50" i="7" s="1"/>
  <c r="BX50" i="7"/>
  <c r="BE52" i="7"/>
  <c r="BD47" i="7"/>
  <c r="CD52" i="7"/>
  <c r="CF52" i="7" s="1"/>
  <c r="T55" i="7"/>
  <c r="V55" i="7" s="1"/>
  <c r="AD52" i="7"/>
  <c r="AI47" i="7"/>
  <c r="BQ47" i="7"/>
  <c r="X47" i="7"/>
  <c r="X49" i="7"/>
  <c r="AT49" i="7"/>
  <c r="AV49" i="7" s="1"/>
  <c r="AM49" i="7"/>
  <c r="AO49" i="7" s="1"/>
  <c r="BN51" i="7"/>
  <c r="AR49" i="7"/>
  <c r="W55" i="7"/>
  <c r="Y55" i="7" s="1"/>
  <c r="R55" i="7"/>
  <c r="BP55" i="7"/>
  <c r="BI52" i="7"/>
  <c r="BX53" i="7"/>
  <c r="BW49" i="7"/>
  <c r="BR49" i="7"/>
  <c r="AG50" i="7"/>
  <c r="BW50" i="7"/>
  <c r="T48" i="7"/>
  <c r="V48" i="7" s="1"/>
  <c r="BC48" i="7"/>
  <c r="AP48" i="7"/>
  <c r="CB48" i="7"/>
  <c r="BH47" i="7"/>
  <c r="BZ47" i="7"/>
  <c r="AT21" i="12"/>
  <c r="AT16" i="12" s="1"/>
  <c r="AT2" i="12"/>
  <c r="CG51" i="7"/>
  <c r="BC51" i="7"/>
  <c r="BN47" i="7"/>
  <c r="BP47" i="7"/>
  <c r="R8" i="15"/>
  <c r="U9" i="14"/>
  <c r="BE51" i="7"/>
  <c r="BR53" i="7"/>
  <c r="P55" i="7"/>
  <c r="CA55" i="7"/>
  <c r="CC55" i="7" s="1"/>
  <c r="BX55" i="7"/>
  <c r="BN55" i="7"/>
  <c r="AH55" i="7"/>
  <c r="AR55" i="7"/>
  <c r="CD55" i="7"/>
  <c r="CF55" i="7" s="1"/>
  <c r="BD55" i="7"/>
  <c r="CE55" i="7"/>
  <c r="BS55" i="7"/>
  <c r="AY55" i="7"/>
  <c r="BI55" i="7"/>
  <c r="AX47" i="7"/>
  <c r="AZ47" i="7" s="1"/>
  <c r="CB51" i="7"/>
  <c r="R13" i="14"/>
  <c r="Q12" i="15"/>
  <c r="W10" i="15"/>
  <c r="X11" i="14"/>
  <c r="CB53" i="7"/>
  <c r="BD49" i="7"/>
  <c r="BW53" i="7"/>
  <c r="BH53" i="7"/>
  <c r="BW55" i="7"/>
  <c r="CD53" i="7"/>
  <c r="CF53" i="7" s="1"/>
  <c r="U47" i="7"/>
  <c r="CE47" i="7"/>
  <c r="BO49" i="7"/>
  <c r="X53" i="7"/>
  <c r="BG53" i="7"/>
  <c r="BP53" i="7"/>
  <c r="P48" i="7"/>
  <c r="AQ52" i="7"/>
  <c r="AS52" i="7" s="1"/>
  <c r="AX52" i="7"/>
  <c r="AZ52" i="7" s="1"/>
  <c r="U55" i="7"/>
  <c r="AG52" i="7"/>
  <c r="AK49" i="7"/>
  <c r="T49" i="7"/>
  <c r="V49" i="7" s="1"/>
  <c r="AJ47" i="7"/>
  <c r="AT47" i="7"/>
  <c r="AV47" i="7" s="1"/>
  <c r="AF47" i="7"/>
  <c r="H29" i="9"/>
  <c r="BA49" i="7"/>
  <c r="BF49" i="7"/>
  <c r="AN49" i="7"/>
  <c r="AH51" i="7"/>
  <c r="CD49" i="7"/>
  <c r="CF49" i="7" s="1"/>
  <c r="AM55" i="7"/>
  <c r="AO55" i="7" s="1"/>
  <c r="BF55" i="7"/>
  <c r="BA55" i="7"/>
  <c r="BS52" i="7"/>
  <c r="BI53" i="7"/>
  <c r="AK45" i="7"/>
  <c r="S45" i="7"/>
  <c r="Z49" i="7"/>
  <c r="AW49" i="7"/>
  <c r="CG50" i="7"/>
  <c r="BH50" i="7"/>
  <c r="BE55" i="7"/>
  <c r="BJ55" i="7"/>
  <c r="BZ48" i="7"/>
  <c r="BW48" i="7"/>
  <c r="BE48" i="7"/>
  <c r="AP47" i="7"/>
  <c r="BC47" i="7"/>
  <c r="AG51" i="7"/>
  <c r="X7" i="10"/>
  <c r="Q14" i="10"/>
  <c r="D25" i="21"/>
  <c r="O8" i="14"/>
  <c r="P9" i="14"/>
  <c r="O8" i="15"/>
  <c r="AK55" i="7"/>
  <c r="Q55" i="7"/>
  <c r="AK50" i="7"/>
  <c r="S50" i="7"/>
  <c r="CB47" i="7"/>
  <c r="BY47" i="7"/>
  <c r="AX51" i="7"/>
  <c r="AZ51" i="7" s="1"/>
  <c r="AK47" i="7"/>
  <c r="S47" i="7"/>
  <c r="AX53" i="7"/>
  <c r="AZ53" i="7" s="1"/>
  <c r="BZ53" i="7"/>
  <c r="CG53" i="7"/>
  <c r="BH55" i="7"/>
  <c r="AY53" i="7"/>
  <c r="AR47" i="7"/>
  <c r="BY49" i="7"/>
  <c r="AF53" i="7"/>
  <c r="R53" i="7"/>
  <c r="Q48" i="7"/>
  <c r="BO52" i="7"/>
  <c r="BW52" i="7"/>
  <c r="AW52" i="7"/>
  <c r="U49" i="7"/>
  <c r="AA47" i="7"/>
  <c r="AC47" i="7" s="1"/>
  <c r="BB47" i="7"/>
  <c r="AN47" i="7"/>
  <c r="P43" i="7"/>
  <c r="P44" i="7"/>
  <c r="AF49" i="7"/>
  <c r="BP49" i="7"/>
  <c r="BL49" i="7"/>
  <c r="BX51" i="7"/>
  <c r="AY49" i="7"/>
  <c r="AN55" i="7"/>
  <c r="BV55" i="7"/>
  <c r="BQ55" i="7"/>
  <c r="CG49" i="7"/>
  <c r="BC50" i="7"/>
  <c r="CB55" i="7"/>
  <c r="BR48" i="7"/>
  <c r="BH48" i="7"/>
  <c r="BG38" i="7"/>
  <c r="BA38" i="7"/>
  <c r="BX38" i="7"/>
  <c r="CA38" i="7"/>
  <c r="CC38" i="7" s="1"/>
  <c r="X38" i="7"/>
  <c r="BQ38" i="7"/>
  <c r="Z38" i="7"/>
  <c r="BW38" i="7"/>
  <c r="AH38" i="7"/>
  <c r="BV38" i="7"/>
  <c r="BK38" i="7"/>
  <c r="AB38" i="7"/>
  <c r="BM38" i="7"/>
  <c r="CG38" i="7"/>
  <c r="BD38" i="7"/>
  <c r="BR38" i="7"/>
  <c r="BF38" i="7"/>
  <c r="AU38" i="7"/>
  <c r="BP38" i="7"/>
  <c r="AW38" i="7"/>
  <c r="BS38" i="7"/>
  <c r="BB38" i="7"/>
  <c r="AM38" i="7"/>
  <c r="AO38" i="7" s="1"/>
  <c r="AA38" i="7"/>
  <c r="AC38" i="7" s="1"/>
  <c r="AG38" i="7"/>
  <c r="BI38" i="7"/>
  <c r="BU38" i="7"/>
  <c r="AE38" i="7"/>
  <c r="BC38" i="7"/>
  <c r="AI38" i="7"/>
  <c r="BH38" i="7"/>
  <c r="BL38" i="7"/>
  <c r="W38" i="7"/>
  <c r="Y38" i="7" s="1"/>
  <c r="BZ38" i="7"/>
  <c r="AN38" i="7"/>
  <c r="AJ38" i="7"/>
  <c r="AF38" i="7"/>
  <c r="AT38" i="7"/>
  <c r="AV38" i="7" s="1"/>
  <c r="AP38" i="7"/>
  <c r="AD38" i="7"/>
  <c r="BN38" i="7"/>
  <c r="Z47" i="7"/>
  <c r="AR21" i="12"/>
  <c r="AR19" i="12"/>
  <c r="AR2" i="12"/>
  <c r="Z51" i="7"/>
  <c r="AA2" i="18" l="1"/>
  <c r="D29" i="9"/>
  <c r="J29" i="9" s="1"/>
  <c r="J32" i="9" s="1"/>
  <c r="C29" i="9"/>
  <c r="I29" i="9" s="1"/>
  <c r="I30" i="9"/>
  <c r="R16" i="21"/>
  <c r="Q19" i="21"/>
  <c r="Q20" i="21"/>
  <c r="Q21" i="21"/>
  <c r="Q18" i="21"/>
  <c r="P2" i="15"/>
  <c r="P13" i="15" s="1"/>
  <c r="P14" i="15" s="1"/>
  <c r="P15" i="15" s="1"/>
  <c r="R14" i="14"/>
  <c r="R15" i="14" s="1"/>
  <c r="R16" i="14" s="1"/>
  <c r="R17" i="14" s="1"/>
  <c r="D40" i="21"/>
  <c r="D47" i="21" s="1"/>
  <c r="D38" i="21"/>
  <c r="D45" i="21" s="1"/>
  <c r="N13" i="15"/>
  <c r="N14" i="15" s="1"/>
  <c r="N16" i="15" s="1"/>
  <c r="P14" i="14"/>
  <c r="P15" i="14" s="1"/>
  <c r="P17" i="14" s="1"/>
  <c r="T14" i="14"/>
  <c r="T15" i="14" s="1"/>
  <c r="T16" i="14" s="1"/>
  <c r="R13" i="15"/>
  <c r="R14" i="15" s="1"/>
  <c r="R16" i="15" s="1"/>
  <c r="AR16" i="12"/>
  <c r="O15" i="15"/>
  <c r="Q21" i="10"/>
  <c r="B32" i="9"/>
  <c r="H32" i="9"/>
  <c r="Q8" i="14"/>
  <c r="Q14" i="14" s="1"/>
  <c r="Q15" i="14" s="1"/>
  <c r="O14" i="14"/>
  <c r="O15" i="14" s="1"/>
  <c r="U8" i="14"/>
  <c r="U14" i="14" s="1"/>
  <c r="U15" i="14" s="1"/>
  <c r="S14" i="14"/>
  <c r="S15" i="14" s="1"/>
  <c r="E23" i="21"/>
  <c r="E27" i="21" s="1"/>
  <c r="S15" i="15"/>
  <c r="S16" i="15"/>
  <c r="E22" i="21"/>
  <c r="E26" i="21" s="1"/>
  <c r="E17" i="21"/>
  <c r="E39" i="21" s="1"/>
  <c r="E24" i="21"/>
  <c r="E28" i="21" s="1"/>
  <c r="D39" i="21"/>
  <c r="D46" i="21" s="1"/>
  <c r="E25" i="21"/>
  <c r="E29" i="21" s="1"/>
  <c r="H31" i="21"/>
  <c r="I30" i="21"/>
  <c r="D33" i="21"/>
  <c r="X14" i="10"/>
  <c r="X16" i="10"/>
  <c r="X17" i="10" s="1"/>
  <c r="X21" i="10" s="1"/>
  <c r="W14" i="14"/>
  <c r="C32" i="9" l="1"/>
  <c r="I32" i="9"/>
  <c r="D32" i="9"/>
  <c r="S16" i="21"/>
  <c r="R20" i="21"/>
  <c r="R19" i="21"/>
  <c r="R21" i="21"/>
  <c r="R18" i="21"/>
  <c r="P16" i="15"/>
  <c r="N15" i="15"/>
  <c r="P16" i="14"/>
  <c r="T17" i="14"/>
  <c r="E40" i="21"/>
  <c r="E37" i="21"/>
  <c r="E38" i="21"/>
  <c r="R15" i="15"/>
  <c r="I31" i="21"/>
  <c r="J30" i="21"/>
  <c r="K30" i="21" s="1"/>
  <c r="F23" i="21"/>
  <c r="Q16" i="14"/>
  <c r="Q17" i="14"/>
  <c r="O16" i="14"/>
  <c r="O17" i="14"/>
  <c r="F24" i="21"/>
  <c r="F22" i="21"/>
  <c r="F17" i="21"/>
  <c r="F38" i="21" s="1"/>
  <c r="U16" i="14"/>
  <c r="U17" i="14"/>
  <c r="F25" i="21"/>
  <c r="E31" i="21"/>
  <c r="E32" i="21" s="1"/>
  <c r="S17" i="14"/>
  <c r="S16" i="14"/>
  <c r="T16" i="21" l="1"/>
  <c r="S18" i="21"/>
  <c r="S20" i="21"/>
  <c r="S19" i="21"/>
  <c r="S21" i="21"/>
  <c r="F40" i="21"/>
  <c r="F39" i="21"/>
  <c r="F37" i="21"/>
  <c r="G24" i="21"/>
  <c r="G28" i="21" s="1"/>
  <c r="G22" i="21"/>
  <c r="G26" i="21" s="1"/>
  <c r="G17" i="21"/>
  <c r="G40" i="21" s="1"/>
  <c r="L30" i="21"/>
  <c r="M30" i="21" s="1"/>
  <c r="K31" i="21"/>
  <c r="E33" i="21"/>
  <c r="F32" i="21"/>
  <c r="G41" i="21"/>
  <c r="G25" i="21"/>
  <c r="G29" i="21" s="1"/>
  <c r="G23" i="21"/>
  <c r="G27" i="21" s="1"/>
  <c r="U16" i="21" l="1"/>
  <c r="T21" i="21"/>
  <c r="T18" i="21"/>
  <c r="T20" i="21"/>
  <c r="T19" i="21"/>
  <c r="G31" i="21"/>
  <c r="G32" i="21" s="1"/>
  <c r="G38" i="21"/>
  <c r="F33" i="21"/>
  <c r="G37" i="21"/>
  <c r="N30" i="21"/>
  <c r="O30" i="21" s="1"/>
  <c r="M31" i="21"/>
  <c r="H25" i="21"/>
  <c r="G39" i="21"/>
  <c r="H17" i="21"/>
  <c r="H38" i="21" s="1"/>
  <c r="H22" i="21"/>
  <c r="H23" i="21"/>
  <c r="H24" i="21"/>
  <c r="V16" i="21" l="1"/>
  <c r="U20" i="21"/>
  <c r="U18" i="21"/>
  <c r="U21" i="21"/>
  <c r="U19" i="21"/>
  <c r="I23" i="21"/>
  <c r="G33" i="21"/>
  <c r="H32" i="21"/>
  <c r="H37" i="21"/>
  <c r="I22" i="21"/>
  <c r="I17" i="21"/>
  <c r="I37" i="21" s="1"/>
  <c r="I24" i="21"/>
  <c r="H40" i="21"/>
  <c r="O31" i="21"/>
  <c r="P30" i="21"/>
  <c r="Q30" i="21" s="1"/>
  <c r="I41" i="21"/>
  <c r="I25" i="21"/>
  <c r="H39" i="21"/>
  <c r="W16" i="21" l="1"/>
  <c r="V21" i="21"/>
  <c r="V18" i="21"/>
  <c r="V19" i="21"/>
  <c r="V20" i="21"/>
  <c r="I40" i="21"/>
  <c r="I39" i="21"/>
  <c r="I38" i="21"/>
  <c r="J24" i="21"/>
  <c r="J28" i="21" s="1"/>
  <c r="H33" i="21"/>
  <c r="I32" i="21"/>
  <c r="J25" i="21"/>
  <c r="J29" i="21" s="1"/>
  <c r="J22" i="21"/>
  <c r="J26" i="21" s="1"/>
  <c r="J17" i="21"/>
  <c r="J39" i="21" s="1"/>
  <c r="J23" i="21"/>
  <c r="J27" i="21" s="1"/>
  <c r="Q31" i="21"/>
  <c r="R30" i="21"/>
  <c r="S30" i="21" s="1"/>
  <c r="X16" i="21" l="1"/>
  <c r="W19" i="21"/>
  <c r="W21" i="21"/>
  <c r="W18" i="21"/>
  <c r="W20" i="21"/>
  <c r="J31" i="21"/>
  <c r="J32" i="21" s="1"/>
  <c r="J40" i="21"/>
  <c r="J37" i="21"/>
  <c r="J38" i="21"/>
  <c r="K25" i="21"/>
  <c r="I33" i="21"/>
  <c r="K24" i="21"/>
  <c r="T30" i="21"/>
  <c r="U30" i="21" s="1"/>
  <c r="S31" i="21"/>
  <c r="K22" i="21"/>
  <c r="K17" i="21"/>
  <c r="K37" i="21" s="1"/>
  <c r="K23" i="21"/>
  <c r="Y16" i="21" l="1"/>
  <c r="X19" i="21"/>
  <c r="X21" i="21"/>
  <c r="X20" i="21"/>
  <c r="X18" i="21"/>
  <c r="K38" i="21"/>
  <c r="K40" i="21"/>
  <c r="L17" i="21"/>
  <c r="L37" i="21"/>
  <c r="L22" i="21"/>
  <c r="L26" i="21" s="1"/>
  <c r="L39" i="21"/>
  <c r="L24" i="21"/>
  <c r="L28" i="21" s="1"/>
  <c r="K39" i="21"/>
  <c r="K32" i="21"/>
  <c r="J33" i="21"/>
  <c r="L25" i="21"/>
  <c r="L29" i="21" s="1"/>
  <c r="L40" i="21"/>
  <c r="L38" i="21"/>
  <c r="L23" i="21"/>
  <c r="L27" i="21" s="1"/>
  <c r="V30" i="21"/>
  <c r="W30" i="21" s="1"/>
  <c r="U31" i="21"/>
  <c r="Z16" i="21" l="1"/>
  <c r="Y21" i="21"/>
  <c r="Y18" i="21"/>
  <c r="Y20" i="21"/>
  <c r="Y19" i="21"/>
  <c r="L31" i="21"/>
  <c r="L32" i="21" s="1"/>
  <c r="W31" i="21"/>
  <c r="X30" i="21"/>
  <c r="Y30" i="21" s="1"/>
  <c r="M25" i="21"/>
  <c r="K33" i="21"/>
  <c r="M22" i="21"/>
  <c r="M17" i="21"/>
  <c r="M40" i="21" s="1"/>
  <c r="M23" i="21"/>
  <c r="M24" i="21"/>
  <c r="AA16" i="21" l="1"/>
  <c r="Z21" i="21"/>
  <c r="Z18" i="21"/>
  <c r="Z19" i="21"/>
  <c r="Z20" i="21"/>
  <c r="M38" i="21"/>
  <c r="M37" i="21"/>
  <c r="M39" i="21"/>
  <c r="N22" i="21"/>
  <c r="N26" i="21" s="1"/>
  <c r="N17" i="21"/>
  <c r="N37" i="21" s="1"/>
  <c r="Y31" i="21"/>
  <c r="Z30" i="21"/>
  <c r="AA30" i="21" s="1"/>
  <c r="M32" i="21"/>
  <c r="L33" i="21"/>
  <c r="N24" i="21"/>
  <c r="N28" i="21" s="1"/>
  <c r="N23" i="21"/>
  <c r="N27" i="21" s="1"/>
  <c r="N25" i="21"/>
  <c r="N29" i="21" s="1"/>
  <c r="AB16" i="21" l="1"/>
  <c r="AA18" i="21"/>
  <c r="AA20" i="21"/>
  <c r="AA19" i="21"/>
  <c r="AA21" i="21"/>
  <c r="N39" i="21"/>
  <c r="N40" i="21"/>
  <c r="N38" i="21"/>
  <c r="AB30" i="21"/>
  <c r="AC30" i="21" s="1"/>
  <c r="AA31" i="21"/>
  <c r="O25" i="21"/>
  <c r="O23" i="21"/>
  <c r="O22" i="21"/>
  <c r="O17" i="21"/>
  <c r="O40" i="21" s="1"/>
  <c r="M33" i="21"/>
  <c r="O24" i="21"/>
  <c r="N31" i="21"/>
  <c r="N32" i="21" s="1"/>
  <c r="AC16" i="21" l="1"/>
  <c r="AB18" i="21"/>
  <c r="AB20" i="21"/>
  <c r="AB21" i="21"/>
  <c r="AB19" i="21"/>
  <c r="O39" i="21"/>
  <c r="N33" i="21"/>
  <c r="O32" i="21"/>
  <c r="P23" i="21"/>
  <c r="P27" i="21" s="1"/>
  <c r="O37" i="21"/>
  <c r="P17" i="21"/>
  <c r="P37" i="21" s="1"/>
  <c r="P22" i="21"/>
  <c r="P26" i="21" s="1"/>
  <c r="P24" i="21"/>
  <c r="P28" i="21" s="1"/>
  <c r="AD30" i="21"/>
  <c r="AC31" i="21"/>
  <c r="O38" i="21"/>
  <c r="Q24" i="21"/>
  <c r="Q23" i="21"/>
  <c r="Q25" i="21"/>
  <c r="P25" i="21"/>
  <c r="P29" i="21" s="1"/>
  <c r="AD16" i="21" l="1"/>
  <c r="AC20" i="21"/>
  <c r="AC18" i="21"/>
  <c r="AC19" i="21"/>
  <c r="AC21" i="21"/>
  <c r="P40" i="21"/>
  <c r="P39" i="21"/>
  <c r="P38" i="21"/>
  <c r="R23" i="21"/>
  <c r="R27" i="21" s="1"/>
  <c r="R25" i="21"/>
  <c r="R29" i="21" s="1"/>
  <c r="R24" i="21"/>
  <c r="R28" i="21" s="1"/>
  <c r="Q17" i="21"/>
  <c r="Q22" i="21"/>
  <c r="P31" i="21"/>
  <c r="P32" i="21" s="1"/>
  <c r="O33" i="21"/>
  <c r="AD18" i="21" l="1"/>
  <c r="AD20" i="21"/>
  <c r="AD19" i="21"/>
  <c r="AD21" i="21"/>
  <c r="P33" i="21"/>
  <c r="Q32" i="21"/>
  <c r="S25" i="21"/>
  <c r="S23" i="21"/>
  <c r="S24" i="21"/>
  <c r="R17" i="21"/>
  <c r="R22" i="21"/>
  <c r="R26" i="21" s="1"/>
  <c r="R31" i="21" s="1"/>
  <c r="S22" i="21" l="1"/>
  <c r="S17" i="21"/>
  <c r="T25" i="21"/>
  <c r="T29" i="21" s="1"/>
  <c r="T23" i="21"/>
  <c r="T27" i="21" s="1"/>
  <c r="T24" i="21"/>
  <c r="T28" i="21" s="1"/>
  <c r="R32" i="21"/>
  <c r="Q33" i="21"/>
  <c r="U24" i="21" l="1"/>
  <c r="U23" i="21"/>
  <c r="U25" i="21"/>
  <c r="S32" i="21"/>
  <c r="R33" i="21"/>
  <c r="T17" i="21"/>
  <c r="T22" i="21"/>
  <c r="T26" i="21" s="1"/>
  <c r="T31" i="21" s="1"/>
  <c r="V23" i="21" l="1"/>
  <c r="V27" i="21" s="1"/>
  <c r="V24" i="21"/>
  <c r="V28" i="21" s="1"/>
  <c r="V25" i="21"/>
  <c r="V29" i="21" s="1"/>
  <c r="T32" i="21"/>
  <c r="S33" i="21"/>
  <c r="U22" i="21"/>
  <c r="U17" i="21"/>
  <c r="V22" i="21" l="1"/>
  <c r="V26" i="21" s="1"/>
  <c r="V31" i="21" s="1"/>
  <c r="V17" i="21"/>
  <c r="U32" i="21"/>
  <c r="T33" i="21"/>
  <c r="W24" i="21"/>
  <c r="W23" i="21"/>
  <c r="W25" i="21"/>
  <c r="X25" i="21" l="1"/>
  <c r="X29" i="21" s="1"/>
  <c r="X24" i="21"/>
  <c r="X28" i="21" s="1"/>
  <c r="X23" i="21"/>
  <c r="X27" i="21" s="1"/>
  <c r="W22" i="21"/>
  <c r="W17" i="21"/>
  <c r="U33" i="21"/>
  <c r="V32" i="21"/>
  <c r="X17" i="21" l="1"/>
  <c r="X22" i="21"/>
  <c r="X26" i="21" s="1"/>
  <c r="X31" i="21" s="1"/>
  <c r="Y24" i="21"/>
  <c r="Y25" i="21"/>
  <c r="Y23" i="21"/>
  <c r="V33" i="21"/>
  <c r="W32" i="21"/>
  <c r="Z23" i="21" l="1"/>
  <c r="Z27" i="21" s="1"/>
  <c r="Z25" i="21"/>
  <c r="Z29" i="21" s="1"/>
  <c r="Z24" i="21"/>
  <c r="Z28" i="21" s="1"/>
  <c r="Y22" i="21"/>
  <c r="Y17" i="21"/>
  <c r="W33" i="21"/>
  <c r="X32" i="21"/>
  <c r="AA25" i="21" l="1"/>
  <c r="AA24" i="21"/>
  <c r="AA23" i="21"/>
  <c r="Z22" i="21"/>
  <c r="Z26" i="21" s="1"/>
  <c r="Z31" i="21" s="1"/>
  <c r="Z17" i="21"/>
  <c r="X33" i="21"/>
  <c r="Y32" i="21"/>
  <c r="AB25" i="21" l="1"/>
  <c r="AB29" i="21" s="1"/>
  <c r="AB23" i="21"/>
  <c r="AB27" i="21" s="1"/>
  <c r="AB24" i="21"/>
  <c r="AB28" i="21" s="1"/>
  <c r="Z32" i="21"/>
  <c r="Y33" i="21"/>
  <c r="AA22" i="21"/>
  <c r="AA17" i="21"/>
  <c r="AA32" i="21" l="1"/>
  <c r="Z33" i="21"/>
  <c r="AB17" i="21"/>
  <c r="AB22" i="21"/>
  <c r="AB26" i="21" s="1"/>
  <c r="AB31" i="21" s="1"/>
  <c r="AC24" i="21"/>
  <c r="AC23" i="21"/>
  <c r="AC25" i="21"/>
  <c r="AC22" i="21" l="1"/>
  <c r="AC17" i="21"/>
  <c r="AD23" i="21"/>
  <c r="AD27" i="21" s="1"/>
  <c r="AD25" i="21"/>
  <c r="AD29" i="21" s="1"/>
  <c r="AD24" i="21"/>
  <c r="AD28" i="21" s="1"/>
  <c r="AB32" i="21"/>
  <c r="AA33" i="21"/>
  <c r="AC32" i="21" l="1"/>
  <c r="AB33" i="21"/>
  <c r="AD22" i="21"/>
  <c r="AD26" i="21" s="1"/>
  <c r="AD31" i="21" s="1"/>
  <c r="AD17" i="21"/>
  <c r="AC33" i="21" l="1"/>
  <c r="AD32" i="21"/>
  <c r="AD33" i="21" s="1"/>
  <c r="G3" i="25"/>
  <c r="G2" i="25" s="1"/>
  <c r="J2" i="25" s="1"/>
  <c r="H7" i="25" l="1"/>
  <c r="H19" i="25"/>
  <c r="H17" i="25"/>
  <c r="H21" i="25"/>
  <c r="H20" i="25"/>
  <c r="H18" i="25"/>
  <c r="H16" i="25"/>
  <c r="H15" i="25"/>
  <c r="H10" i="25"/>
  <c r="H9" i="25"/>
  <c r="H3" i="25"/>
  <c r="H8" i="25"/>
  <c r="H4" i="25"/>
  <c r="H2" i="25"/>
  <c r="H5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K3" authorId="0" shapeId="0" xr:uid="{00000000-0006-0000-0100-000001000000}">
      <text>
        <r>
          <rPr>
            <sz val="8"/>
            <rFont val="Tahoma"/>
            <family val="2"/>
          </rPr>
          <t>Lid*Lid*Exp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T22" authorId="0" shapeId="0" xr:uid="{AB0F3665-34D0-4D71-B179-AB13A2C80946}">
      <text>
        <r>
          <rPr>
            <b/>
            <sz val="9"/>
            <rFont val="Tahoma"/>
            <family val="2"/>
          </rPr>
          <t>Autor:</t>
        </r>
        <r>
          <rPr>
            <sz val="9"/>
            <rFont val="Tahoma"/>
            <family val="2"/>
          </rPr>
          <t xml:space="preserve">
Para cuadrar Caja...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C28" authorId="0" shapeId="0" xr:uid="{00000000-0006-0000-0600-000001000000}">
      <text>
        <r>
          <rPr>
            <b/>
            <sz val="8"/>
            <rFont val="Tahoma"/>
            <family val="2"/>
          </rPr>
          <t>Sacado del manual no escrito, no se sabe que son estos valores</t>
        </r>
      </text>
    </comment>
    <comment ref="D28" authorId="0" shapeId="0" xr:uid="{00000000-0006-0000-0600-000002000000}">
      <text>
        <r>
          <rPr>
            <b/>
            <sz val="8"/>
            <rFont val="Tahoma"/>
            <family val="2"/>
          </rPr>
          <t>En partidos de Torneo con el predictor
-Campo neutral
-Espiritu: Ilusionats (6)
-Confiança: Alta (7)
Entrenador NEUTRO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I1" authorId="0" shapeId="0" xr:uid="{00000000-0006-0000-0A00-000001000000}">
      <text>
        <r>
          <rPr>
            <sz val="8"/>
            <rFont val="Tahoma"/>
            <family val="2"/>
          </rPr>
          <t>Lid*Lid*Exp</t>
        </r>
      </text>
    </comment>
    <comment ref="I3" authorId="0" shapeId="0" xr:uid="{00000000-0006-0000-0A00-000002000000}">
      <text>
        <r>
          <rPr>
            <sz val="8"/>
            <rFont val="Tahoma"/>
            <family val="2"/>
          </rPr>
          <t>Lid*Lid*Exp</t>
        </r>
      </text>
    </comment>
    <comment ref="I12" authorId="0" shapeId="0" xr:uid="{00000000-0006-0000-0A00-000003000000}">
      <text>
        <r>
          <rPr>
            <sz val="8"/>
            <rFont val="Tahoma"/>
            <family val="2"/>
          </rPr>
          <t>Lid*Lid*Exp</t>
        </r>
      </text>
    </comment>
    <comment ref="I24" authorId="0" shapeId="0" xr:uid="{00000000-0006-0000-0A00-000004000000}">
      <text>
        <r>
          <rPr>
            <sz val="8"/>
            <rFont val="Tahoma"/>
            <family val="2"/>
          </rPr>
          <t>Lid*Lid*Exp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X1" authorId="0" shapeId="0" xr:uid="{00000000-0006-0000-0B00-000004000000}">
      <text>
        <r>
          <rPr>
            <b/>
            <sz val="8"/>
            <rFont val="Tahoma"/>
            <family val="2"/>
          </rPr>
          <t>Sacado del manual no escrito, no se sabe que son estos valores</t>
        </r>
      </text>
    </comment>
    <comment ref="AY1" authorId="0" shapeId="0" xr:uid="{00000000-0006-0000-0B00-000005000000}">
      <text>
        <r>
          <rPr>
            <b/>
            <sz val="8"/>
            <rFont val="Tahoma"/>
            <family val="2"/>
          </rPr>
          <t>En partidos de Torneo con el predictor
-Campo neutral
-Espiritu: Ilusionats (6)
-Confiança: Alta (7)
Entrenador NEUTRO</t>
        </r>
      </text>
    </comment>
    <comment ref="G8" authorId="0" shapeId="0" xr:uid="{00000000-0006-0000-0B00-000002000000}">
      <text>
        <r>
          <rPr>
            <b/>
            <sz val="8"/>
            <rFont val="Tahoma"/>
            <family val="2"/>
          </rPr>
          <t>Debe ser bajo, muy bajo</t>
        </r>
      </text>
    </comment>
    <comment ref="G10" authorId="0" shapeId="0" xr:uid="{00000000-0006-0000-0B00-000003000000}">
      <text>
        <r>
          <rPr>
            <b/>
            <sz val="8"/>
            <rFont val="Tahoma"/>
            <family val="2"/>
          </rPr>
          <t>Debe ser bajo, muy bajo</t>
        </r>
      </text>
    </comment>
    <comment ref="G18" authorId="0" shapeId="0" xr:uid="{00000000-0006-0000-0B00-000001000000}">
      <text>
        <r>
          <rPr>
            <b/>
            <sz val="8"/>
            <rFont val="Tahoma"/>
            <family val="2"/>
          </rPr>
          <t>Debe ser Alto, bastante Alto</t>
        </r>
      </text>
    </comment>
  </commentList>
</comments>
</file>

<file path=xl/sharedStrings.xml><?xml version="1.0" encoding="utf-8"?>
<sst xmlns="http://schemas.openxmlformats.org/spreadsheetml/2006/main" count="2103" uniqueCount="670">
  <si>
    <t>Fecha Actualizacion</t>
  </si>
  <si>
    <t>Mejor Partido</t>
  </si>
  <si>
    <t>Casa</t>
  </si>
  <si>
    <t>529hts</t>
  </si>
  <si>
    <t>Obiwan-Antioch</t>
  </si>
  <si>
    <t>F-N</t>
  </si>
  <si>
    <t>532hts</t>
  </si>
  <si>
    <t>FC Mariannah - Obiwan</t>
  </si>
  <si>
    <t>Porteria Imbatuda</t>
  </si>
  <si>
    <t>Més Partits Jugats</t>
  </si>
  <si>
    <t>Gols Marcats</t>
  </si>
  <si>
    <t>G/P</t>
  </si>
  <si>
    <t>Millor Qualificació</t>
  </si>
  <si>
    <t>Dominik Gehmacher</t>
  </si>
  <si>
    <t>POR</t>
  </si>
  <si>
    <t>Elliot Romweber</t>
  </si>
  <si>
    <t>DL</t>
  </si>
  <si>
    <t>Julián Limón</t>
  </si>
  <si>
    <t>DV</t>
  </si>
  <si>
    <t>14*</t>
  </si>
  <si>
    <t>Lorenzo Calosso</t>
  </si>
  <si>
    <t>DAV</t>
  </si>
  <si>
    <t>Tony Hammond</t>
  </si>
  <si>
    <t>Eugene Toney</t>
  </si>
  <si>
    <t>DC</t>
  </si>
  <si>
    <t>11,5*</t>
  </si>
  <si>
    <t>Robert Lawhon</t>
  </si>
  <si>
    <t>Stephen Buschelman</t>
  </si>
  <si>
    <t>MED</t>
  </si>
  <si>
    <t>Stacy Zobbe</t>
  </si>
  <si>
    <t>EXT</t>
  </si>
  <si>
    <t>林 (Lin) 光维 (Guangwei)</t>
  </si>
  <si>
    <t>Julian Limón</t>
  </si>
  <si>
    <t>Clayton Rojas</t>
  </si>
  <si>
    <t>Philip Alston</t>
  </si>
  <si>
    <t>Gerolf Kerschl</t>
  </si>
  <si>
    <t>Duncan Toh</t>
  </si>
  <si>
    <t>DEF</t>
  </si>
  <si>
    <t>Hardy Kjærulff</t>
  </si>
  <si>
    <t>Carlos Ramirez</t>
  </si>
  <si>
    <t>Ke'Shawn Helms</t>
  </si>
  <si>
    <t>11*</t>
  </si>
  <si>
    <t>Bendegúz Pinczehelyi</t>
  </si>
  <si>
    <t>Eric Gross</t>
  </si>
  <si>
    <t>Lawrence Bauman</t>
  </si>
  <si>
    <t>Més vegades Capità</t>
  </si>
  <si>
    <t>Baudalio Bartolache</t>
  </si>
  <si>
    <t>10,5*</t>
  </si>
  <si>
    <t>Pavan Trivedi</t>
  </si>
  <si>
    <t>10*</t>
  </si>
  <si>
    <t>Allen Horn</t>
  </si>
  <si>
    <t>Jakob-Peter Kechele</t>
  </si>
  <si>
    <t>9*</t>
  </si>
  <si>
    <t>Will Gelifini</t>
  </si>
  <si>
    <t>8,5*</t>
  </si>
  <si>
    <t>Juan Alberto Carmona</t>
  </si>
  <si>
    <t>Pavan Trivadi</t>
  </si>
  <si>
    <t>Félix Lasprilla</t>
  </si>
  <si>
    <t>Ian Stone</t>
  </si>
  <si>
    <t>John Wesner</t>
  </si>
  <si>
    <t>Steve Olson</t>
  </si>
  <si>
    <t>DEF/DV</t>
  </si>
  <si>
    <t>Stefano Sbattelia</t>
  </si>
  <si>
    <t>Milan Amico</t>
  </si>
  <si>
    <t>Rickey Forsyth</t>
  </si>
  <si>
    <t>Marian Bondarewski</t>
  </si>
  <si>
    <t>Patryk Tuderek</t>
  </si>
  <si>
    <t>Michael Smith</t>
  </si>
  <si>
    <t>Gerald Piscaer</t>
  </si>
  <si>
    <t>Fernando Mendieta</t>
  </si>
  <si>
    <t>Lamar Cherry</t>
  </si>
  <si>
    <t>Javier Brock</t>
  </si>
  <si>
    <t>Ilmars Vanags</t>
  </si>
  <si>
    <t>Valério Godoi</t>
  </si>
  <si>
    <t>Valentino Gardner</t>
  </si>
  <si>
    <t>Hector Garzón</t>
  </si>
  <si>
    <t>Lenny Albers</t>
  </si>
  <si>
    <t>Eric Deus</t>
  </si>
  <si>
    <t>Stellan Swardborn</t>
  </si>
  <si>
    <t>Luka Tutoric</t>
  </si>
  <si>
    <t>Mieczysław Grupiński</t>
  </si>
  <si>
    <t>Jarkko Vartainen</t>
  </si>
  <si>
    <t>Nfin</t>
  </si>
  <si>
    <t>POS</t>
  </si>
  <si>
    <t>Jugador</t>
  </si>
  <si>
    <t>Anys</t>
  </si>
  <si>
    <t>Dias</t>
  </si>
  <si>
    <t>PA</t>
  </si>
  <si>
    <t>Lid</t>
  </si>
  <si>
    <t>Exp</t>
  </si>
  <si>
    <t>HXP</t>
  </si>
  <si>
    <t>CMn</t>
  </si>
  <si>
    <t>CMx</t>
  </si>
  <si>
    <t>Res</t>
  </si>
  <si>
    <t>m90</t>
  </si>
  <si>
    <t>Fcompra</t>
  </si>
  <si>
    <t>FID</t>
  </si>
  <si>
    <t>For</t>
  </si>
  <si>
    <t>Fmin</t>
  </si>
  <si>
    <t>Fmax</t>
  </si>
  <si>
    <t>TSI</t>
  </si>
  <si>
    <t>Dif</t>
  </si>
  <si>
    <t>Sou</t>
  </si>
  <si>
    <t>Hib</t>
  </si>
  <si>
    <t>Po</t>
  </si>
  <si>
    <t>De</t>
  </si>
  <si>
    <t>Cr</t>
  </si>
  <si>
    <t>Ex</t>
  </si>
  <si>
    <t>Ps</t>
  </si>
  <si>
    <t>An</t>
  </si>
  <si>
    <t>Ability</t>
  </si>
  <si>
    <t>JMn</t>
  </si>
  <si>
    <t>JMx</t>
  </si>
  <si>
    <t>CA</t>
  </si>
  <si>
    <t>TL</t>
  </si>
  <si>
    <t>PEN</t>
  </si>
  <si>
    <t>BPMin</t>
  </si>
  <si>
    <t>BPMax</t>
  </si>
  <si>
    <t>Ag</t>
  </si>
  <si>
    <t>Ho</t>
  </si>
  <si>
    <t>%_T</t>
  </si>
  <si>
    <t>DCN</t>
  </si>
  <si>
    <t>INN</t>
  </si>
  <si>
    <t>DD</t>
  </si>
  <si>
    <t>LastWeek</t>
  </si>
  <si>
    <t>Coste (m€)</t>
  </si>
  <si>
    <t>D. Gehmacher</t>
  </si>
  <si>
    <t>#1</t>
  </si>
  <si>
    <t>IMP</t>
  </si>
  <si>
    <t>E. Toney</t>
  </si>
  <si>
    <t>E. Romweber</t>
  </si>
  <si>
    <t>S. Buschelman</t>
  </si>
  <si>
    <t>#2</t>
  </si>
  <si>
    <t>L. Tutorić</t>
  </si>
  <si>
    <t>CAB</t>
  </si>
  <si>
    <t>S. Swärdborn</t>
  </si>
  <si>
    <t>#19</t>
  </si>
  <si>
    <t>A. Grimaud</t>
  </si>
  <si>
    <t>RAP</t>
  </si>
  <si>
    <t>#22</t>
  </si>
  <si>
    <t>V. Gardner</t>
  </si>
  <si>
    <t>#3</t>
  </si>
  <si>
    <t>S. Embe</t>
  </si>
  <si>
    <t>#4</t>
  </si>
  <si>
    <t>E. Deus</t>
  </si>
  <si>
    <t>#16</t>
  </si>
  <si>
    <t>I. Vanags</t>
  </si>
  <si>
    <t>#8</t>
  </si>
  <si>
    <t>I. Stone</t>
  </si>
  <si>
    <t>#14</t>
  </si>
  <si>
    <t>G. Piscaer</t>
  </si>
  <si>
    <t>#9</t>
  </si>
  <si>
    <t>M. Bondarewski</t>
  </si>
  <si>
    <t>#12</t>
  </si>
  <si>
    <t>P. Tuderek</t>
  </si>
  <si>
    <t>#10</t>
  </si>
  <si>
    <t>R. Forsyth</t>
  </si>
  <si>
    <t>POT</t>
  </si>
  <si>
    <t>#11</t>
  </si>
  <si>
    <t>J-P. Kechele</t>
  </si>
  <si>
    <t>S. Zobbe</t>
  </si>
  <si>
    <t>P .Trivadi</t>
  </si>
  <si>
    <t>COMPLETAMENTE ENTRENADOS!</t>
  </si>
  <si>
    <t>Edad</t>
  </si>
  <si>
    <t>Esp</t>
  </si>
  <si>
    <t>Asc</t>
  </si>
  <si>
    <t>Fecha</t>
  </si>
  <si>
    <t>Pot</t>
  </si>
  <si>
    <t>JUG</t>
  </si>
  <si>
    <t>LAT</t>
  </si>
  <si>
    <t>PAS</t>
  </si>
  <si>
    <t>ANO</t>
  </si>
  <si>
    <t>BP</t>
  </si>
  <si>
    <t>Cap</t>
  </si>
  <si>
    <t>Info</t>
  </si>
  <si>
    <t>Habilidades</t>
  </si>
  <si>
    <t>D. Toh</t>
  </si>
  <si>
    <t>B. Bartolache</t>
  </si>
  <si>
    <t>E. Gross</t>
  </si>
  <si>
    <t>C. Rojas</t>
  </si>
  <si>
    <t>J. Limon</t>
  </si>
  <si>
    <t>L. Bauman</t>
  </si>
  <si>
    <t>K. Helms</t>
  </si>
  <si>
    <t>Actualización</t>
  </si>
  <si>
    <t>Capitan</t>
  </si>
  <si>
    <t>Num</t>
  </si>
  <si>
    <t>Nombre</t>
  </si>
  <si>
    <t>ESP</t>
  </si>
  <si>
    <t>Años</t>
  </si>
  <si>
    <t>Sueldo</t>
  </si>
  <si>
    <t>DEFENSA</t>
  </si>
  <si>
    <t>JUGADAS</t>
  </si>
  <si>
    <t>Total</t>
  </si>
  <si>
    <t>Temp</t>
  </si>
  <si>
    <t>#7</t>
  </si>
  <si>
    <t>Inners</t>
  </si>
  <si>
    <t>Portero</t>
  </si>
  <si>
    <t>S16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</si>
  <si>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</si>
  <si>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</si>
  <si>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</si>
  <si>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</si>
  <si>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</si>
  <si>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</si>
  <si>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</si>
  <si>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</si>
  <si>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</si>
  <si>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</si>
  <si>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</si>
  <si>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</si>
  <si>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</si>
  <si>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</si>
  <si>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</si>
  <si>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ACTIVO</t>
  </si>
  <si>
    <t>PASIVO</t>
  </si>
  <si>
    <t>Socios</t>
  </si>
  <si>
    <t>Inmobilizado</t>
  </si>
  <si>
    <t>Patrimonio</t>
  </si>
  <si>
    <t>SALDO INICIAL</t>
  </si>
  <si>
    <t>Estadio</t>
  </si>
  <si>
    <t>Capital Inicial</t>
  </si>
  <si>
    <t>Taquillas</t>
  </si>
  <si>
    <t>Entrenador</t>
  </si>
  <si>
    <t>Patrocinadores</t>
  </si>
  <si>
    <t>Venta de jugadores</t>
  </si>
  <si>
    <t>Ventas</t>
  </si>
  <si>
    <t>VentasCantera</t>
  </si>
  <si>
    <t>Reservas</t>
  </si>
  <si>
    <t>Comisiones</t>
  </si>
  <si>
    <t>Otros</t>
  </si>
  <si>
    <t>Premios</t>
  </si>
  <si>
    <t>TOTAL INGRESOS</t>
  </si>
  <si>
    <t>Jugadores</t>
  </si>
  <si>
    <t>Sueldos</t>
  </si>
  <si>
    <t xml:space="preserve">Mantenimiento </t>
  </si>
  <si>
    <t>Construcción del estadio</t>
  </si>
  <si>
    <t>Empleados</t>
  </si>
  <si>
    <t>Compra</t>
  </si>
  <si>
    <t>Juveniles</t>
  </si>
  <si>
    <t>Compra de jugadores*</t>
  </si>
  <si>
    <t>Viajes+Venta</t>
  </si>
  <si>
    <t>Intereses</t>
  </si>
  <si>
    <t>TOTAL GASTOS</t>
  </si>
  <si>
    <t>SALDO FINAL</t>
  </si>
  <si>
    <t>Salarios</t>
  </si>
  <si>
    <t>TOTAL</t>
  </si>
  <si>
    <t xml:space="preserve">Evaluación </t>
  </si>
  <si>
    <t>DCNormal</t>
  </si>
  <si>
    <t>DCOff</t>
  </si>
  <si>
    <t>DLNormal</t>
  </si>
  <si>
    <t>DCtW</t>
  </si>
  <si>
    <t>MDEF</t>
  </si>
  <si>
    <t>Mnor</t>
  </si>
  <si>
    <t>IHL</t>
  </si>
  <si>
    <t>EXTDEF</t>
  </si>
  <si>
    <t>EXTOF</t>
  </si>
  <si>
    <t>EXTN</t>
  </si>
  <si>
    <t>EHM</t>
  </si>
  <si>
    <t>FechaCompra</t>
  </si>
  <si>
    <t>FOR</t>
  </si>
  <si>
    <t>XP</t>
  </si>
  <si>
    <t>NCA</t>
  </si>
  <si>
    <t>BPI_A</t>
  </si>
  <si>
    <t>BPI_D</t>
  </si>
  <si>
    <t>DEFLAT</t>
  </si>
  <si>
    <t>DEFCEN</t>
  </si>
  <si>
    <t>ATLAT</t>
  </si>
  <si>
    <t>ATCEN</t>
  </si>
  <si>
    <t>Zona</t>
  </si>
  <si>
    <t>%</t>
  </si>
  <si>
    <t>Def Central</t>
  </si>
  <si>
    <t>Def Lat</t>
  </si>
  <si>
    <t>Medio</t>
  </si>
  <si>
    <t>At Lateral</t>
  </si>
  <si>
    <t>At Central</t>
  </si>
  <si>
    <t>Evalución sin FORMA</t>
  </si>
  <si>
    <t>N_CA</t>
  </si>
  <si>
    <t>Min</t>
  </si>
  <si>
    <t>Max</t>
  </si>
  <si>
    <t>TL Calculator</t>
  </si>
  <si>
    <t>CA_Calculator</t>
  </si>
  <si>
    <t>Defensas</t>
  </si>
  <si>
    <t>edad</t>
  </si>
  <si>
    <t>LS</t>
  </si>
  <si>
    <t>xpe/17 + (xpc * lid^2) ^ (2/3) / 30</t>
  </si>
  <si>
    <t>Xpe</t>
  </si>
  <si>
    <t>Xpe/16,5</t>
  </si>
  <si>
    <t>Xpe/17</t>
  </si>
  <si>
    <t>donde</t>
  </si>
  <si>
    <t>lid^2</t>
  </si>
  <si>
    <t>xpe es la suma de la experiencia de todos los jugadores</t>
  </si>
  <si>
    <t>Xpc*lid^2</t>
  </si>
  <si>
    <t>xpc es la experiencia del capitán</t>
  </si>
  <si>
    <t>(xpc * lid^2) ^ (2/3) / 27</t>
  </si>
  <si>
    <t>(xpc * lid^2) ^ (2/3) / 30</t>
  </si>
  <si>
    <t>lid es el liderazgo del capitán</t>
  </si>
  <si>
    <t>liderazgo x liderazgo x experiencia</t>
  </si>
  <si>
    <t>Valor lider de "RED BARON"</t>
  </si>
  <si>
    <t>h33</t>
  </si>
  <si>
    <t>CMin</t>
  </si>
  <si>
    <t>CMax</t>
  </si>
  <si>
    <t>Fechallegada</t>
  </si>
  <si>
    <t>FechaTransformación</t>
  </si>
  <si>
    <t>FechaDespido</t>
  </si>
  <si>
    <t>CosteFichaje</t>
  </si>
  <si>
    <t>SueldoJug</t>
  </si>
  <si>
    <t>SueldoEnt</t>
  </si>
  <si>
    <t>CosteTransformación</t>
  </si>
  <si>
    <t>CosteTotal</t>
  </si>
  <si>
    <t>CosteTemporada</t>
  </si>
  <si>
    <t>TempEntrenador</t>
  </si>
  <si>
    <t>ENT</t>
  </si>
  <si>
    <t>S. Sbattelia</t>
  </si>
  <si>
    <t>S. Pignot</t>
  </si>
  <si>
    <t>I. Seccarecci</t>
  </si>
  <si>
    <t>Subnivel Min Seccarecci</t>
  </si>
  <si>
    <t xml:space="preserve">Nivel de Entrenador </t>
  </si>
  <si>
    <t>Experiencia</t>
  </si>
  <si>
    <t xml:space="preserve">Aceptable </t>
  </si>
  <si>
    <t xml:space="preserve">Bueno </t>
  </si>
  <si>
    <t xml:space="preserve">Excelente </t>
  </si>
  <si>
    <t xml:space="preserve">235.200 - 277.700 € </t>
  </si>
  <si>
    <t xml:space="preserve">- </t>
  </si>
  <si>
    <t xml:space="preserve">202.000 - 235.200 € </t>
  </si>
  <si>
    <t xml:space="preserve">681.800 - 794 100 € </t>
  </si>
  <si>
    <t xml:space="preserve">176.900 - 200.000 € </t>
  </si>
  <si>
    <t xml:space="preserve">597.300 - 675.000 € </t>
  </si>
  <si>
    <t xml:space="preserve">4.247.700- 4.800.000 € </t>
  </si>
  <si>
    <t xml:space="preserve">Formidable </t>
  </si>
  <si>
    <t xml:space="preserve">157.400 - 175.400 € </t>
  </si>
  <si>
    <t xml:space="preserve">531.400 - 592.100 € </t>
  </si>
  <si>
    <t xml:space="preserve">3.779.500 - 4.210.500 € </t>
  </si>
  <si>
    <t xml:space="preserve">Destacado </t>
  </si>
  <si>
    <t xml:space="preserve">140.800 - 156.200 € </t>
  </si>
  <si>
    <t xml:space="preserve">475.300 - 527.300 € </t>
  </si>
  <si>
    <t xml:space="preserve">3.380.200 - 3.750.000 € </t>
  </si>
  <si>
    <t xml:space="preserve">Brillante </t>
  </si>
  <si>
    <t xml:space="preserve">128.200 - 139.800 € </t>
  </si>
  <si>
    <t xml:space="preserve">432.600 -472.000 € </t>
  </si>
  <si>
    <t xml:space="preserve">3.076.900 - 3.356.600 € </t>
  </si>
  <si>
    <t xml:space="preserve">Magnífico </t>
  </si>
  <si>
    <t xml:space="preserve">117.600 - 127.300 € </t>
  </si>
  <si>
    <t xml:space="preserve">397.000 - 429.900 € </t>
  </si>
  <si>
    <t xml:space="preserve">2.823.500 - 3.057.300 € </t>
  </si>
  <si>
    <t xml:space="preserve">Clase Mundial </t>
  </si>
  <si>
    <t xml:space="preserve">108.600 - 116.900 € </t>
  </si>
  <si>
    <t xml:space="preserve">366.800 - 394.700 € </t>
  </si>
  <si>
    <t xml:space="preserve">2.608.600 - 2.807.000 € </t>
  </si>
  <si>
    <t xml:space="preserve">Sobrenatural </t>
  </si>
  <si>
    <t xml:space="preserve">100.500 - 108.100 € </t>
  </si>
  <si>
    <t xml:space="preserve">339.100 - 364.800 € </t>
  </si>
  <si>
    <t xml:space="preserve">2.412.000 - 2.594.500 € </t>
  </si>
  <si>
    <t xml:space="preserve">Titánico </t>
  </si>
  <si>
    <t xml:space="preserve">93.800 - 100.000 € </t>
  </si>
  <si>
    <t xml:space="preserve">316.900 - 337.500 € </t>
  </si>
  <si>
    <t xml:space="preserve">2.253.500 - 2.400.000 € </t>
  </si>
  <si>
    <t xml:space="preserve">Extra Terrestre </t>
  </si>
  <si>
    <t xml:space="preserve">88.100 - 93.400 € </t>
  </si>
  <si>
    <t xml:space="preserve">297.300 - 315.400 € </t>
  </si>
  <si>
    <t xml:space="preserve">2.114.500 - 2.242.290 € </t>
  </si>
  <si>
    <t xml:space="preserve">Mítico </t>
  </si>
  <si>
    <t xml:space="preserve">82.600 - 87.700 € </t>
  </si>
  <si>
    <t xml:space="preserve">278.900 - 296.000 € </t>
  </si>
  <si>
    <t xml:space="preserve">1.983.400 - 2.105.200 € </t>
  </si>
  <si>
    <t xml:space="preserve">Mágico </t>
  </si>
  <si>
    <t xml:space="preserve">78.100 - 82.300 € </t>
  </si>
  <si>
    <t xml:space="preserve">263.600 - 277.700 € </t>
  </si>
  <si>
    <t xml:space="preserve">1.875.000 - 1.975.300 € </t>
  </si>
  <si>
    <t xml:space="preserve">Utópico </t>
  </si>
  <si>
    <t xml:space="preserve">74.000 - 77.800 € </t>
  </si>
  <si>
    <t xml:space="preserve">250.000 - 262.600 € </t>
  </si>
  <si>
    <t xml:space="preserve">1.777.700 - 1.867.700 € </t>
  </si>
  <si>
    <t xml:space="preserve">Divino </t>
  </si>
  <si>
    <t xml:space="preserve">47.900 - 73.800 € </t>
  </si>
  <si>
    <t xml:space="preserve">161 800 - 249.000 € </t>
  </si>
  <si>
    <t xml:space="preserve">1 150 800 - 1.771.200 € </t>
  </si>
  <si>
    <t>Ojo, no es directo a calis, es un % para comparar entre varias POS</t>
  </si>
  <si>
    <t>Niveles¿?</t>
  </si>
  <si>
    <t>CALCULADO</t>
  </si>
  <si>
    <t>10niveles</t>
  </si>
  <si>
    <t>15niveles</t>
  </si>
  <si>
    <t>DEFLat1</t>
  </si>
  <si>
    <t>DEFLat2</t>
  </si>
  <si>
    <t>DEFCen</t>
  </si>
  <si>
    <t>MEDIO</t>
  </si>
  <si>
    <t>AtLat1</t>
  </si>
  <si>
    <t>AtLat2</t>
  </si>
  <si>
    <t>AtCen</t>
  </si>
  <si>
    <t>BPIAt</t>
  </si>
  <si>
    <t>BPIDf</t>
  </si>
  <si>
    <t>CEN</t>
  </si>
  <si>
    <t>IDEF</t>
  </si>
  <si>
    <t>EXhM</t>
  </si>
  <si>
    <t>Maximo</t>
  </si>
  <si>
    <t>FORMACION</t>
  </si>
  <si>
    <t>Entrenamiento</t>
  </si>
  <si>
    <t>Sem/1L</t>
  </si>
  <si>
    <t>TODAS</t>
  </si>
  <si>
    <t>PORTERIA</t>
  </si>
  <si>
    <t>352BI</t>
  </si>
  <si>
    <t>LATERAL</t>
  </si>
  <si>
    <t>PASES</t>
  </si>
  <si>
    <t>253BI</t>
  </si>
  <si>
    <t>442CA</t>
  </si>
  <si>
    <t>541CA</t>
  </si>
  <si>
    <t>p</t>
  </si>
  <si>
    <t>DELCEN</t>
  </si>
  <si>
    <t>BPA</t>
  </si>
  <si>
    <t>BPD</t>
  </si>
  <si>
    <t>LATN</t>
  </si>
  <si>
    <t>CENN</t>
  </si>
  <si>
    <t>Ent.NEUTRO</t>
  </si>
  <si>
    <t>Ent.DEF</t>
  </si>
  <si>
    <t>Ent.OF</t>
  </si>
  <si>
    <t>DCHL</t>
  </si>
  <si>
    <t>F.Actu</t>
  </si>
  <si>
    <t>352Id</t>
  </si>
  <si>
    <t>541Id</t>
  </si>
  <si>
    <t>#</t>
  </si>
  <si>
    <t>R16,6%</t>
  </si>
  <si>
    <t>CEOf</t>
  </si>
  <si>
    <t>ChL</t>
  </si>
  <si>
    <t>WBN</t>
  </si>
  <si>
    <t>EXN</t>
  </si>
  <si>
    <t>Id-MED</t>
  </si>
  <si>
    <t>B. Pinczehelyi</t>
  </si>
  <si>
    <t>R12,5%</t>
  </si>
  <si>
    <t>Hab</t>
  </si>
  <si>
    <t>TL-100%</t>
  </si>
  <si>
    <t>TL-R16,6%</t>
  </si>
  <si>
    <t>TL-50%</t>
  </si>
  <si>
    <t>Estado de ánimo de los aficionados</t>
  </si>
  <si>
    <t>Grada general</t>
  </si>
  <si>
    <t>Preferente</t>
  </si>
  <si>
    <t>Tribuna</t>
  </si>
  <si>
    <t>Palco</t>
  </si>
  <si>
    <t>Multiplicador</t>
  </si>
  <si>
    <t>(asistencia = socios X multiplicador)</t>
  </si>
  <si>
    <t>Nuevo</t>
  </si>
  <si>
    <t>CosteContrucción</t>
  </si>
  <si>
    <t>CosteMantenimiento</t>
  </si>
  <si>
    <t>IngresoVenta</t>
  </si>
  <si>
    <t>Ideal</t>
  </si>
  <si>
    <t>Capacidad total:</t>
  </si>
  <si>
    <t>por asiento</t>
  </si>
  <si>
    <t>Coste</t>
  </si>
  <si>
    <t>CosteSemanal</t>
  </si>
  <si>
    <t>1Partido</t>
  </si>
  <si>
    <t>completo</t>
  </si>
  <si>
    <t>Grada general:</t>
  </si>
  <si>
    <t>Preferentes:</t>
  </si>
  <si>
    <t>Tribunas:</t>
  </si>
  <si>
    <t>Palcos:</t>
  </si>
  <si>
    <t>Coste Inicial</t>
  </si>
  <si>
    <t>Coste de Contrucción</t>
  </si>
  <si>
    <t>Aficionados</t>
  </si>
  <si>
    <t>MaxGrada Llena</t>
  </si>
  <si>
    <t>MaxPreferente Lleno</t>
  </si>
  <si>
    <t>MaxTribuna Lleno</t>
  </si>
  <si>
    <t>MaxPalco Lleno</t>
  </si>
  <si>
    <t>Real Grada</t>
  </si>
  <si>
    <t>Real Preferente</t>
  </si>
  <si>
    <t>Real Tribuna</t>
  </si>
  <si>
    <t>Real Palco</t>
  </si>
  <si>
    <t>Ingresos Extra Grada general:</t>
  </si>
  <si>
    <t>Ingresos Extre Preferentes:</t>
  </si>
  <si>
    <t>Ingresos Extra Tribunas:</t>
  </si>
  <si>
    <t>Ingresos Extra Palcos:</t>
  </si>
  <si>
    <t>Coste de Mantenimiento Extra</t>
  </si>
  <si>
    <t>Beneficio Neto Semanal</t>
  </si>
  <si>
    <t>Beneficio Acumulado</t>
  </si>
  <si>
    <t>ID_Partido</t>
  </si>
  <si>
    <t>Ocasiones</t>
  </si>
  <si>
    <t>MC</t>
  </si>
  <si>
    <t>Gol</t>
  </si>
  <si>
    <t>Error</t>
  </si>
  <si>
    <t>Tactica</t>
  </si>
  <si>
    <t>Suma de Ocasiones</t>
  </si>
  <si>
    <t>Suma de DL</t>
  </si>
  <si>
    <t>Suma de DC</t>
  </si>
  <si>
    <t>Suma de MC</t>
  </si>
  <si>
    <t>Suma de EXT</t>
  </si>
  <si>
    <t>Suma de DAV</t>
  </si>
  <si>
    <t>Suma de Gol</t>
  </si>
  <si>
    <t>Suma de Error</t>
  </si>
  <si>
    <t>Suma de %_Gol</t>
  </si>
  <si>
    <t>%_Conv_TL</t>
  </si>
  <si>
    <t>L. Guangwei</t>
  </si>
  <si>
    <t>Wdef</t>
  </si>
  <si>
    <t>EhM</t>
  </si>
  <si>
    <t>CENO</t>
  </si>
  <si>
    <t>Alexandre Grimaud</t>
  </si>
  <si>
    <t>Sergi Botam</t>
  </si>
  <si>
    <t>I. Conteanu</t>
  </si>
  <si>
    <t>LID</t>
  </si>
  <si>
    <t>Precio</t>
  </si>
  <si>
    <t>V_32</t>
  </si>
  <si>
    <t>Coste_32</t>
  </si>
  <si>
    <t>C_T32</t>
  </si>
  <si>
    <t>XPR</t>
  </si>
  <si>
    <t>Marco Andres Balbinot</t>
  </si>
  <si>
    <t>#15</t>
  </si>
  <si>
    <t>S. Gencel</t>
  </si>
  <si>
    <t>Julian Conteanu</t>
  </si>
  <si>
    <t>Stellan Swarborn</t>
  </si>
  <si>
    <t>Salomen Embe</t>
  </si>
  <si>
    <t>Serhat Gencel</t>
  </si>
  <si>
    <t>#69</t>
  </si>
  <si>
    <t>M.A. Balbinot</t>
  </si>
  <si>
    <t>#17</t>
  </si>
  <si>
    <t>h36</t>
  </si>
  <si>
    <t>RESERVA Inicial</t>
  </si>
  <si>
    <t>ByP Acumulado</t>
  </si>
  <si>
    <t>Amortizacion</t>
  </si>
  <si>
    <t>Reservas de la Junta</t>
  </si>
  <si>
    <t>Inicial</t>
  </si>
  <si>
    <t>Final</t>
  </si>
  <si>
    <t>Valor de Compra</t>
  </si>
  <si>
    <t>Amortización</t>
  </si>
  <si>
    <t>Pagos Corto Plazo</t>
  </si>
  <si>
    <t>Mantenimieto</t>
  </si>
  <si>
    <t>Caja</t>
  </si>
  <si>
    <t>Ingreso a Reservas</t>
  </si>
  <si>
    <t>Pago a Reservas</t>
  </si>
  <si>
    <t>Venta Jugadores</t>
  </si>
  <si>
    <t>RESERVA Final</t>
  </si>
  <si>
    <t>Compra Jugadores</t>
  </si>
  <si>
    <t>Ultima Actu</t>
  </si>
  <si>
    <t>Inversión</t>
  </si>
  <si>
    <t>PrecioComp</t>
  </si>
  <si>
    <t>III.7</t>
  </si>
  <si>
    <t>Guangwei</t>
  </si>
  <si>
    <t>Red Baron</t>
  </si>
  <si>
    <t>Embe</t>
  </si>
  <si>
    <t>Gardner</t>
  </si>
  <si>
    <t>Deus</t>
  </si>
  <si>
    <t>Swardborn</t>
  </si>
  <si>
    <t>Grimaud</t>
  </si>
  <si>
    <t>Stone</t>
  </si>
  <si>
    <t>Bondarewski</t>
  </si>
  <si>
    <t>Piscaer</t>
  </si>
  <si>
    <t>Vanags</t>
  </si>
  <si>
    <t>Conteanu</t>
  </si>
  <si>
    <t>Forsyth</t>
  </si>
  <si>
    <t>Botam</t>
  </si>
  <si>
    <t>Tuderek</t>
  </si>
  <si>
    <t>Gencel</t>
  </si>
  <si>
    <t>Balbinot</t>
  </si>
  <si>
    <t>Hackler</t>
  </si>
  <si>
    <t>Equipo</t>
  </si>
  <si>
    <t>TSI11</t>
  </si>
  <si>
    <t>Sueldo11</t>
  </si>
  <si>
    <t>Esp11</t>
  </si>
  <si>
    <t>Forma</t>
  </si>
  <si>
    <t>Resitencia</t>
  </si>
  <si>
    <t>FC OCNJ</t>
  </si>
  <si>
    <t>Edad11</t>
  </si>
  <si>
    <t>29(10)</t>
  </si>
  <si>
    <t>10.00</t>
  </si>
  <si>
    <t>CAB 3 - RAP 4 - IMP 2 - POT 1 - No 1</t>
  </si>
  <si>
    <t>6.00</t>
  </si>
  <si>
    <t>Notable - Neutro - Insuf</t>
  </si>
  <si>
    <t>Skkunks</t>
  </si>
  <si>
    <t>29(44)</t>
  </si>
  <si>
    <t>9.25</t>
  </si>
  <si>
    <t>6.50</t>
  </si>
  <si>
    <t>5.75</t>
  </si>
  <si>
    <t>CAB 3 - RAP 2 - IMP 1 - POT 2 - TEC 1 - No 2</t>
  </si>
  <si>
    <t>Notable - Neutro - Acep</t>
  </si>
  <si>
    <t>Sttinta United</t>
  </si>
  <si>
    <t>27(44)</t>
  </si>
  <si>
    <t>8.25</t>
  </si>
  <si>
    <t>7.00</t>
  </si>
  <si>
    <t>5.50</t>
  </si>
  <si>
    <t>CAB 6 - RAP 3 - IMP 1 - TEC 1</t>
  </si>
  <si>
    <t>ObiW@n JC</t>
  </si>
  <si>
    <t>25(96)</t>
  </si>
  <si>
    <t>CAB 4 - RAP 3 - IMP 2 - POT 1 - No 1</t>
  </si>
  <si>
    <t>6.25</t>
  </si>
  <si>
    <t>Excelente - Def - Acep</t>
  </si>
  <si>
    <t>Appalachian-Americans</t>
  </si>
  <si>
    <t>32(109)</t>
  </si>
  <si>
    <t>CAB 3 - RAP 4 - TEC 1 - POT 3</t>
  </si>
  <si>
    <t>11.25</t>
  </si>
  <si>
    <t>6.75</t>
  </si>
  <si>
    <t>5.25</t>
  </si>
  <si>
    <t>Rizzo's Salesmen</t>
  </si>
  <si>
    <t>27(86)</t>
  </si>
  <si>
    <t>CAB 2 - RAP 1 - TEC 1 - POT 3 -No 4</t>
  </si>
  <si>
    <t>Oak Park FC</t>
  </si>
  <si>
    <t>26(46)</t>
  </si>
  <si>
    <t>CAB 4 - RAP 2 - IMP 2 -POT 2 - TEC 1</t>
  </si>
  <si>
    <t>Red Hook</t>
  </si>
  <si>
    <t>26(87)</t>
  </si>
  <si>
    <t>CAB 3 - RAP 3 - IMP 1 -TEC 2 - No 2</t>
  </si>
  <si>
    <t>Excelente - Of - Insuf</t>
  </si>
  <si>
    <t>TL-125%</t>
  </si>
  <si>
    <t>PrecioContableInicio</t>
  </si>
  <si>
    <t>PrecioContableFinal</t>
  </si>
  <si>
    <t>ByP Temporada 78</t>
  </si>
  <si>
    <t>AmortizaciónT77</t>
  </si>
  <si>
    <t>AmortizaciónT78</t>
  </si>
  <si>
    <t>Promoción</t>
  </si>
  <si>
    <t>Nivel</t>
  </si>
  <si>
    <t>HAB</t>
  </si>
  <si>
    <t>Atributs</t>
  </si>
  <si>
    <t>4</t>
  </si>
  <si>
    <t>-</t>
  </si>
  <si>
    <t>IMPORTANTES</t>
  </si>
  <si>
    <t>RELEVANTES</t>
  </si>
  <si>
    <t>5</t>
  </si>
  <si>
    <t>3</t>
  </si>
  <si>
    <t>Milton Gibson</t>
  </si>
  <si>
    <t>Nate Bell</t>
  </si>
  <si>
    <t>José Mauricio Lomelí</t>
  </si>
  <si>
    <t>Derrick Ball</t>
  </si>
  <si>
    <t>Latrell Johnson</t>
  </si>
  <si>
    <t>Geery Lantin</t>
  </si>
  <si>
    <t>William Pawlowski</t>
  </si>
  <si>
    <t>Elijah Griffith</t>
  </si>
  <si>
    <t>Max Tarver</t>
  </si>
  <si>
    <t>Edgar Monagas</t>
  </si>
  <si>
    <t>Forrest Horton</t>
  </si>
  <si>
    <t>Jesús Maldonado</t>
  </si>
  <si>
    <t>Darius Webster</t>
  </si>
  <si>
    <t>Luis Eduardo Ramirez</t>
  </si>
  <si>
    <t>Grayson Weber</t>
  </si>
  <si>
    <t>Valor Contable Inicial</t>
  </si>
  <si>
    <t>Valor Contable Final</t>
  </si>
  <si>
    <t>Caja Inicial</t>
  </si>
  <si>
    <t>Caja Final</t>
  </si>
  <si>
    <t>Activo Temporada</t>
  </si>
  <si>
    <t>Venta Canteranos</t>
  </si>
  <si>
    <t>ByP Actividad</t>
  </si>
  <si>
    <t>ByP Canteranos</t>
  </si>
  <si>
    <t>ByP Compra-Venta</t>
  </si>
  <si>
    <t>Josh Renshaw</t>
  </si>
  <si>
    <t>Actico Corriente</t>
  </si>
  <si>
    <t>ByP</t>
  </si>
  <si>
    <t>Pasivo Corriente</t>
  </si>
  <si>
    <t>Marco Andrés Balbinot</t>
  </si>
  <si>
    <t>Adam Binder</t>
  </si>
  <si>
    <t>Signar Nidristovu</t>
  </si>
  <si>
    <t>Ernis Kourtis</t>
  </si>
  <si>
    <t>Dusty Ware</t>
  </si>
  <si>
    <t>Massimiliano Selleri</t>
  </si>
  <si>
    <t>Sanel Vaupotic</t>
  </si>
  <si>
    <t>Leoš Lehocký</t>
  </si>
  <si>
    <t>Ludwig Schneiders</t>
  </si>
  <si>
    <t>Toni Valanne</t>
  </si>
  <si>
    <t>Ivan Salnikov</t>
  </si>
  <si>
    <t>Nicolás Rojas</t>
  </si>
  <si>
    <t>Ware</t>
  </si>
  <si>
    <t>Data Inici Fites</t>
  </si>
  <si>
    <t>Data Actualitzacio</t>
  </si>
  <si>
    <t>Repte</t>
  </si>
  <si>
    <t>Descripció</t>
  </si>
  <si>
    <t>Nivell</t>
  </si>
  <si>
    <t>Minim</t>
  </si>
  <si>
    <t>Entrada denegada</t>
  </si>
  <si>
    <t>Es tracta d'aconseguir un cert nombre de partits sense rebre cap gol. S'obté un major nivell com més partits s'aconsegueixin.</t>
  </si>
  <si>
    <t>Operación especial</t>
  </si>
  <si>
    <t>Guanyat algun partit havent marcat només gols d'esdeveniment especial.</t>
  </si>
  <si>
    <t>El retorn dels cavallers</t>
  </si>
  <si>
    <t>L'aconsegueixen els equips que perden de varis gols i remunten el partit. Com major sigui la remuntada, més nivell de fita.</t>
  </si>
  <si>
    <t>Lesions</t>
  </si>
  <si>
    <t>El teu equip ha de tenir un dia terrible amb les lesions. Aquesta fita és un premi de consolació.</t>
  </si>
  <si>
    <t xml:space="preserve">El laboratori del futbol </t>
  </si>
  <si>
    <t>Guanyar almenys un partit de lliga amb cada un dels 10 sistemes tàctics. Es té en compte el sistema d'inici.</t>
  </si>
  <si>
    <t>5-5-0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</si>
</sst>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0.0%"/>
    <numFmt numFmtId="166" formatCode="_-* #,##0\ &quot;€&quot;_-;\-* #,##0\ &quot;€&quot;_-;_-* &quot;-&quot;??\ &quot;€&quot;_-;_-@_-"/>
    <numFmt numFmtId="167" formatCode="_-* #,##0\ [$€-C0A]_-;\-* #,##0\ [$€-C0A]_-;_-* &quot;-&quot;??\ [$€-C0A]_-;_-@_-"/>
    <numFmt numFmtId="168" formatCode="_-* #,##0.00\ [$€-C0A]_-;\-* #,##0.00\ [$€-C0A]_-;_-* &quot;-&quot;??\ [$€-C0A]_-;_-@_-"/>
    <numFmt numFmtId="169" formatCode="_-* #,##0\ _€_-;\-* #,##0\ _€_-;_-* &quot;-&quot;??\ _€_-;_-@_-"/>
    <numFmt numFmtId="170" formatCode="0.0"/>
    <numFmt numFmtId="171" formatCode="0.000"/>
    <numFmt numFmtId="172" formatCode="_-* #,##0.0\ _€_-;\-* #,##0.0\ _€_-;_-* &quot;-&quot;??\ _€_-;_-@_-"/>
    <numFmt numFmtId="173" formatCode="0.0000"/>
    <numFmt numFmtId="174" formatCode="0.00000"/>
    <numFmt numFmtId="175" formatCode="0\ %"/>
    <numFmt numFmtId="176" formatCode="_-* #,##0\ [$€-C0A]_-;\-* #,##0\ [$€-C0A]_-;_-* \-??\ [$€-C0A]_-;_-@_-"/>
    <numFmt numFmtId="177" formatCode="m/d/yyyy"/>
    <numFmt numFmtId="178" formatCode="dd/mm/yyyy;@"/>
    <numFmt numFmtId="179" formatCode="dd/mmm"/>
  </numFmts>
  <fonts count="70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7.5"/>
      <color rgb="FFFFFFFF"/>
      <name val="Calibri"/>
      <family val="2"/>
    </font>
    <font>
      <b/>
      <sz val="7.5"/>
      <color rgb="FF000000"/>
      <name val="Calibri"/>
      <family val="2"/>
    </font>
    <font>
      <sz val="7.5"/>
      <color rgb="FF000000"/>
      <name val="Calibri"/>
      <family val="2"/>
    </font>
    <font>
      <b/>
      <u/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0"/>
      <color rgb="FF000000"/>
      <name val="Calibri"/>
      <family val="2"/>
    </font>
    <font>
      <b/>
      <sz val="14"/>
      <color rgb="FF000000"/>
      <name val="Calibri"/>
      <family val="2"/>
    </font>
    <font>
      <b/>
      <sz val="14"/>
      <color rgb="FFFF0000"/>
      <name val="Calibri"/>
      <family val="2"/>
    </font>
    <font>
      <b/>
      <sz val="10"/>
      <color rgb="FFFF0000"/>
      <name val="Calibri"/>
      <family val="2"/>
    </font>
    <font>
      <sz val="8"/>
      <color rgb="FF000000"/>
      <name val="Verdana"/>
      <family val="2"/>
    </font>
    <font>
      <sz val="10"/>
      <color rgb="FF000000"/>
      <name val="Calibri"/>
      <family val="2"/>
    </font>
    <font>
      <sz val="11"/>
      <color rgb="FFFFFFFF"/>
      <name val="Calibri"/>
      <family val="2"/>
    </font>
    <font>
      <b/>
      <sz val="11"/>
      <color rgb="FFFF0000"/>
      <name val="Calibri"/>
      <family val="2"/>
    </font>
    <font>
      <b/>
      <sz val="11"/>
      <color rgb="FFFFFFFF"/>
      <name val="Calibri"/>
      <family val="2"/>
    </font>
    <font>
      <b/>
      <i/>
      <u/>
      <sz val="11"/>
      <color rgb="FF000000"/>
      <name val="Calibri"/>
      <family val="2"/>
    </font>
    <font>
      <b/>
      <sz val="8"/>
      <color rgb="FFFFFFFF"/>
      <name val="Verdana"/>
      <family val="2"/>
    </font>
    <font>
      <b/>
      <i/>
      <u/>
      <sz val="8"/>
      <color rgb="FFFFFFFF"/>
      <name val="Verdana"/>
      <family val="2"/>
    </font>
    <font>
      <sz val="16"/>
      <color rgb="FF000000"/>
      <name val="Verdana"/>
      <family val="2"/>
    </font>
    <font>
      <sz val="14"/>
      <color rgb="FF000000"/>
      <name val="Verdana"/>
      <family val="2"/>
    </font>
    <font>
      <sz val="10"/>
      <color rgb="FF000000"/>
      <name val="Verdana"/>
      <family val="2"/>
    </font>
    <font>
      <sz val="8.5"/>
      <color rgb="FF000000"/>
      <name val="Verdana"/>
      <family val="2"/>
    </font>
    <font>
      <b/>
      <sz val="8"/>
      <color rgb="FF000000"/>
      <name val="Verdana"/>
      <family val="2"/>
    </font>
    <font>
      <sz val="9"/>
      <color rgb="FF000000"/>
      <name val="Calibri"/>
      <family val="2"/>
    </font>
    <font>
      <i/>
      <u/>
      <sz val="11"/>
      <color rgb="FF000000"/>
      <name val="Calibri"/>
      <family val="2"/>
    </font>
    <font>
      <sz val="8"/>
      <color rgb="FF974706"/>
      <name val="Verdana"/>
      <family val="2"/>
    </font>
    <font>
      <b/>
      <sz val="12"/>
      <color rgb="FFFF0000"/>
      <name val="Calibri"/>
      <family val="2"/>
    </font>
    <font>
      <b/>
      <sz val="13.5"/>
      <color rgb="FF000000"/>
      <name val="Calibri"/>
      <family val="2"/>
    </font>
    <font>
      <b/>
      <sz val="8"/>
      <color rgb="FF00B050"/>
      <name val="Verdana"/>
      <family val="2"/>
    </font>
    <font>
      <b/>
      <sz val="12"/>
      <color rgb="FF000000"/>
      <name val="Calibri"/>
      <family val="2"/>
    </font>
    <font>
      <sz val="10"/>
      <color rgb="FF000000"/>
      <name val="Arial"/>
      <family val="2"/>
    </font>
    <font>
      <b/>
      <u/>
      <sz val="10"/>
      <color rgb="FFFFFFFF"/>
      <name val="Arial"/>
      <family val="2"/>
    </font>
    <font>
      <b/>
      <sz val="10"/>
      <color rgb="FFFFFFFF"/>
      <name val="Arial"/>
      <family val="2"/>
    </font>
    <font>
      <sz val="12"/>
      <color rgb="FF000000"/>
      <name val="Calibri"/>
      <family val="2"/>
    </font>
    <font>
      <b/>
      <sz val="16"/>
      <color rgb="FF000000"/>
      <name val="Calibri"/>
      <family val="2"/>
    </font>
    <font>
      <b/>
      <sz val="14"/>
      <color rgb="FFFFFFFF"/>
      <name val="Calibri"/>
      <family val="2"/>
    </font>
    <font>
      <b/>
      <sz val="14"/>
      <color rgb="FF00B050"/>
      <name val="Calibri"/>
      <family val="2"/>
    </font>
    <font>
      <b/>
      <sz val="8"/>
      <color rgb="FF000000"/>
      <name val="Calibri"/>
      <family val="2"/>
    </font>
    <font>
      <sz val="8"/>
      <color rgb="FF000000"/>
      <name val="Calibri"/>
      <family val="2"/>
    </font>
    <font>
      <b/>
      <sz val="8"/>
      <color rgb="FFFFFFFF"/>
      <name val="Calibri"/>
      <family val="2"/>
    </font>
    <font>
      <sz val="11"/>
      <color rgb="FF000000"/>
      <name val="Calibri"/>
      <family val="2"/>
    </font>
    <font>
      <sz val="8"/>
      <name val="Tahoma"/>
      <family val="2"/>
    </font>
    <font>
      <b/>
      <sz val="8"/>
      <name val="Tahoma"/>
      <family val="2"/>
    </font>
    <font>
      <b/>
      <sz val="8"/>
      <name val="Verdana"/>
      <family val="2"/>
    </font>
    <font>
      <sz val="8"/>
      <name val="Verdana"/>
      <family val="2"/>
    </font>
    <font>
      <b/>
      <sz val="9"/>
      <color rgb="FF000000"/>
      <name val="Calibri"/>
      <family val="2"/>
    </font>
    <font>
      <b/>
      <sz val="9"/>
      <color rgb="FF000000"/>
      <name val="Verdana"/>
      <family val="2"/>
    </font>
    <font>
      <sz val="16"/>
      <color rgb="FF000000"/>
      <name val="Calibri"/>
      <family val="2"/>
    </font>
    <font>
      <b/>
      <sz val="12"/>
      <color rgb="FFFFFFFF"/>
      <name val="Calibri"/>
      <family val="2"/>
    </font>
    <font>
      <b/>
      <sz val="12"/>
      <color rgb="FF00B050"/>
      <name val="Calibri"/>
      <family val="2"/>
    </font>
    <font>
      <b/>
      <sz val="9"/>
      <name val="Tahoma"/>
      <family val="2"/>
    </font>
    <font>
      <sz val="9"/>
      <name val="Tahoma"/>
      <family val="2"/>
    </font>
    <font>
      <sz val="8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u/>
      <sz val="11"/>
      <color rgb="FFFFFFFF"/>
      <name val="Arial"/>
      <family val="2"/>
    </font>
    <font>
      <b/>
      <sz val="11"/>
      <color rgb="FFFFFFFF"/>
      <name val="Arial"/>
      <family val="2"/>
    </font>
    <font>
      <b/>
      <sz val="11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b/>
      <sz val="10"/>
      <color rgb="FF000000"/>
      <name val="Arial"/>
      <family val="2"/>
    </font>
    <font>
      <sz val="11"/>
      <name val="Arial"/>
      <family val="2"/>
    </font>
    <font>
      <sz val="11"/>
      <color rgb="FFFFFFFF"/>
      <name val="Arial"/>
      <family val="2"/>
    </font>
    <font>
      <sz val="7.5"/>
      <color rgb="FF000000"/>
      <name val="Arial"/>
      <family val="2"/>
    </font>
    <font>
      <i/>
      <sz val="8"/>
      <color rgb="FF000000"/>
      <name val="Arial"/>
      <family val="2"/>
    </font>
    <font>
      <i/>
      <sz val="11"/>
      <color rgb="FF000000"/>
      <name val="Calibri"/>
      <family val="2"/>
    </font>
    <font>
      <b/>
      <i/>
      <sz val="12"/>
      <color rgb="FF00B050"/>
      <name val="Calibri"/>
      <family val="2"/>
    </font>
    <font>
      <sz val="8"/>
      <color rgb="FFFF0000"/>
      <name val="Verdana"/>
      <family val="2"/>
    </font>
    <font>
      <sz val="11"/>
      <color rgb="FF00B050"/>
      <name val="Calibri"/>
      <family val="2"/>
    </font>
  </fonts>
  <fills count="85">
    <fill>
      <patternFill patternType="none"/>
    </fill>
    <fill>
      <patternFill patternType="gray125"/>
    </fill>
    <fill>
      <patternFill patternType="solid">
        <fgColor rgb="FF00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8DB4E2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D7E3BB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EEEEEE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FFFDD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DDD9C4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366092"/>
        <bgColor rgb="FFFFFFFF"/>
      </patternFill>
    </fill>
    <fill>
      <patternFill patternType="solid">
        <fgColor rgb="FFB7DEE8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FABF8F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B8CCE4"/>
        <bgColor rgb="FFFFFFFF"/>
      </patternFill>
    </fill>
    <fill>
      <patternFill patternType="solid">
        <fgColor rgb="FF36609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70C0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76933C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366092"/>
        <bgColor rgb="FFFFFFFF"/>
      </patternFill>
    </fill>
    <fill>
      <patternFill patternType="solid">
        <fgColor rgb="FFEEEEEE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FE699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215967"/>
        <bgColor rgb="FFFFFFFF"/>
      </patternFill>
    </fill>
    <fill>
      <patternFill patternType="solid">
        <fgColor rgb="FFD7E3BB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C4BD97"/>
        <bgColor rgb="FFFFFFFF"/>
      </patternFill>
    </fill>
    <fill>
      <patternFill patternType="solid">
        <fgColor rgb="FF8DB4E2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6" tint="0.59999389629810485"/>
        <bgColor rgb="FFFFFFFF"/>
      </patternFill>
    </fill>
    <fill>
      <patternFill patternType="solid">
        <fgColor theme="8" tint="0.79998168889431442"/>
        <bgColor rgb="FFFFFFF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0497A"/>
        <bgColor rgb="FFFFFFFF"/>
      </patternFill>
    </fill>
    <fill>
      <patternFill patternType="solid">
        <fgColor rgb="FFB1A0C7"/>
        <bgColor rgb="FFFFFFFF"/>
      </patternFill>
    </fill>
    <fill>
      <patternFill patternType="solid">
        <fgColor rgb="FF963634"/>
        <bgColor rgb="FFFFFFFF"/>
      </patternFill>
    </fill>
    <fill>
      <patternFill patternType="solid">
        <fgColor rgb="FFDA9694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3E3E3E"/>
        <bgColor rgb="FFFFFFFF"/>
      </patternFill>
    </fill>
    <fill>
      <patternFill patternType="solid">
        <fgColor theme="5" tint="0.79998168889431442"/>
        <bgColor indexed="64"/>
      </patternFill>
    </fill>
  </fills>
  <borders count="9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44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0" fontId="41" fillId="0" borderId="0"/>
    <xf numFmtId="0" fontId="31" fillId="0" borderId="0"/>
    <xf numFmtId="175" fontId="41" fillId="0" borderId="0"/>
  </cellStyleXfs>
  <cellXfs count="567">
    <xf numFmtId="0" fontId="0" fillId="0" borderId="0" xfId="0"/>
    <xf numFmtId="0" fontId="41" fillId="0" borderId="0" xfId="4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2" borderId="4" xfId="0" applyFont="1" applyFill="1" applyBorder="1" applyAlignment="1">
      <alignment horizontal="center" wrapText="1"/>
    </xf>
    <xf numFmtId="0" fontId="0" fillId="3" borderId="5" xfId="0" applyFill="1" applyBorder="1"/>
    <xf numFmtId="0" fontId="3" fillId="4" borderId="6" xfId="0" applyFont="1" applyFill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7" xfId="0" applyBorder="1"/>
    <xf numFmtId="0" fontId="4" fillId="5" borderId="8" xfId="0" applyFont="1" applyFill="1" applyBorder="1" applyAlignment="1">
      <alignment horizontal="center" wrapText="1"/>
    </xf>
    <xf numFmtId="0" fontId="3" fillId="5" borderId="8" xfId="0" applyFont="1" applyFill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6" borderId="9" xfId="0" applyFont="1" applyFill="1" applyBorder="1" applyAlignment="1">
      <alignment horizontal="center" wrapText="1"/>
    </xf>
    <xf numFmtId="0" fontId="4" fillId="7" borderId="10" xfId="0" applyFont="1" applyFill="1" applyBorder="1" applyAlignment="1">
      <alignment horizontal="center" wrapText="1"/>
    </xf>
    <xf numFmtId="1" fontId="0" fillId="8" borderId="11" xfId="0" applyNumberFormat="1" applyFill="1" applyBorder="1"/>
    <xf numFmtId="1" fontId="0" fillId="9" borderId="12" xfId="0" applyNumberFormat="1" applyFill="1" applyBorder="1"/>
    <xf numFmtId="165" fontId="0" fillId="10" borderId="13" xfId="2" applyNumberFormat="1" applyFont="1" applyFill="1" applyBorder="1"/>
    <xf numFmtId="166" fontId="0" fillId="0" borderId="1" xfId="1" applyNumberFormat="1" applyFont="1" applyBorder="1"/>
    <xf numFmtId="165" fontId="0" fillId="11" borderId="14" xfId="2" applyNumberFormat="1" applyFont="1" applyFill="1" applyBorder="1"/>
    <xf numFmtId="165" fontId="0" fillId="12" borderId="15" xfId="2" applyNumberFormat="1" applyFont="1" applyFill="1" applyBorder="1"/>
    <xf numFmtId="0" fontId="0" fillId="0" borderId="0" xfId="0" applyAlignment="1">
      <alignment wrapText="1"/>
    </xf>
    <xf numFmtId="167" fontId="0" fillId="12" borderId="15" xfId="0" applyNumberFormat="1" applyFill="1" applyBorder="1" applyAlignment="1">
      <alignment wrapText="1"/>
    </xf>
    <xf numFmtId="167" fontId="0" fillId="12" borderId="15" xfId="0" applyNumberFormat="1" applyFill="1" applyBorder="1"/>
    <xf numFmtId="0" fontId="5" fillId="13" borderId="16" xfId="0" applyFont="1" applyFill="1" applyBorder="1" applyAlignment="1">
      <alignment horizontal="right"/>
    </xf>
    <xf numFmtId="167" fontId="1" fillId="14" borderId="17" xfId="0" applyNumberFormat="1" applyFont="1" applyFill="1" applyBorder="1"/>
    <xf numFmtId="0" fontId="1" fillId="15" borderId="18" xfId="0" applyFont="1" applyFill="1" applyBorder="1" applyAlignment="1">
      <alignment horizontal="center"/>
    </xf>
    <xf numFmtId="0" fontId="0" fillId="16" borderId="19" xfId="0" applyFill="1" applyBorder="1"/>
    <xf numFmtId="1" fontId="0" fillId="16" borderId="19" xfId="0" applyNumberFormat="1" applyFill="1" applyBorder="1"/>
    <xf numFmtId="0" fontId="0" fillId="13" borderId="16" xfId="0" applyFill="1" applyBorder="1" applyAlignment="1">
      <alignment horizontal="right"/>
    </xf>
    <xf numFmtId="1" fontId="0" fillId="13" borderId="16" xfId="0" applyNumberFormat="1" applyFill="1" applyBorder="1"/>
    <xf numFmtId="0" fontId="0" fillId="17" borderId="20" xfId="0" applyFill="1" applyBorder="1" applyAlignment="1">
      <alignment horizontal="right" wrapText="1"/>
    </xf>
    <xf numFmtId="168" fontId="0" fillId="17" borderId="20" xfId="0" applyNumberFormat="1" applyFill="1" applyBorder="1"/>
    <xf numFmtId="0" fontId="0" fillId="18" borderId="21" xfId="0" applyFill="1" applyBorder="1" applyAlignment="1">
      <alignment horizontal="right" wrapText="1"/>
    </xf>
    <xf numFmtId="168" fontId="0" fillId="18" borderId="21" xfId="0" applyNumberFormat="1" applyFill="1" applyBorder="1"/>
    <xf numFmtId="0" fontId="0" fillId="16" borderId="19" xfId="0" applyFill="1" applyBorder="1" applyAlignment="1">
      <alignment horizontal="right" wrapText="1"/>
    </xf>
    <xf numFmtId="168" fontId="1" fillId="16" borderId="19" xfId="0" applyNumberFormat="1" applyFont="1" applyFill="1" applyBorder="1"/>
    <xf numFmtId="0" fontId="1" fillId="16" borderId="19" xfId="0" applyFont="1" applyFill="1" applyBorder="1" applyAlignment="1">
      <alignment horizontal="right" wrapText="1"/>
    </xf>
    <xf numFmtId="165" fontId="0" fillId="0" borderId="0" xfId="2" applyNumberFormat="1" applyFont="1"/>
    <xf numFmtId="0" fontId="1" fillId="0" borderId="1" xfId="0" applyFont="1" applyBorder="1"/>
    <xf numFmtId="0" fontId="12" fillId="0" borderId="0" xfId="0" applyFont="1"/>
    <xf numFmtId="2" fontId="0" fillId="0" borderId="0" xfId="0" applyNumberFormat="1"/>
    <xf numFmtId="2" fontId="0" fillId="0" borderId="0" xfId="0" applyNumberFormat="1" applyAlignment="1">
      <alignment horizontal="center"/>
    </xf>
    <xf numFmtId="1" fontId="0" fillId="0" borderId="0" xfId="0" applyNumberFormat="1"/>
    <xf numFmtId="0" fontId="0" fillId="19" borderId="22" xfId="0" applyFill="1" applyBorder="1"/>
    <xf numFmtId="177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1" fillId="0" borderId="0" xfId="0" applyFont="1"/>
    <xf numFmtId="0" fontId="11" fillId="20" borderId="23" xfId="0" applyFont="1" applyFill="1" applyBorder="1" applyAlignment="1">
      <alignment horizontal="left" vertical="center"/>
    </xf>
    <xf numFmtId="1" fontId="11" fillId="20" borderId="23" xfId="0" applyNumberFormat="1" applyFont="1" applyFill="1" applyBorder="1" applyAlignment="1">
      <alignment horizontal="left" vertical="center"/>
    </xf>
    <xf numFmtId="170" fontId="11" fillId="21" borderId="24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16" fillId="0" borderId="0" xfId="0" applyFont="1"/>
    <xf numFmtId="167" fontId="0" fillId="0" borderId="0" xfId="0" applyNumberFormat="1" applyAlignment="1">
      <alignment horizontal="center"/>
    </xf>
    <xf numFmtId="0" fontId="21" fillId="22" borderId="25" xfId="0" applyFont="1" applyFill="1" applyBorder="1" applyAlignment="1">
      <alignment horizontal="center" vertical="top" wrapText="1"/>
    </xf>
    <xf numFmtId="0" fontId="22" fillId="22" borderId="25" xfId="0" applyFont="1" applyFill="1" applyBorder="1" applyAlignment="1">
      <alignment horizontal="center" vertical="top" wrapText="1"/>
    </xf>
    <xf numFmtId="0" fontId="22" fillId="23" borderId="26" xfId="0" applyFont="1" applyFill="1" applyBorder="1" applyAlignment="1">
      <alignment horizontal="center" vertical="top" wrapText="1"/>
    </xf>
    <xf numFmtId="167" fontId="1" fillId="12" borderId="15" xfId="0" applyNumberFormat="1" applyFont="1" applyFill="1" applyBorder="1" applyAlignment="1">
      <alignment horizontal="center"/>
    </xf>
    <xf numFmtId="169" fontId="1" fillId="0" borderId="0" xfId="3" applyNumberFormat="1" applyFont="1"/>
    <xf numFmtId="0" fontId="1" fillId="0" borderId="0" xfId="4" applyFont="1"/>
    <xf numFmtId="0" fontId="15" fillId="0" borderId="0" xfId="4" applyFont="1" applyAlignment="1">
      <alignment horizontal="left"/>
    </xf>
    <xf numFmtId="0" fontId="15" fillId="0" borderId="0" xfId="4" applyFont="1" applyAlignment="1">
      <alignment horizontal="center"/>
    </xf>
    <xf numFmtId="1" fontId="0" fillId="24" borderId="27" xfId="0" applyNumberFormat="1" applyFill="1" applyBorder="1"/>
    <xf numFmtId="0" fontId="0" fillId="0" borderId="1" xfId="0" applyBorder="1" applyAlignment="1">
      <alignment horizontal="center"/>
    </xf>
    <xf numFmtId="0" fontId="11" fillId="21" borderId="24" xfId="0" applyFont="1" applyFill="1" applyBorder="1" applyAlignment="1">
      <alignment horizontal="center" vertical="center"/>
    </xf>
    <xf numFmtId="170" fontId="0" fillId="0" borderId="0" xfId="0" applyNumberFormat="1"/>
    <xf numFmtId="0" fontId="1" fillId="0" borderId="0" xfId="4" applyFont="1" applyAlignment="1">
      <alignment horizontal="center"/>
    </xf>
    <xf numFmtId="177" fontId="0" fillId="0" borderId="0" xfId="0" applyNumberFormat="1"/>
    <xf numFmtId="0" fontId="12" fillId="0" borderId="0" xfId="0" applyFont="1" applyAlignment="1">
      <alignment horizontal="center"/>
    </xf>
    <xf numFmtId="0" fontId="41" fillId="25" borderId="28" xfId="4" applyFill="1" applyBorder="1" applyAlignment="1">
      <alignment horizontal="right"/>
    </xf>
    <xf numFmtId="0" fontId="11" fillId="21" borderId="24" xfId="0" applyFont="1" applyFill="1" applyBorder="1" applyAlignment="1">
      <alignment horizontal="right" vertical="center"/>
    </xf>
    <xf numFmtId="170" fontId="11" fillId="21" borderId="24" xfId="0" applyNumberFormat="1" applyFont="1" applyFill="1" applyBorder="1" applyAlignment="1">
      <alignment horizontal="center" vertical="center"/>
    </xf>
    <xf numFmtId="0" fontId="13" fillId="26" borderId="29" xfId="0" applyFont="1" applyFill="1" applyBorder="1"/>
    <xf numFmtId="0" fontId="17" fillId="27" borderId="30" xfId="0" applyFont="1" applyFill="1" applyBorder="1" applyAlignment="1">
      <alignment horizontal="center" vertical="center"/>
    </xf>
    <xf numFmtId="0" fontId="18" fillId="27" borderId="30" xfId="0" applyFont="1" applyFill="1" applyBorder="1" applyAlignment="1">
      <alignment horizontal="center" vertical="center"/>
    </xf>
    <xf numFmtId="0" fontId="17" fillId="27" borderId="30" xfId="0" applyFont="1" applyFill="1" applyBorder="1" applyAlignment="1">
      <alignment horizontal="right" vertical="center"/>
    </xf>
    <xf numFmtId="0" fontId="23" fillId="28" borderId="31" xfId="0" applyFont="1" applyFill="1" applyBorder="1" applyAlignment="1">
      <alignment horizontal="center" vertical="center"/>
    </xf>
    <xf numFmtId="1" fontId="11" fillId="29" borderId="32" xfId="0" applyNumberFormat="1" applyFont="1" applyFill="1" applyBorder="1" applyAlignment="1">
      <alignment horizontal="left" vertical="center"/>
    </xf>
    <xf numFmtId="0" fontId="41" fillId="0" borderId="1" xfId="4" applyBorder="1"/>
    <xf numFmtId="170" fontId="11" fillId="20" borderId="23" xfId="0" applyNumberFormat="1" applyFont="1" applyFill="1" applyBorder="1" applyAlignment="1">
      <alignment horizontal="center" vertical="center"/>
    </xf>
    <xf numFmtId="0" fontId="12" fillId="0" borderId="0" xfId="4" applyFont="1" applyAlignment="1">
      <alignment horizontal="center"/>
    </xf>
    <xf numFmtId="169" fontId="24" fillId="0" borderId="0" xfId="0" applyNumberFormat="1" applyFont="1" applyAlignment="1">
      <alignment horizontal="right"/>
    </xf>
    <xf numFmtId="172" fontId="23" fillId="21" borderId="24" xfId="3" applyNumberFormat="1" applyFont="1" applyFill="1" applyBorder="1" applyAlignment="1">
      <alignment horizontal="right" vertical="center"/>
    </xf>
    <xf numFmtId="172" fontId="11" fillId="21" borderId="24" xfId="3" applyNumberFormat="1" applyFont="1" applyFill="1" applyBorder="1" applyAlignment="1">
      <alignment horizontal="right" vertical="center"/>
    </xf>
    <xf numFmtId="0" fontId="6" fillId="0" borderId="0" xfId="0" applyFont="1"/>
    <xf numFmtId="169" fontId="11" fillId="21" borderId="24" xfId="3" applyNumberFormat="1" applyFont="1" applyFill="1" applyBorder="1" applyAlignment="1">
      <alignment horizontal="right" vertical="center"/>
    </xf>
    <xf numFmtId="0" fontId="1" fillId="29" borderId="32" xfId="0" applyFont="1" applyFill="1" applyBorder="1" applyAlignment="1">
      <alignment horizontal="center"/>
    </xf>
    <xf numFmtId="0" fontId="1" fillId="12" borderId="15" xfId="0" applyFon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23" fillId="30" borderId="33" xfId="0" applyFon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31" borderId="34" xfId="0" applyFill="1" applyBorder="1"/>
    <xf numFmtId="0" fontId="0" fillId="32" borderId="35" xfId="0" applyFill="1" applyBorder="1"/>
    <xf numFmtId="0" fontId="1" fillId="31" borderId="34" xfId="0" applyFont="1" applyFill="1" applyBorder="1" applyAlignment="1">
      <alignment horizontal="center"/>
    </xf>
    <xf numFmtId="0" fontId="1" fillId="32" borderId="35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14" fillId="0" borderId="0" xfId="0" applyNumberFormat="1" applyFont="1"/>
    <xf numFmtId="2" fontId="1" fillId="0" borderId="1" xfId="0" applyNumberFormat="1" applyFont="1" applyBorder="1" applyAlignment="1">
      <alignment horizontal="center"/>
    </xf>
    <xf numFmtId="2" fontId="1" fillId="0" borderId="0" xfId="0" applyNumberFormat="1" applyFont="1"/>
    <xf numFmtId="1" fontId="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 vertical="center"/>
    </xf>
    <xf numFmtId="170" fontId="25" fillId="0" borderId="1" xfId="0" applyNumberFormat="1" applyFont="1" applyBorder="1"/>
    <xf numFmtId="169" fontId="0" fillId="0" borderId="0" xfId="0" applyNumberFormat="1"/>
    <xf numFmtId="0" fontId="26" fillId="0" borderId="1" xfId="0" applyFont="1" applyBorder="1" applyAlignment="1">
      <alignment horizontal="left" vertical="center"/>
    </xf>
    <xf numFmtId="10" fontId="0" fillId="0" borderId="0" xfId="2" applyNumberFormat="1" applyFont="1"/>
    <xf numFmtId="0" fontId="1" fillId="12" borderId="15" xfId="0" applyFont="1" applyFill="1" applyBorder="1"/>
    <xf numFmtId="171" fontId="0" fillId="0" borderId="0" xfId="0" applyNumberFormat="1"/>
    <xf numFmtId="9" fontId="0" fillId="0" borderId="0" xfId="2" applyFont="1" applyAlignment="1">
      <alignment horizontal="center"/>
    </xf>
    <xf numFmtId="177" fontId="1" fillId="0" borderId="0" xfId="4" applyNumberFormat="1" applyFont="1" applyAlignment="1">
      <alignment horizontal="center"/>
    </xf>
    <xf numFmtId="0" fontId="23" fillId="11" borderId="14" xfId="0" applyFont="1" applyFill="1" applyBorder="1" applyAlignment="1">
      <alignment horizontal="center" vertical="center"/>
    </xf>
    <xf numFmtId="0" fontId="17" fillId="11" borderId="14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71" fontId="0" fillId="0" borderId="0" xfId="0" applyNumberFormat="1" applyAlignment="1">
      <alignment horizontal="right"/>
    </xf>
    <xf numFmtId="0" fontId="17" fillId="33" borderId="36" xfId="0" applyFont="1" applyFill="1" applyBorder="1" applyAlignment="1">
      <alignment horizontal="center" vertical="center"/>
    </xf>
    <xf numFmtId="177" fontId="11" fillId="34" borderId="37" xfId="0" applyNumberFormat="1" applyFont="1" applyFill="1" applyBorder="1" applyAlignment="1">
      <alignment horizontal="center" vertical="center"/>
    </xf>
    <xf numFmtId="2" fontId="14" fillId="0" borderId="0" xfId="0" applyNumberFormat="1" applyFont="1"/>
    <xf numFmtId="2" fontId="1" fillId="0" borderId="0" xfId="4" applyNumberFormat="1" applyFont="1"/>
    <xf numFmtId="0" fontId="1" fillId="0" borderId="1" xfId="4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71" fontId="41" fillId="0" borderId="1" xfId="4" applyNumberFormat="1" applyBorder="1"/>
    <xf numFmtId="171" fontId="0" fillId="0" borderId="1" xfId="0" applyNumberFormat="1" applyBorder="1"/>
    <xf numFmtId="2" fontId="41" fillId="0" borderId="1" xfId="4" applyNumberFormat="1" applyBorder="1"/>
    <xf numFmtId="2" fontId="0" fillId="0" borderId="1" xfId="0" applyNumberFormat="1" applyBorder="1"/>
    <xf numFmtId="171" fontId="1" fillId="0" borderId="1" xfId="4" applyNumberFormat="1" applyFont="1" applyBorder="1"/>
    <xf numFmtId="2" fontId="1" fillId="0" borderId="1" xfId="4" applyNumberFormat="1" applyFont="1" applyBorder="1"/>
    <xf numFmtId="0" fontId="8" fillId="35" borderId="38" xfId="0" applyFont="1" applyFill="1" applyBorder="1" applyAlignment="1">
      <alignment horizontal="center"/>
    </xf>
    <xf numFmtId="0" fontId="9" fillId="36" borderId="39" xfId="0" applyFont="1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71" fontId="1" fillId="0" borderId="1" xfId="0" applyNumberFormat="1" applyFont="1" applyBorder="1" applyAlignment="1">
      <alignment horizontal="center"/>
    </xf>
    <xf numFmtId="171" fontId="9" fillId="3" borderId="5" xfId="0" applyNumberFormat="1" applyFont="1" applyFill="1" applyBorder="1" applyAlignment="1">
      <alignment horizontal="center"/>
    </xf>
    <xf numFmtId="1" fontId="11" fillId="21" borderId="24" xfId="0" applyNumberFormat="1" applyFont="1" applyFill="1" applyBorder="1" applyAlignment="1">
      <alignment horizontal="center" vertical="center"/>
    </xf>
    <xf numFmtId="172" fontId="0" fillId="0" borderId="0" xfId="3" applyNumberFormat="1" applyFont="1"/>
    <xf numFmtId="2" fontId="11" fillId="20" borderId="23" xfId="0" applyNumberFormat="1" applyFont="1" applyFill="1" applyBorder="1" applyAlignment="1">
      <alignment horizontal="left" vertical="center"/>
    </xf>
    <xf numFmtId="2" fontId="11" fillId="21" borderId="24" xfId="0" applyNumberFormat="1" applyFont="1" applyFill="1" applyBorder="1" applyAlignment="1">
      <alignment horizontal="left" vertical="center"/>
    </xf>
    <xf numFmtId="0" fontId="15" fillId="37" borderId="40" xfId="0" applyFont="1" applyFill="1" applyBorder="1"/>
    <xf numFmtId="0" fontId="15" fillId="37" borderId="40" xfId="0" applyFont="1" applyFill="1" applyBorder="1" applyAlignment="1">
      <alignment horizontal="center"/>
    </xf>
    <xf numFmtId="0" fontId="15" fillId="38" borderId="41" xfId="0" applyFont="1" applyFill="1" applyBorder="1" applyAlignment="1">
      <alignment horizontal="center"/>
    </xf>
    <xf numFmtId="0" fontId="15" fillId="39" borderId="42" xfId="0" applyFont="1" applyFill="1" applyBorder="1" applyAlignment="1">
      <alignment horizontal="center"/>
    </xf>
    <xf numFmtId="0" fontId="15" fillId="40" borderId="43" xfId="0" applyFont="1" applyFill="1" applyBorder="1" applyAlignment="1">
      <alignment horizontal="center"/>
    </xf>
    <xf numFmtId="0" fontId="15" fillId="41" borderId="44" xfId="0" applyFont="1" applyFill="1" applyBorder="1" applyAlignment="1">
      <alignment horizontal="center"/>
    </xf>
    <xf numFmtId="0" fontId="15" fillId="42" borderId="45" xfId="0" applyFont="1" applyFill="1" applyBorder="1"/>
    <xf numFmtId="0" fontId="15" fillId="41" borderId="44" xfId="0" applyFont="1" applyFill="1" applyBorder="1"/>
    <xf numFmtId="164" fontId="0" fillId="0" borderId="0" xfId="3" applyFont="1" applyAlignment="1">
      <alignment horizontal="center"/>
    </xf>
    <xf numFmtId="170" fontId="0" fillId="0" borderId="0" xfId="0" applyNumberFormat="1" applyAlignment="1">
      <alignment horizontal="center"/>
    </xf>
    <xf numFmtId="171" fontId="7" fillId="0" borderId="1" xfId="0" applyNumberFormat="1" applyFont="1" applyBorder="1" applyAlignment="1">
      <alignment horizontal="center"/>
    </xf>
    <xf numFmtId="171" fontId="10" fillId="3" borderId="5" xfId="0" applyNumberFormat="1" applyFont="1" applyFill="1" applyBorder="1" applyAlignment="1">
      <alignment horizontal="center"/>
    </xf>
    <xf numFmtId="9" fontId="11" fillId="21" borderId="24" xfId="2" applyFont="1" applyFill="1" applyBorder="1" applyAlignment="1">
      <alignment horizontal="center" vertical="center"/>
    </xf>
    <xf numFmtId="2" fontId="11" fillId="20" borderId="23" xfId="0" applyNumberFormat="1" applyFont="1" applyFill="1" applyBorder="1" applyAlignment="1">
      <alignment horizontal="center" vertical="center"/>
    </xf>
    <xf numFmtId="174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46" xfId="0" applyBorder="1" applyAlignment="1">
      <alignment horizontal="center"/>
    </xf>
    <xf numFmtId="0" fontId="1" fillId="43" borderId="47" xfId="0" applyFont="1" applyFill="1" applyBorder="1" applyAlignment="1">
      <alignment horizontal="center"/>
    </xf>
    <xf numFmtId="174" fontId="0" fillId="0" borderId="48" xfId="0" applyNumberFormat="1" applyBorder="1" applyAlignment="1">
      <alignment horizontal="center"/>
    </xf>
    <xf numFmtId="165" fontId="0" fillId="0" borderId="49" xfId="2" applyNumberFormat="1" applyFont="1" applyBorder="1" applyAlignment="1">
      <alignment horizontal="center"/>
    </xf>
    <xf numFmtId="165" fontId="0" fillId="0" borderId="48" xfId="2" applyNumberFormat="1" applyFont="1" applyBorder="1" applyAlignment="1">
      <alignment horizontal="center"/>
    </xf>
    <xf numFmtId="0" fontId="0" fillId="44" borderId="50" xfId="0" applyFill="1" applyBorder="1" applyAlignment="1">
      <alignment horizontal="center"/>
    </xf>
    <xf numFmtId="177" fontId="0" fillId="44" borderId="50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174" fontId="0" fillId="0" borderId="1" xfId="0" applyNumberFormat="1" applyBorder="1" applyAlignment="1">
      <alignment horizontal="center"/>
    </xf>
    <xf numFmtId="174" fontId="0" fillId="0" borderId="3" xfId="0" applyNumberFormat="1" applyBorder="1" applyAlignment="1">
      <alignment horizontal="center"/>
    </xf>
    <xf numFmtId="174" fontId="0" fillId="0" borderId="49" xfId="0" applyNumberFormat="1" applyBorder="1" applyAlignment="1">
      <alignment horizontal="center"/>
    </xf>
    <xf numFmtId="165" fontId="0" fillId="0" borderId="1" xfId="2" applyNumberFormat="1" applyFont="1" applyBorder="1" applyAlignment="1">
      <alignment horizontal="center"/>
    </xf>
    <xf numFmtId="165" fontId="0" fillId="0" borderId="3" xfId="2" applyNumberFormat="1" applyFont="1" applyBorder="1" applyAlignment="1">
      <alignment horizontal="center"/>
    </xf>
    <xf numFmtId="165" fontId="0" fillId="0" borderId="7" xfId="2" applyNumberFormat="1" applyFont="1" applyBorder="1" applyAlignment="1">
      <alignment horizontal="center"/>
    </xf>
    <xf numFmtId="165" fontId="0" fillId="0" borderId="52" xfId="2" applyNumberFormat="1" applyFont="1" applyBorder="1" applyAlignment="1">
      <alignment horizontal="center"/>
    </xf>
    <xf numFmtId="165" fontId="0" fillId="0" borderId="53" xfId="2" applyNumberFormat="1" applyFont="1" applyBorder="1" applyAlignment="1">
      <alignment horizontal="center"/>
    </xf>
    <xf numFmtId="165" fontId="0" fillId="0" borderId="51" xfId="2" applyNumberFormat="1" applyFont="1" applyBorder="1" applyAlignment="1">
      <alignment horizontal="center"/>
    </xf>
    <xf numFmtId="2" fontId="6" fillId="0" borderId="1" xfId="0" applyNumberFormat="1" applyFont="1" applyBorder="1"/>
    <xf numFmtId="2" fontId="6" fillId="0" borderId="1" xfId="4" applyNumberFormat="1" applyFont="1" applyBorder="1"/>
    <xf numFmtId="0" fontId="0" fillId="0" borderId="5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4" fontId="0" fillId="0" borderId="52" xfId="0" applyNumberFormat="1" applyBorder="1" applyAlignment="1">
      <alignment horizontal="center"/>
    </xf>
    <xf numFmtId="0" fontId="1" fillId="45" borderId="55" xfId="0" applyFont="1" applyFill="1" applyBorder="1" applyAlignment="1">
      <alignment horizontal="center"/>
    </xf>
    <xf numFmtId="174" fontId="0" fillId="0" borderId="53" xfId="0" applyNumberFormat="1" applyBorder="1" applyAlignment="1">
      <alignment horizontal="center"/>
    </xf>
    <xf numFmtId="174" fontId="0" fillId="0" borderId="51" xfId="0" applyNumberFormat="1" applyBorder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7" xfId="0" applyNumberFormat="1" applyBorder="1" applyAlignment="1">
      <alignment horizontal="center"/>
    </xf>
    <xf numFmtId="0" fontId="15" fillId="16" borderId="19" xfId="0" applyFont="1" applyFill="1" applyBorder="1"/>
    <xf numFmtId="171" fontId="1" fillId="0" borderId="0" xfId="0" applyNumberFormat="1" applyFont="1"/>
    <xf numFmtId="2" fontId="1" fillId="16" borderId="19" xfId="0" applyNumberFormat="1" applyFont="1" applyFill="1" applyBorder="1"/>
    <xf numFmtId="171" fontId="0" fillId="0" borderId="1" xfId="0" applyNumberFormat="1" applyBorder="1" applyAlignment="1">
      <alignment horizontal="center"/>
    </xf>
    <xf numFmtId="2" fontId="1" fillId="0" borderId="1" xfId="0" applyNumberFormat="1" applyFont="1" applyBorder="1"/>
    <xf numFmtId="2" fontId="1" fillId="46" borderId="56" xfId="0" applyNumberFormat="1" applyFont="1" applyFill="1" applyBorder="1"/>
    <xf numFmtId="170" fontId="27" fillId="12" borderId="15" xfId="0" applyNumberFormat="1" applyFont="1" applyFill="1" applyBorder="1"/>
    <xf numFmtId="2" fontId="0" fillId="0" borderId="53" xfId="0" applyNumberFormat="1" applyBorder="1"/>
    <xf numFmtId="169" fontId="0" fillId="0" borderId="0" xfId="0" applyNumberFormat="1" applyAlignment="1">
      <alignment horizontal="right"/>
    </xf>
    <xf numFmtId="177" fontId="28" fillId="0" borderId="0" xfId="0" applyNumberFormat="1" applyFont="1" applyAlignment="1">
      <alignment vertical="center"/>
    </xf>
    <xf numFmtId="2" fontId="0" fillId="12" borderId="15" xfId="0" applyNumberFormat="1" applyFill="1" applyBorder="1"/>
    <xf numFmtId="170" fontId="27" fillId="17" borderId="20" xfId="0" applyNumberFormat="1" applyFont="1" applyFill="1" applyBorder="1"/>
    <xf numFmtId="9" fontId="17" fillId="27" borderId="30" xfId="0" applyNumberFormat="1" applyFont="1" applyFill="1" applyBorder="1" applyAlignment="1">
      <alignment horizontal="center" vertical="center"/>
    </xf>
    <xf numFmtId="0" fontId="17" fillId="47" borderId="57" xfId="0" applyFont="1" applyFill="1" applyBorder="1" applyAlignment="1">
      <alignment horizontal="center" vertical="center"/>
    </xf>
    <xf numFmtId="9" fontId="17" fillId="47" borderId="57" xfId="0" applyNumberFormat="1" applyFont="1" applyFill="1" applyBorder="1" applyAlignment="1">
      <alignment horizontal="center" vertical="center"/>
    </xf>
    <xf numFmtId="0" fontId="17" fillId="48" borderId="58" xfId="0" applyFont="1" applyFill="1" applyBorder="1" applyAlignment="1">
      <alignment horizontal="center" vertical="center"/>
    </xf>
    <xf numFmtId="9" fontId="17" fillId="48" borderId="58" xfId="0" applyNumberFormat="1" applyFont="1" applyFill="1" applyBorder="1" applyAlignment="1">
      <alignment horizontal="center" vertical="center"/>
    </xf>
    <xf numFmtId="171" fontId="1" fillId="0" borderId="0" xfId="0" applyNumberFormat="1" applyFont="1" applyAlignment="1">
      <alignment horizontal="center"/>
    </xf>
    <xf numFmtId="177" fontId="0" fillId="0" borderId="0" xfId="0" applyNumberFormat="1" applyAlignment="1">
      <alignment horizontal="center"/>
    </xf>
    <xf numFmtId="0" fontId="21" fillId="23" borderId="26" xfId="0" applyFont="1" applyFill="1" applyBorder="1" applyAlignment="1">
      <alignment horizontal="center" vertical="top" wrapText="1"/>
    </xf>
    <xf numFmtId="167" fontId="0" fillId="13" borderId="16" xfId="0" applyNumberFormat="1" applyFill="1" applyBorder="1" applyAlignment="1">
      <alignment horizontal="center"/>
    </xf>
    <xf numFmtId="169" fontId="11" fillId="21" borderId="24" xfId="3" applyNumberFormat="1" applyFont="1" applyFill="1" applyBorder="1" applyAlignment="1">
      <alignment horizontal="left" vertical="center"/>
    </xf>
    <xf numFmtId="170" fontId="1" fillId="0" borderId="0" xfId="4" applyNumberFormat="1" applyFont="1" applyAlignment="1">
      <alignment horizontal="center"/>
    </xf>
    <xf numFmtId="0" fontId="1" fillId="49" borderId="59" xfId="0" applyFont="1" applyFill="1" applyBorder="1" applyAlignment="1">
      <alignment horizontal="center"/>
    </xf>
    <xf numFmtId="0" fontId="1" fillId="46" borderId="56" xfId="0" applyFont="1" applyFill="1" applyBorder="1" applyAlignment="1">
      <alignment horizontal="center"/>
    </xf>
    <xf numFmtId="165" fontId="0" fillId="0" borderId="60" xfId="2" applyNumberFormat="1" applyFont="1" applyBorder="1" applyAlignment="1">
      <alignment horizontal="center"/>
    </xf>
    <xf numFmtId="165" fontId="0" fillId="0" borderId="61" xfId="2" applyNumberFormat="1" applyFont="1" applyBorder="1" applyAlignment="1">
      <alignment horizontal="center"/>
    </xf>
    <xf numFmtId="165" fontId="0" fillId="0" borderId="54" xfId="2" applyNumberFormat="1" applyFont="1" applyBorder="1" applyAlignment="1">
      <alignment horizontal="center"/>
    </xf>
    <xf numFmtId="172" fontId="0" fillId="0" borderId="0" xfId="3" applyNumberFormat="1" applyFont="1" applyAlignment="1">
      <alignment horizontal="center"/>
    </xf>
    <xf numFmtId="172" fontId="0" fillId="0" borderId="3" xfId="3" applyNumberFormat="1" applyFont="1" applyBorder="1" applyAlignment="1">
      <alignment horizontal="center"/>
    </xf>
    <xf numFmtId="172" fontId="0" fillId="0" borderId="52" xfId="3" applyNumberFormat="1" applyFont="1" applyBorder="1" applyAlignment="1">
      <alignment horizontal="center"/>
    </xf>
    <xf numFmtId="172" fontId="0" fillId="0" borderId="49" xfId="3" applyNumberFormat="1" applyFont="1" applyBorder="1" applyAlignment="1">
      <alignment horizontal="center"/>
    </xf>
    <xf numFmtId="172" fontId="0" fillId="0" borderId="48" xfId="3" applyNumberFormat="1" applyFont="1" applyBorder="1" applyAlignment="1">
      <alignment horizontal="center"/>
    </xf>
    <xf numFmtId="172" fontId="0" fillId="0" borderId="53" xfId="3" applyNumberFormat="1" applyFont="1" applyBorder="1" applyAlignment="1">
      <alignment horizontal="center"/>
    </xf>
    <xf numFmtId="172" fontId="0" fillId="0" borderId="7" xfId="3" applyNumberFormat="1" applyFont="1" applyBorder="1" applyAlignment="1">
      <alignment horizontal="center"/>
    </xf>
    <xf numFmtId="172" fontId="0" fillId="0" borderId="51" xfId="3" applyNumberFormat="1" applyFont="1" applyBorder="1" applyAlignment="1">
      <alignment horizontal="center"/>
    </xf>
    <xf numFmtId="172" fontId="0" fillId="0" borderId="1" xfId="3" applyNumberFormat="1" applyFont="1" applyBorder="1" applyAlignment="1">
      <alignment horizontal="center"/>
    </xf>
    <xf numFmtId="172" fontId="0" fillId="0" borderId="62" xfId="3" applyNumberFormat="1" applyFont="1" applyBorder="1" applyAlignment="1">
      <alignment horizontal="center"/>
    </xf>
    <xf numFmtId="172" fontId="0" fillId="0" borderId="63" xfId="3" applyNumberFormat="1" applyFont="1" applyBorder="1" applyAlignment="1">
      <alignment horizontal="center"/>
    </xf>
    <xf numFmtId="170" fontId="0" fillId="0" borderId="0" xfId="0" applyNumberFormat="1" applyAlignment="1">
      <alignment horizontal="left"/>
    </xf>
    <xf numFmtId="0" fontId="41" fillId="50" borderId="64" xfId="4" applyFill="1" applyBorder="1" applyAlignment="1">
      <alignment horizontal="right"/>
    </xf>
    <xf numFmtId="2" fontId="12" fillId="0" borderId="0" xfId="0" applyNumberFormat="1" applyFont="1"/>
    <xf numFmtId="0" fontId="1" fillId="51" borderId="65" xfId="0" applyFont="1" applyFill="1" applyBorder="1" applyAlignment="1">
      <alignment horizontal="center"/>
    </xf>
    <xf numFmtId="0" fontId="1" fillId="51" borderId="65" xfId="0" applyFont="1" applyFill="1" applyBorder="1"/>
    <xf numFmtId="2" fontId="1" fillId="12" borderId="15" xfId="0" applyNumberFormat="1" applyFont="1" applyFill="1" applyBorder="1"/>
    <xf numFmtId="169" fontId="12" fillId="0" borderId="0" xfId="0" applyNumberFormat="1" applyFont="1"/>
    <xf numFmtId="2" fontId="11" fillId="21" borderId="24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left" vertical="center"/>
    </xf>
    <xf numFmtId="170" fontId="14" fillId="0" borderId="0" xfId="0" applyNumberFormat="1" applyFont="1"/>
    <xf numFmtId="169" fontId="23" fillId="21" borderId="24" xfId="3" applyNumberFormat="1" applyFont="1" applyFill="1" applyBorder="1" applyAlignment="1">
      <alignment horizontal="right" vertical="center"/>
    </xf>
    <xf numFmtId="0" fontId="17" fillId="52" borderId="66" xfId="0" applyFont="1" applyFill="1" applyBorder="1" applyAlignment="1">
      <alignment horizontal="center" vertical="center"/>
    </xf>
    <xf numFmtId="169" fontId="11" fillId="53" borderId="67" xfId="3" applyNumberFormat="1" applyFont="1" applyFill="1" applyBorder="1" applyAlignment="1">
      <alignment horizontal="right" vertical="center"/>
    </xf>
    <xf numFmtId="170" fontId="1" fillId="0" borderId="0" xfId="0" applyNumberFormat="1" applyFont="1"/>
    <xf numFmtId="0" fontId="23" fillId="0" borderId="1" xfId="0" applyFont="1" applyBorder="1" applyAlignment="1">
      <alignment horizontal="left" vertical="center"/>
    </xf>
    <xf numFmtId="0" fontId="16" fillId="0" borderId="0" xfId="4" applyFont="1" applyAlignment="1">
      <alignment horizontal="center"/>
    </xf>
    <xf numFmtId="170" fontId="1" fillId="0" borderId="0" xfId="4" applyNumberFormat="1" applyFont="1"/>
    <xf numFmtId="170" fontId="1" fillId="0" borderId="1" xfId="4" applyNumberFormat="1" applyFont="1" applyBorder="1" applyAlignment="1">
      <alignment horizontal="center"/>
    </xf>
    <xf numFmtId="9" fontId="1" fillId="0" borderId="1" xfId="2" applyFont="1" applyBorder="1" applyAlignment="1">
      <alignment horizontal="center"/>
    </xf>
    <xf numFmtId="169" fontId="1" fillId="0" borderId="1" xfId="3" applyNumberFormat="1" applyFont="1" applyBorder="1" applyAlignment="1">
      <alignment horizontal="center"/>
    </xf>
    <xf numFmtId="170" fontId="41" fillId="0" borderId="1" xfId="4" applyNumberFormat="1" applyBorder="1" applyAlignment="1">
      <alignment horizontal="center"/>
    </xf>
    <xf numFmtId="0" fontId="0" fillId="54" borderId="68" xfId="0" applyFill="1" applyBorder="1" applyAlignment="1">
      <alignment horizontal="center"/>
    </xf>
    <xf numFmtId="0" fontId="0" fillId="54" borderId="68" xfId="0" applyFill="1" applyBorder="1"/>
    <xf numFmtId="177" fontId="0" fillId="54" borderId="68" xfId="0" applyNumberFormat="1" applyFill="1" applyBorder="1"/>
    <xf numFmtId="2" fontId="0" fillId="54" borderId="68" xfId="0" applyNumberFormat="1" applyFill="1" applyBorder="1"/>
    <xf numFmtId="0" fontId="0" fillId="55" borderId="69" xfId="0" applyFill="1" applyBorder="1" applyAlignment="1">
      <alignment horizontal="center"/>
    </xf>
    <xf numFmtId="0" fontId="0" fillId="55" borderId="69" xfId="0" applyFill="1" applyBorder="1"/>
    <xf numFmtId="177" fontId="0" fillId="55" borderId="69" xfId="0" applyNumberFormat="1" applyFill="1" applyBorder="1"/>
    <xf numFmtId="2" fontId="0" fillId="55" borderId="69" xfId="0" applyNumberFormat="1" applyFill="1" applyBorder="1"/>
    <xf numFmtId="0" fontId="0" fillId="56" borderId="70" xfId="0" applyFill="1" applyBorder="1"/>
    <xf numFmtId="0" fontId="31" fillId="0" borderId="0" xfId="4" applyFont="1" applyAlignment="1">
      <alignment horizontal="center"/>
    </xf>
    <xf numFmtId="0" fontId="38" fillId="0" borderId="0" xfId="4" applyFont="1"/>
    <xf numFmtId="0" fontId="39" fillId="0" borderId="0" xfId="4" applyFont="1" applyAlignment="1">
      <alignment horizontal="center"/>
    </xf>
    <xf numFmtId="0" fontId="40" fillId="0" borderId="0" xfId="4" applyFont="1" applyAlignment="1">
      <alignment horizontal="left"/>
    </xf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170" fontId="39" fillId="0" borderId="1" xfId="0" applyNumberFormat="1" applyFont="1" applyBorder="1"/>
    <xf numFmtId="172" fontId="39" fillId="0" borderId="1" xfId="3" applyNumberFormat="1" applyFont="1" applyBorder="1" applyAlignment="1">
      <alignment horizontal="center"/>
    </xf>
    <xf numFmtId="0" fontId="39" fillId="0" borderId="0" xfId="0" applyFont="1"/>
    <xf numFmtId="169" fontId="38" fillId="0" borderId="0" xfId="3" applyNumberFormat="1" applyFont="1"/>
    <xf numFmtId="1" fontId="0" fillId="0" borderId="1" xfId="0" applyNumberFormat="1" applyBorder="1"/>
    <xf numFmtId="178" fontId="11" fillId="21" borderId="24" xfId="0" applyNumberFormat="1" applyFont="1" applyFill="1" applyBorder="1" applyAlignment="1">
      <alignment horizontal="center" vertical="center"/>
    </xf>
    <xf numFmtId="0" fontId="41" fillId="56" borderId="70" xfId="4" applyFill="1" applyBorder="1" applyAlignment="1">
      <alignment horizontal="right"/>
    </xf>
    <xf numFmtId="0" fontId="0" fillId="0" borderId="0" xfId="0" applyAlignment="1">
      <alignment horizontal="center"/>
    </xf>
    <xf numFmtId="0" fontId="0" fillId="0" borderId="76" xfId="0" applyBorder="1"/>
    <xf numFmtId="0" fontId="11" fillId="20" borderId="76" xfId="0" applyFont="1" applyFill="1" applyBorder="1" applyAlignment="1">
      <alignment horizontal="left" vertical="center"/>
    </xf>
    <xf numFmtId="1" fontId="11" fillId="20" borderId="76" xfId="0" applyNumberFormat="1" applyFont="1" applyFill="1" applyBorder="1" applyAlignment="1">
      <alignment horizontal="left" vertical="center"/>
    </xf>
    <xf numFmtId="0" fontId="11" fillId="21" borderId="76" xfId="0" applyFont="1" applyFill="1" applyBorder="1" applyAlignment="1">
      <alignment horizontal="center" vertical="center"/>
    </xf>
    <xf numFmtId="0" fontId="11" fillId="0" borderId="76" xfId="0" applyFont="1" applyBorder="1" applyAlignment="1">
      <alignment horizontal="left" vertical="center"/>
    </xf>
    <xf numFmtId="170" fontId="11" fillId="21" borderId="76" xfId="0" applyNumberFormat="1" applyFont="1" applyFill="1" applyBorder="1" applyAlignment="1">
      <alignment horizontal="left" vertical="center"/>
    </xf>
    <xf numFmtId="2" fontId="11" fillId="21" borderId="76" xfId="0" applyNumberFormat="1" applyFont="1" applyFill="1" applyBorder="1" applyAlignment="1">
      <alignment horizontal="left" vertical="center"/>
    </xf>
    <xf numFmtId="1" fontId="11" fillId="29" borderId="76" xfId="0" applyNumberFormat="1" applyFont="1" applyFill="1" applyBorder="1" applyAlignment="1">
      <alignment horizontal="left" vertical="center"/>
    </xf>
    <xf numFmtId="170" fontId="11" fillId="21" borderId="76" xfId="0" applyNumberFormat="1" applyFont="1" applyFill="1" applyBorder="1" applyAlignment="1">
      <alignment horizontal="center" vertical="center"/>
    </xf>
    <xf numFmtId="1" fontId="11" fillId="21" borderId="76" xfId="0" applyNumberFormat="1" applyFont="1" applyFill="1" applyBorder="1" applyAlignment="1">
      <alignment horizontal="center" vertical="center"/>
    </xf>
    <xf numFmtId="2" fontId="11" fillId="21" borderId="76" xfId="0" applyNumberFormat="1" applyFont="1" applyFill="1" applyBorder="1" applyAlignment="1">
      <alignment horizontal="center" vertical="center"/>
    </xf>
    <xf numFmtId="9" fontId="11" fillId="21" borderId="76" xfId="2" applyFont="1" applyFill="1" applyBorder="1" applyAlignment="1">
      <alignment horizontal="center" vertical="center"/>
    </xf>
    <xf numFmtId="169" fontId="11" fillId="21" borderId="76" xfId="3" applyNumberFormat="1" applyFont="1" applyFill="1" applyBorder="1" applyAlignment="1">
      <alignment horizontal="right" vertical="center"/>
    </xf>
    <xf numFmtId="169" fontId="11" fillId="21" borderId="76" xfId="3" applyNumberFormat="1" applyFont="1" applyFill="1" applyBorder="1" applyAlignment="1">
      <alignment horizontal="left" vertical="center"/>
    </xf>
    <xf numFmtId="172" fontId="11" fillId="21" borderId="76" xfId="3" applyNumberFormat="1" applyFont="1" applyFill="1" applyBorder="1" applyAlignment="1">
      <alignment horizontal="right" vertical="center"/>
    </xf>
    <xf numFmtId="2" fontId="11" fillId="20" borderId="76" xfId="0" applyNumberFormat="1" applyFont="1" applyFill="1" applyBorder="1" applyAlignment="1">
      <alignment horizontal="left" vertical="center"/>
    </xf>
    <xf numFmtId="169" fontId="23" fillId="21" borderId="76" xfId="3" applyNumberFormat="1" applyFont="1" applyFill="1" applyBorder="1" applyAlignment="1">
      <alignment horizontal="right" vertical="center"/>
    </xf>
    <xf numFmtId="170" fontId="39" fillId="0" borderId="76" xfId="0" applyNumberFormat="1" applyFont="1" applyBorder="1"/>
    <xf numFmtId="169" fontId="11" fillId="53" borderId="73" xfId="3" applyNumberFormat="1" applyFont="1" applyFill="1" applyBorder="1" applyAlignment="1">
      <alignment horizontal="right" vertical="center"/>
    </xf>
    <xf numFmtId="14" fontId="0" fillId="0" borderId="0" xfId="0" applyNumberFormat="1" applyAlignment="1">
      <alignment horizontal="center"/>
    </xf>
    <xf numFmtId="0" fontId="1" fillId="0" borderId="77" xfId="0" applyFont="1" applyBorder="1" applyAlignment="1">
      <alignment horizontal="center"/>
    </xf>
    <xf numFmtId="0" fontId="1" fillId="0" borderId="83" xfId="0" applyFont="1" applyBorder="1" applyAlignment="1">
      <alignment horizontal="center"/>
    </xf>
    <xf numFmtId="0" fontId="1" fillId="0" borderId="80" xfId="0" applyFont="1" applyBorder="1" applyAlignment="1">
      <alignment horizontal="center"/>
    </xf>
    <xf numFmtId="0" fontId="0" fillId="0" borderId="77" xfId="0" applyBorder="1" applyAlignment="1">
      <alignment horizontal="center"/>
    </xf>
    <xf numFmtId="0" fontId="0" fillId="0" borderId="77" xfId="0" applyNumberFormat="1" applyBorder="1" applyAlignment="1">
      <alignment horizontal="center"/>
    </xf>
    <xf numFmtId="0" fontId="0" fillId="0" borderId="83" xfId="0" applyNumberFormat="1" applyBorder="1" applyAlignment="1">
      <alignment horizontal="center"/>
    </xf>
    <xf numFmtId="9" fontId="0" fillId="0" borderId="80" xfId="0" applyNumberFormat="1" applyBorder="1" applyAlignment="1">
      <alignment horizontal="center"/>
    </xf>
    <xf numFmtId="0" fontId="0" fillId="0" borderId="78" xfId="0" applyBorder="1" applyAlignment="1">
      <alignment horizontal="center"/>
    </xf>
    <xf numFmtId="0" fontId="0" fillId="0" borderId="78" xfId="0" applyNumberFormat="1" applyBorder="1" applyAlignment="1">
      <alignment horizontal="center"/>
    </xf>
    <xf numFmtId="0" fontId="0" fillId="0" borderId="84" xfId="0" applyNumberFormat="1" applyBorder="1" applyAlignment="1">
      <alignment horizontal="center"/>
    </xf>
    <xf numFmtId="9" fontId="0" fillId="0" borderId="81" xfId="0" applyNumberFormat="1" applyBorder="1" applyAlignment="1">
      <alignment horizontal="center"/>
    </xf>
    <xf numFmtId="0" fontId="0" fillId="0" borderId="79" xfId="0" applyNumberFormat="1" applyBorder="1" applyAlignment="1">
      <alignment horizontal="center"/>
    </xf>
    <xf numFmtId="0" fontId="0" fillId="0" borderId="85" xfId="0" applyNumberFormat="1" applyBorder="1" applyAlignment="1">
      <alignment horizontal="center"/>
    </xf>
    <xf numFmtId="0" fontId="0" fillId="0" borderId="82" xfId="0" applyNumberFormat="1" applyBorder="1" applyAlignment="1">
      <alignment horizontal="center"/>
    </xf>
    <xf numFmtId="0" fontId="1" fillId="0" borderId="77" xfId="0" pivotButton="1" applyFont="1" applyBorder="1" applyAlignment="1">
      <alignment horizontal="center"/>
    </xf>
    <xf numFmtId="165" fontId="0" fillId="0" borderId="0" xfId="2" applyNumberFormat="1" applyFont="1" applyAlignment="1">
      <alignment horizontal="center"/>
    </xf>
    <xf numFmtId="0" fontId="1" fillId="0" borderId="79" xfId="0" applyFont="1" applyBorder="1" applyAlignment="1">
      <alignment horizontal="center"/>
    </xf>
    <xf numFmtId="0" fontId="1" fillId="0" borderId="79" xfId="0" applyNumberFormat="1" applyFont="1" applyBorder="1" applyAlignment="1">
      <alignment horizontal="center"/>
    </xf>
    <xf numFmtId="0" fontId="1" fillId="0" borderId="85" xfId="0" applyNumberFormat="1" applyFont="1" applyBorder="1" applyAlignment="1">
      <alignment horizontal="center"/>
    </xf>
    <xf numFmtId="9" fontId="1" fillId="0" borderId="82" xfId="0" applyNumberFormat="1" applyFont="1" applyBorder="1" applyAlignment="1">
      <alignment horizontal="center"/>
    </xf>
    <xf numFmtId="0" fontId="0" fillId="69" borderId="22" xfId="0" applyFill="1" applyBorder="1"/>
    <xf numFmtId="0" fontId="0" fillId="70" borderId="22" xfId="0" applyFill="1" applyBorder="1"/>
    <xf numFmtId="0" fontId="0" fillId="71" borderId="22" xfId="0" applyFill="1" applyBorder="1"/>
    <xf numFmtId="0" fontId="0" fillId="72" borderId="22" xfId="0" applyFill="1" applyBorder="1"/>
    <xf numFmtId="0" fontId="17" fillId="47" borderId="7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9" fontId="44" fillId="21" borderId="24" xfId="3" applyNumberFormat="1" applyFont="1" applyFill="1" applyBorder="1" applyAlignment="1">
      <alignment horizontal="right" vertical="center"/>
    </xf>
    <xf numFmtId="169" fontId="45" fillId="21" borderId="24" xfId="3" applyNumberFormat="1" applyFont="1" applyFill="1" applyBorder="1" applyAlignment="1">
      <alignment horizontal="right" vertical="center"/>
    </xf>
    <xf numFmtId="0" fontId="41" fillId="0" borderId="64" xfId="4" applyFill="1" applyBorder="1" applyAlignment="1">
      <alignment horizontal="right"/>
    </xf>
    <xf numFmtId="0" fontId="8" fillId="0" borderId="73" xfId="0" applyFont="1" applyBorder="1"/>
    <xf numFmtId="0" fontId="0" fillId="0" borderId="73" xfId="0" applyBorder="1"/>
    <xf numFmtId="165" fontId="8" fillId="0" borderId="73" xfId="2" applyNumberFormat="1" applyFont="1" applyBorder="1"/>
    <xf numFmtId="0" fontId="1" fillId="0" borderId="73" xfId="0" applyFont="1" applyBorder="1"/>
    <xf numFmtId="0" fontId="1" fillId="56" borderId="73" xfId="0" applyFont="1" applyFill="1" applyBorder="1" applyAlignment="1">
      <alignment horizontal="center"/>
    </xf>
    <xf numFmtId="0" fontId="0" fillId="56" borderId="73" xfId="0" applyFill="1" applyBorder="1"/>
    <xf numFmtId="0" fontId="0" fillId="0" borderId="73" xfId="0" applyBorder="1" applyAlignment="1">
      <alignment horizontal="center"/>
    </xf>
    <xf numFmtId="0" fontId="0" fillId="57" borderId="73" xfId="0" applyFill="1" applyBorder="1" applyAlignment="1">
      <alignment horizontal="center"/>
    </xf>
    <xf numFmtId="0" fontId="0" fillId="57" borderId="73" xfId="0" applyFill="1" applyBorder="1"/>
    <xf numFmtId="177" fontId="0" fillId="57" borderId="73" xfId="0" applyNumberFormat="1" applyFill="1" applyBorder="1"/>
    <xf numFmtId="0" fontId="1" fillId="57" borderId="73" xfId="0" applyFont="1" applyFill="1" applyBorder="1" applyAlignment="1">
      <alignment horizontal="center"/>
    </xf>
    <xf numFmtId="0" fontId="0" fillId="56" borderId="73" xfId="0" applyFill="1" applyBorder="1" applyAlignment="1">
      <alignment horizontal="center"/>
    </xf>
    <xf numFmtId="0" fontId="0" fillId="55" borderId="73" xfId="0" applyFill="1" applyBorder="1" applyAlignment="1">
      <alignment horizontal="center"/>
    </xf>
    <xf numFmtId="0" fontId="0" fillId="55" borderId="73" xfId="0" applyFill="1" applyBorder="1"/>
    <xf numFmtId="177" fontId="0" fillId="55" borderId="73" xfId="0" applyNumberFormat="1" applyFill="1" applyBorder="1"/>
    <xf numFmtId="0" fontId="0" fillId="54" borderId="73" xfId="0" applyFill="1" applyBorder="1" applyAlignment="1">
      <alignment horizontal="center"/>
    </xf>
    <xf numFmtId="0" fontId="0" fillId="54" borderId="73" xfId="0" applyFill="1" applyBorder="1"/>
    <xf numFmtId="177" fontId="0" fillId="54" borderId="73" xfId="0" applyNumberFormat="1" applyFill="1" applyBorder="1"/>
    <xf numFmtId="2" fontId="0" fillId="54" borderId="73" xfId="0" applyNumberFormat="1" applyFill="1" applyBorder="1"/>
    <xf numFmtId="2" fontId="0" fillId="55" borderId="73" xfId="0" applyNumberFormat="1" applyFill="1" applyBorder="1"/>
    <xf numFmtId="0" fontId="8" fillId="54" borderId="73" xfId="0" applyFont="1" applyFill="1" applyBorder="1"/>
    <xf numFmtId="0" fontId="8" fillId="0" borderId="73" xfId="0" applyFont="1" applyBorder="1" applyAlignment="1">
      <alignment horizontal="left"/>
    </xf>
    <xf numFmtId="0" fontId="0" fillId="0" borderId="0" xfId="0" applyAlignment="1">
      <alignment horizontal="center"/>
    </xf>
    <xf numFmtId="0" fontId="0" fillId="71" borderId="73" xfId="0" applyFill="1" applyBorder="1" applyAlignment="1">
      <alignment horizontal="center"/>
    </xf>
    <xf numFmtId="0" fontId="0" fillId="71" borderId="73" xfId="0" applyFill="1" applyBorder="1"/>
    <xf numFmtId="177" fontId="0" fillId="71" borderId="73" xfId="0" applyNumberFormat="1" applyFill="1" applyBorder="1"/>
    <xf numFmtId="0" fontId="0" fillId="71" borderId="69" xfId="0" applyFill="1" applyBorder="1" applyAlignment="1">
      <alignment horizontal="center"/>
    </xf>
    <xf numFmtId="0" fontId="0" fillId="71" borderId="69" xfId="0" applyFill="1" applyBorder="1"/>
    <xf numFmtId="0" fontId="1" fillId="71" borderId="73" xfId="0" applyFont="1" applyFill="1" applyBorder="1" applyAlignment="1">
      <alignment horizontal="center"/>
    </xf>
    <xf numFmtId="0" fontId="15" fillId="42" borderId="73" xfId="0" applyFont="1" applyFill="1" applyBorder="1"/>
    <xf numFmtId="1" fontId="0" fillId="0" borderId="73" xfId="0" applyNumberFormat="1" applyBorder="1"/>
    <xf numFmtId="170" fontId="0" fillId="0" borderId="73" xfId="0" applyNumberFormat="1" applyBorder="1" applyAlignment="1">
      <alignment horizontal="center"/>
    </xf>
    <xf numFmtId="2" fontId="0" fillId="0" borderId="73" xfId="0" applyNumberFormat="1" applyBorder="1" applyAlignment="1">
      <alignment horizontal="center"/>
    </xf>
    <xf numFmtId="0" fontId="1" fillId="0" borderId="73" xfId="0" applyFont="1" applyBorder="1" applyAlignment="1">
      <alignment horizontal="center"/>
    </xf>
    <xf numFmtId="0" fontId="15" fillId="37" borderId="73" xfId="0" applyFont="1" applyFill="1" applyBorder="1"/>
    <xf numFmtId="0" fontId="15" fillId="37" borderId="73" xfId="0" applyFont="1" applyFill="1" applyBorder="1" applyAlignment="1">
      <alignment horizontal="center"/>
    </xf>
    <xf numFmtId="0" fontId="15" fillId="39" borderId="73" xfId="0" applyFont="1" applyFill="1" applyBorder="1" applyAlignment="1">
      <alignment horizontal="center"/>
    </xf>
    <xf numFmtId="0" fontId="15" fillId="40" borderId="73" xfId="0" applyFont="1" applyFill="1" applyBorder="1" applyAlignment="1">
      <alignment horizontal="center"/>
    </xf>
    <xf numFmtId="0" fontId="23" fillId="30" borderId="73" xfId="0" applyFont="1" applyFill="1" applyBorder="1" applyAlignment="1">
      <alignment horizontal="center" vertical="center"/>
    </xf>
    <xf numFmtId="0" fontId="0" fillId="65" borderId="73" xfId="0" applyFill="1" applyBorder="1"/>
    <xf numFmtId="164" fontId="0" fillId="0" borderId="73" xfId="3" applyFont="1" applyBorder="1" applyAlignment="1">
      <alignment horizontal="center"/>
    </xf>
    <xf numFmtId="2" fontId="0" fillId="0" borderId="73" xfId="0" applyNumberFormat="1" applyBorder="1"/>
    <xf numFmtId="0" fontId="14" fillId="63" borderId="73" xfId="0" applyFont="1" applyFill="1" applyBorder="1"/>
    <xf numFmtId="0" fontId="0" fillId="0" borderId="0" xfId="0" applyAlignment="1">
      <alignment horizontal="center"/>
    </xf>
    <xf numFmtId="170" fontId="0" fillId="0" borderId="73" xfId="0" applyNumberFormat="1" applyBorder="1"/>
    <xf numFmtId="172" fontId="39" fillId="0" borderId="76" xfId="3" applyNumberFormat="1" applyFont="1" applyBorder="1" applyAlignment="1">
      <alignment horizontal="center"/>
    </xf>
    <xf numFmtId="0" fontId="0" fillId="0" borderId="73" xfId="0" applyFill="1" applyBorder="1" applyAlignment="1">
      <alignment horizontal="center"/>
    </xf>
    <xf numFmtId="2" fontId="0" fillId="71" borderId="73" xfId="0" applyNumberFormat="1" applyFill="1" applyBorder="1"/>
    <xf numFmtId="2" fontId="0" fillId="71" borderId="69" xfId="0" applyNumberFormat="1" applyFill="1" applyBorder="1"/>
    <xf numFmtId="0" fontId="8" fillId="71" borderId="73" xfId="0" applyFont="1" applyFill="1" applyBorder="1"/>
    <xf numFmtId="0" fontId="41" fillId="70" borderId="70" xfId="4" applyFill="1" applyBorder="1" applyAlignment="1">
      <alignment horizontal="right"/>
    </xf>
    <xf numFmtId="0" fontId="41" fillId="70" borderId="72" xfId="4" applyFill="1" applyBorder="1" applyAlignment="1">
      <alignment horizontal="right"/>
    </xf>
    <xf numFmtId="0" fontId="41" fillId="70" borderId="76" xfId="4" applyFill="1" applyBorder="1" applyAlignment="1">
      <alignment horizontal="right"/>
    </xf>
    <xf numFmtId="178" fontId="11" fillId="21" borderId="76" xfId="0" applyNumberFormat="1" applyFont="1" applyFill="1" applyBorder="1" applyAlignment="1">
      <alignment horizontal="center" vertical="center"/>
    </xf>
    <xf numFmtId="0" fontId="8" fillId="0" borderId="73" xfId="0" applyFont="1" applyBorder="1" applyAlignment="1">
      <alignment horizontal="left"/>
    </xf>
    <xf numFmtId="0" fontId="0" fillId="0" borderId="0" xfId="0" applyAlignment="1">
      <alignment horizontal="center"/>
    </xf>
    <xf numFmtId="0" fontId="46" fillId="0" borderId="0" xfId="4" applyFont="1" applyAlignment="1">
      <alignment horizontal="center"/>
    </xf>
    <xf numFmtId="0" fontId="46" fillId="0" borderId="0" xfId="0" applyFont="1" applyAlignment="1">
      <alignment horizontal="center"/>
    </xf>
    <xf numFmtId="0" fontId="47" fillId="30" borderId="33" xfId="0" applyFont="1" applyFill="1" applyBorder="1" applyAlignment="1">
      <alignment horizontal="center" vertical="center"/>
    </xf>
    <xf numFmtId="169" fontId="46" fillId="0" borderId="0" xfId="3" applyNumberFormat="1" applyFont="1"/>
    <xf numFmtId="0" fontId="46" fillId="0" borderId="0" xfId="0" applyFont="1"/>
    <xf numFmtId="0" fontId="7" fillId="0" borderId="73" xfId="0" applyFont="1" applyBorder="1"/>
    <xf numFmtId="0" fontId="7" fillId="0" borderId="73" xfId="0" applyFont="1" applyBorder="1" applyAlignment="1">
      <alignment horizontal="center"/>
    </xf>
    <xf numFmtId="14" fontId="7" fillId="0" borderId="73" xfId="0" applyNumberFormat="1" applyFont="1" applyBorder="1" applyAlignment="1">
      <alignment horizontal="center"/>
    </xf>
    <xf numFmtId="0" fontId="35" fillId="73" borderId="86" xfId="0" applyFont="1" applyFill="1" applyBorder="1" applyAlignment="1">
      <alignment horizontal="left" wrapText="1"/>
    </xf>
    <xf numFmtId="166" fontId="35" fillId="74" borderId="87" xfId="0" applyNumberFormat="1" applyFont="1" applyFill="1" applyBorder="1"/>
    <xf numFmtId="165" fontId="35" fillId="74" borderId="88" xfId="2" applyNumberFormat="1" applyFont="1" applyFill="1" applyBorder="1"/>
    <xf numFmtId="0" fontId="48" fillId="0" borderId="88" xfId="0" applyFont="1" applyBorder="1"/>
    <xf numFmtId="0" fontId="35" fillId="75" borderId="87" xfId="0" applyFont="1" applyFill="1" applyBorder="1" applyAlignment="1">
      <alignment horizontal="left" wrapText="1"/>
    </xf>
    <xf numFmtId="166" fontId="35" fillId="76" borderId="87" xfId="0" applyNumberFormat="1" applyFont="1" applyFill="1" applyBorder="1"/>
    <xf numFmtId="165" fontId="35" fillId="76" borderId="88" xfId="2" applyNumberFormat="1" applyFont="1" applyFill="1" applyBorder="1"/>
    <xf numFmtId="166" fontId="0" fillId="0" borderId="0" xfId="0" applyNumberFormat="1"/>
    <xf numFmtId="0" fontId="1" fillId="0" borderId="73" xfId="0" applyFont="1" applyBorder="1" applyAlignment="1">
      <alignment horizontal="right"/>
    </xf>
    <xf numFmtId="0" fontId="8" fillId="0" borderId="92" xfId="0" applyFont="1" applyBorder="1"/>
    <xf numFmtId="166" fontId="8" fillId="0" borderId="73" xfId="0" applyNumberFormat="1" applyFont="1" applyBorder="1"/>
    <xf numFmtId="165" fontId="35" fillId="0" borderId="93" xfId="2" applyNumberFormat="1" applyFont="1" applyBorder="1"/>
    <xf numFmtId="0" fontId="0" fillId="0" borderId="93" xfId="0" applyBorder="1"/>
    <xf numFmtId="0" fontId="34" fillId="0" borderId="73" xfId="0" applyFont="1" applyBorder="1"/>
    <xf numFmtId="0" fontId="34" fillId="0" borderId="92" xfId="0" applyFont="1" applyBorder="1" applyAlignment="1">
      <alignment horizontal="right"/>
    </xf>
    <xf numFmtId="166" fontId="34" fillId="0" borderId="73" xfId="1" applyNumberFormat="1" applyFont="1" applyBorder="1"/>
    <xf numFmtId="165" fontId="34" fillId="0" borderId="93" xfId="2" applyNumberFormat="1" applyFont="1" applyBorder="1"/>
    <xf numFmtId="0" fontId="34" fillId="0" borderId="93" xfId="0" applyFont="1" applyBorder="1"/>
    <xf numFmtId="0" fontId="34" fillId="0" borderId="73" xfId="0" applyFont="1" applyBorder="1" applyAlignment="1">
      <alignment horizontal="right"/>
    </xf>
    <xf numFmtId="0" fontId="34" fillId="0" borderId="0" xfId="0" applyFont="1"/>
    <xf numFmtId="0" fontId="1" fillId="70" borderId="73" xfId="0" applyFont="1" applyFill="1" applyBorder="1" applyAlignment="1">
      <alignment horizontal="left" wrapText="1"/>
    </xf>
    <xf numFmtId="176" fontId="0" fillId="64" borderId="73" xfId="0" applyNumberFormat="1" applyFill="1" applyBorder="1"/>
    <xf numFmtId="176" fontId="0" fillId="64" borderId="73" xfId="0" applyNumberFormat="1" applyFill="1" applyBorder="1" applyAlignment="1">
      <alignment horizontal="center"/>
    </xf>
    <xf numFmtId="176" fontId="0" fillId="0" borderId="73" xfId="0" applyNumberFormat="1" applyBorder="1"/>
    <xf numFmtId="0" fontId="8" fillId="0" borderId="92" xfId="0" applyFont="1" applyBorder="1" applyAlignment="1">
      <alignment horizontal="left"/>
    </xf>
    <xf numFmtId="166" fontId="0" fillId="0" borderId="73" xfId="0" applyNumberFormat="1" applyBorder="1"/>
    <xf numFmtId="0" fontId="1" fillId="75" borderId="73" xfId="0" applyFont="1" applyFill="1" applyBorder="1" applyAlignment="1">
      <alignment horizontal="left"/>
    </xf>
    <xf numFmtId="176" fontId="0" fillId="65" borderId="73" xfId="0" applyNumberFormat="1" applyFill="1" applyBorder="1"/>
    <xf numFmtId="176" fontId="34" fillId="0" borderId="73" xfId="0" applyNumberFormat="1" applyFont="1" applyBorder="1"/>
    <xf numFmtId="0" fontId="0" fillId="0" borderId="73" xfId="0" applyBorder="1" applyAlignment="1">
      <alignment horizontal="right"/>
    </xf>
    <xf numFmtId="0" fontId="34" fillId="0" borderId="92" xfId="0" applyFont="1" applyBorder="1"/>
    <xf numFmtId="0" fontId="34" fillId="0" borderId="89" xfId="0" applyFont="1" applyBorder="1" applyAlignment="1">
      <alignment horizontal="right"/>
    </xf>
    <xf numFmtId="176" fontId="0" fillId="0" borderId="90" xfId="0" applyNumberFormat="1" applyBorder="1"/>
    <xf numFmtId="165" fontId="34" fillId="0" borderId="91" xfId="2" applyNumberFormat="1" applyFont="1" applyBorder="1"/>
    <xf numFmtId="0" fontId="0" fillId="0" borderId="91" xfId="0" applyBorder="1"/>
    <xf numFmtId="0" fontId="34" fillId="0" borderId="90" xfId="0" applyFont="1" applyBorder="1" applyAlignment="1">
      <alignment horizontal="right"/>
    </xf>
    <xf numFmtId="0" fontId="7" fillId="0" borderId="73" xfId="0" applyFont="1" applyBorder="1" applyAlignment="1">
      <alignment wrapText="1"/>
    </xf>
    <xf numFmtId="0" fontId="7" fillId="0" borderId="73" xfId="0" applyFont="1" applyBorder="1" applyAlignment="1">
      <alignment horizontal="center" wrapText="1"/>
    </xf>
    <xf numFmtId="14" fontId="7" fillId="0" borderId="73" xfId="0" applyNumberFormat="1" applyFont="1" applyBorder="1" applyAlignment="1">
      <alignment wrapText="1"/>
    </xf>
    <xf numFmtId="14" fontId="0" fillId="0" borderId="73" xfId="0" applyNumberFormat="1" applyBorder="1" applyAlignment="1">
      <alignment horizontal="left"/>
    </xf>
    <xf numFmtId="0" fontId="30" fillId="0" borderId="73" xfId="0" applyFont="1" applyBorder="1"/>
    <xf numFmtId="166" fontId="30" fillId="0" borderId="73" xfId="0" applyNumberFormat="1" applyFont="1" applyBorder="1"/>
    <xf numFmtId="0" fontId="30" fillId="0" borderId="0" xfId="0" applyFont="1"/>
    <xf numFmtId="0" fontId="1" fillId="76" borderId="73" xfId="0" applyFont="1" applyFill="1" applyBorder="1" applyAlignment="1">
      <alignment horizontal="center"/>
    </xf>
    <xf numFmtId="166" fontId="0" fillId="0" borderId="73" xfId="1" applyNumberFormat="1" applyFont="1" applyBorder="1" applyAlignment="1">
      <alignment horizontal="center"/>
    </xf>
    <xf numFmtId="166" fontId="0" fillId="0" borderId="73" xfId="1" applyNumberFormat="1" applyFont="1" applyBorder="1"/>
    <xf numFmtId="0" fontId="1" fillId="59" borderId="73" xfId="0" applyFont="1" applyFill="1" applyBorder="1" applyAlignment="1">
      <alignment horizontal="center" wrapText="1"/>
    </xf>
    <xf numFmtId="1" fontId="1" fillId="59" borderId="73" xfId="0" applyNumberFormat="1" applyFont="1" applyFill="1" applyBorder="1" applyAlignment="1">
      <alignment horizontal="center" wrapText="1"/>
    </xf>
    <xf numFmtId="0" fontId="49" fillId="61" borderId="73" xfId="0" applyFont="1" applyFill="1" applyBorder="1" applyAlignment="1">
      <alignment horizontal="left"/>
    </xf>
    <xf numFmtId="176" fontId="36" fillId="61" borderId="73" xfId="0" applyNumberFormat="1" applyFont="1" applyFill="1" applyBorder="1" applyAlignment="1">
      <alignment horizontal="center"/>
    </xf>
    <xf numFmtId="176" fontId="49" fillId="61" borderId="73" xfId="0" applyNumberFormat="1" applyFont="1" applyFill="1" applyBorder="1"/>
    <xf numFmtId="0" fontId="49" fillId="60" borderId="73" xfId="0" applyFont="1" applyFill="1" applyBorder="1" applyAlignment="1">
      <alignment horizontal="left"/>
    </xf>
    <xf numFmtId="176" fontId="36" fillId="60" borderId="73" xfId="0" applyNumberFormat="1" applyFont="1" applyFill="1" applyBorder="1" applyAlignment="1">
      <alignment horizontal="center"/>
    </xf>
    <xf numFmtId="176" fontId="49" fillId="60" borderId="73" xfId="0" applyNumberFormat="1" applyFont="1" applyFill="1" applyBorder="1"/>
    <xf numFmtId="176" fontId="8" fillId="70" borderId="73" xfId="0" applyNumberFormat="1" applyFont="1" applyFill="1" applyBorder="1" applyAlignment="1">
      <alignment horizontal="center"/>
    </xf>
    <xf numFmtId="0" fontId="50" fillId="70" borderId="73" xfId="0" applyFont="1" applyFill="1" applyBorder="1" applyAlignment="1">
      <alignment horizontal="left"/>
    </xf>
    <xf numFmtId="0" fontId="50" fillId="70" borderId="73" xfId="0" applyFont="1" applyFill="1" applyBorder="1" applyAlignment="1">
      <alignment horizontal="left" wrapText="1"/>
    </xf>
    <xf numFmtId="176" fontId="37" fillId="70" borderId="73" xfId="0" applyNumberFormat="1" applyFont="1" applyFill="1" applyBorder="1" applyAlignment="1">
      <alignment horizontal="center"/>
    </xf>
    <xf numFmtId="176" fontId="50" fillId="64" borderId="73" xfId="0" applyNumberFormat="1" applyFont="1" applyFill="1" applyBorder="1"/>
    <xf numFmtId="0" fontId="1" fillId="75" borderId="73" xfId="0" applyFont="1" applyFill="1" applyBorder="1" applyAlignment="1">
      <alignment horizontal="left" wrapText="1"/>
    </xf>
    <xf numFmtId="176" fontId="8" fillId="75" borderId="73" xfId="0" applyNumberFormat="1" applyFont="1" applyFill="1" applyBorder="1" applyAlignment="1">
      <alignment horizontal="center"/>
    </xf>
    <xf numFmtId="0" fontId="27" fillId="75" borderId="73" xfId="0" applyFont="1" applyFill="1" applyBorder="1" applyAlignment="1">
      <alignment horizontal="left" wrapText="1"/>
    </xf>
    <xf numFmtId="0" fontId="27" fillId="75" borderId="73" xfId="0" applyFont="1" applyFill="1" applyBorder="1" applyAlignment="1">
      <alignment horizontal="left"/>
    </xf>
    <xf numFmtId="176" fontId="9" fillId="75" borderId="73" xfId="0" applyNumberFormat="1" applyFont="1" applyFill="1" applyBorder="1" applyAlignment="1">
      <alignment horizontal="center"/>
    </xf>
    <xf numFmtId="176" fontId="27" fillId="65" borderId="73" xfId="0" applyNumberFormat="1" applyFont="1" applyFill="1" applyBorder="1"/>
    <xf numFmtId="172" fontId="53" fillId="21" borderId="24" xfId="3" applyNumberFormat="1" applyFont="1" applyFill="1" applyBorder="1" applyAlignment="1">
      <alignment horizontal="right" vertical="center"/>
    </xf>
    <xf numFmtId="172" fontId="53" fillId="21" borderId="76" xfId="3" applyNumberFormat="1" applyFont="1" applyFill="1" applyBorder="1" applyAlignment="1">
      <alignment horizontal="right" vertical="center"/>
    </xf>
    <xf numFmtId="172" fontId="54" fillId="21" borderId="24" xfId="3" applyNumberFormat="1" applyFont="1" applyFill="1" applyBorder="1" applyAlignment="1">
      <alignment horizontal="right" vertical="center"/>
    </xf>
    <xf numFmtId="172" fontId="54" fillId="21" borderId="76" xfId="3" applyNumberFormat="1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0" fontId="0" fillId="0" borderId="73" xfId="0" applyFill="1" applyBorder="1"/>
    <xf numFmtId="3" fontId="0" fillId="0" borderId="0" xfId="0" applyNumberFormat="1"/>
    <xf numFmtId="0" fontId="0" fillId="0" borderId="0" xfId="0" applyFill="1" applyBorder="1"/>
    <xf numFmtId="0" fontId="0" fillId="0" borderId="0" xfId="0" applyBorder="1"/>
    <xf numFmtId="171" fontId="14" fillId="77" borderId="0" xfId="0" applyNumberFormat="1" applyFont="1" applyFill="1" applyAlignment="1">
      <alignment horizontal="center"/>
    </xf>
    <xf numFmtId="0" fontId="55" fillId="78" borderId="73" xfId="4" applyFont="1" applyFill="1" applyBorder="1"/>
    <xf numFmtId="0" fontId="55" fillId="78" borderId="73" xfId="4" applyFont="1" applyFill="1" applyBorder="1" applyAlignment="1">
      <alignment horizontal="center"/>
    </xf>
    <xf numFmtId="0" fontId="32" fillId="78" borderId="73" xfId="4" applyFont="1" applyFill="1" applyBorder="1" applyAlignment="1">
      <alignment horizontal="center"/>
    </xf>
    <xf numFmtId="0" fontId="32" fillId="78" borderId="73" xfId="4" applyFont="1" applyFill="1" applyBorder="1"/>
    <xf numFmtId="0" fontId="56" fillId="78" borderId="73" xfId="4" applyFont="1" applyFill="1" applyBorder="1" applyAlignment="1">
      <alignment horizontal="left"/>
    </xf>
    <xf numFmtId="0" fontId="56" fillId="78" borderId="73" xfId="4" applyFont="1" applyFill="1" applyBorder="1" applyAlignment="1">
      <alignment horizontal="center"/>
    </xf>
    <xf numFmtId="0" fontId="33" fillId="78" borderId="73" xfId="4" applyFont="1" applyFill="1" applyBorder="1" applyAlignment="1">
      <alignment horizontal="center"/>
    </xf>
    <xf numFmtId="0" fontId="57" fillId="71" borderId="73" xfId="4" applyFont="1" applyFill="1" applyBorder="1" applyAlignment="1">
      <alignment horizontal="left"/>
    </xf>
    <xf numFmtId="0" fontId="56" fillId="79" borderId="73" xfId="4" applyFont="1" applyFill="1" applyBorder="1" applyAlignment="1">
      <alignment horizontal="center"/>
    </xf>
    <xf numFmtId="0" fontId="33" fillId="78" borderId="73" xfId="4" applyFont="1" applyFill="1" applyBorder="1" applyAlignment="1">
      <alignment horizontal="left"/>
    </xf>
    <xf numFmtId="0" fontId="31" fillId="51" borderId="73" xfId="4" applyFont="1" applyFill="1" applyBorder="1" applyAlignment="1">
      <alignment horizontal="right"/>
    </xf>
    <xf numFmtId="0" fontId="58" fillId="0" borderId="0" xfId="4" applyFont="1"/>
    <xf numFmtId="1" fontId="58" fillId="0" borderId="0" xfId="4" applyNumberFormat="1" applyFont="1" applyAlignment="1">
      <alignment horizontal="right"/>
    </xf>
    <xf numFmtId="0" fontId="59" fillId="0" borderId="0" xfId="4" applyFont="1" applyAlignment="1">
      <alignment horizontal="center"/>
    </xf>
    <xf numFmtId="1" fontId="60" fillId="0" borderId="0" xfId="4" applyNumberFormat="1" applyFont="1" applyAlignment="1">
      <alignment horizontal="right"/>
    </xf>
    <xf numFmtId="14" fontId="58" fillId="0" borderId="0" xfId="4" applyNumberFormat="1" applyFont="1" applyAlignment="1">
      <alignment horizontal="center"/>
    </xf>
    <xf numFmtId="49" fontId="61" fillId="0" borderId="0" xfId="4" applyNumberFormat="1" applyFont="1" applyAlignment="1">
      <alignment horizontal="center"/>
    </xf>
    <xf numFmtId="0" fontId="58" fillId="0" borderId="0" xfId="4" applyFont="1" applyAlignment="1">
      <alignment horizontal="center"/>
    </xf>
    <xf numFmtId="2" fontId="62" fillId="0" borderId="0" xfId="4" applyNumberFormat="1" applyFont="1"/>
    <xf numFmtId="2" fontId="62" fillId="0" borderId="73" xfId="4" applyNumberFormat="1" applyFont="1" applyBorder="1" applyAlignment="1">
      <alignment horizontal="right"/>
    </xf>
    <xf numFmtId="2" fontId="62" fillId="0" borderId="73" xfId="4" applyNumberFormat="1" applyFont="1" applyBorder="1" applyAlignment="1">
      <alignment horizontal="center"/>
    </xf>
    <xf numFmtId="1" fontId="58" fillId="0" borderId="0" xfId="4" applyNumberFormat="1" applyFont="1" applyAlignment="1">
      <alignment horizontal="center"/>
    </xf>
    <xf numFmtId="0" fontId="31" fillId="65" borderId="73" xfId="4" applyFont="1" applyFill="1" applyBorder="1" applyAlignment="1">
      <alignment horizontal="center"/>
    </xf>
    <xf numFmtId="0" fontId="55" fillId="42" borderId="73" xfId="4" applyFont="1" applyFill="1" applyBorder="1"/>
    <xf numFmtId="0" fontId="55" fillId="42" borderId="73" xfId="4" applyFont="1" applyFill="1" applyBorder="1" applyAlignment="1">
      <alignment horizontal="center"/>
    </xf>
    <xf numFmtId="0" fontId="32" fillId="42" borderId="73" xfId="4" applyFont="1" applyFill="1" applyBorder="1" applyAlignment="1">
      <alignment horizontal="center"/>
    </xf>
    <xf numFmtId="0" fontId="32" fillId="42" borderId="73" xfId="4" applyFont="1" applyFill="1" applyBorder="1"/>
    <xf numFmtId="0" fontId="56" fillId="42" borderId="73" xfId="4" applyFont="1" applyFill="1" applyBorder="1"/>
    <xf numFmtId="0" fontId="56" fillId="42" borderId="73" xfId="4" applyFont="1" applyFill="1" applyBorder="1" applyAlignment="1">
      <alignment horizontal="center"/>
    </xf>
    <xf numFmtId="0" fontId="33" fillId="42" borderId="73" xfId="4" applyFont="1" applyFill="1" applyBorder="1" applyAlignment="1">
      <alignment horizontal="center"/>
    </xf>
    <xf numFmtId="0" fontId="33" fillId="42" borderId="73" xfId="4" applyFont="1" applyFill="1" applyBorder="1"/>
    <xf numFmtId="0" fontId="56" fillId="42" borderId="73" xfId="4" applyFont="1" applyFill="1" applyBorder="1" applyAlignment="1">
      <alignment horizontal="left"/>
    </xf>
    <xf numFmtId="0" fontId="56" fillId="31" borderId="73" xfId="4" applyFont="1" applyFill="1" applyBorder="1" applyAlignment="1">
      <alignment horizontal="center"/>
    </xf>
    <xf numFmtId="0" fontId="33" fillId="42" borderId="73" xfId="4" applyFont="1" applyFill="1" applyBorder="1" applyAlignment="1">
      <alignment horizontal="left"/>
    </xf>
    <xf numFmtId="2" fontId="62" fillId="0" borderId="0" xfId="4" applyNumberFormat="1" applyFont="1" applyAlignment="1">
      <alignment horizontal="center"/>
    </xf>
    <xf numFmtId="49" fontId="59" fillId="0" borderId="0" xfId="4" applyNumberFormat="1" applyFont="1" applyAlignment="1">
      <alignment horizontal="center"/>
    </xf>
    <xf numFmtId="0" fontId="55" fillId="80" borderId="73" xfId="4" applyFont="1" applyFill="1" applyBorder="1"/>
    <xf numFmtId="0" fontId="55" fillId="80" borderId="73" xfId="4" applyFont="1" applyFill="1" applyBorder="1" applyAlignment="1">
      <alignment horizontal="center"/>
    </xf>
    <xf numFmtId="0" fontId="32" fillId="80" borderId="73" xfId="4" applyFont="1" applyFill="1" applyBorder="1" applyAlignment="1">
      <alignment horizontal="center"/>
    </xf>
    <xf numFmtId="0" fontId="63" fillId="80" borderId="73" xfId="4" applyFont="1" applyFill="1" applyBorder="1"/>
    <xf numFmtId="0" fontId="32" fillId="80" borderId="73" xfId="4" applyFont="1" applyFill="1" applyBorder="1"/>
    <xf numFmtId="0" fontId="56" fillId="80" borderId="73" xfId="4" applyFont="1" applyFill="1" applyBorder="1"/>
    <xf numFmtId="0" fontId="56" fillId="80" borderId="73" xfId="4" applyFont="1" applyFill="1" applyBorder="1" applyAlignment="1">
      <alignment horizontal="center"/>
    </xf>
    <xf numFmtId="0" fontId="33" fillId="80" borderId="73" xfId="4" applyFont="1" applyFill="1" applyBorder="1" applyAlignment="1">
      <alignment horizontal="center"/>
    </xf>
    <xf numFmtId="0" fontId="33" fillId="80" borderId="73" xfId="4" applyFont="1" applyFill="1" applyBorder="1"/>
    <xf numFmtId="0" fontId="56" fillId="80" borderId="73" xfId="4" applyFont="1" applyFill="1" applyBorder="1" applyAlignment="1">
      <alignment horizontal="left"/>
    </xf>
    <xf numFmtId="0" fontId="56" fillId="81" borderId="73" xfId="4" applyFont="1" applyFill="1" applyBorder="1" applyAlignment="1">
      <alignment horizontal="center"/>
    </xf>
    <xf numFmtId="0" fontId="33" fillId="80" borderId="73" xfId="4" applyFont="1" applyFill="1" applyBorder="1" applyAlignment="1">
      <alignment horizontal="left"/>
    </xf>
    <xf numFmtId="49" fontId="61" fillId="82" borderId="0" xfId="4" applyNumberFormat="1" applyFont="1" applyFill="1" applyAlignment="1">
      <alignment horizontal="center"/>
    </xf>
    <xf numFmtId="0" fontId="56" fillId="60" borderId="73" xfId="4" applyFont="1" applyFill="1" applyBorder="1"/>
    <xf numFmtId="0" fontId="56" fillId="60" borderId="73" xfId="4" applyFont="1" applyFill="1" applyBorder="1" applyAlignment="1">
      <alignment horizontal="center"/>
    </xf>
    <xf numFmtId="0" fontId="33" fillId="60" borderId="73" xfId="4" applyFont="1" applyFill="1" applyBorder="1" applyAlignment="1">
      <alignment horizontal="center"/>
    </xf>
    <xf numFmtId="0" fontId="33" fillId="60" borderId="73" xfId="4" applyFont="1" applyFill="1" applyBorder="1"/>
    <xf numFmtId="0" fontId="56" fillId="60" borderId="73" xfId="4" applyFont="1" applyFill="1" applyBorder="1" applyAlignment="1">
      <alignment horizontal="left"/>
    </xf>
    <xf numFmtId="0" fontId="56" fillId="83" borderId="73" xfId="4" applyFont="1" applyFill="1" applyBorder="1" applyAlignment="1">
      <alignment horizontal="center"/>
    </xf>
    <xf numFmtId="0" fontId="33" fillId="60" borderId="73" xfId="4" applyFont="1" applyFill="1" applyBorder="1" applyAlignment="1">
      <alignment horizontal="left"/>
    </xf>
    <xf numFmtId="49" fontId="1" fillId="0" borderId="0" xfId="4" applyNumberFormat="1" applyFont="1" applyAlignment="1">
      <alignment horizontal="center"/>
    </xf>
    <xf numFmtId="1" fontId="58" fillId="0" borderId="0" xfId="4" applyNumberFormat="1" applyFont="1"/>
    <xf numFmtId="0" fontId="31" fillId="0" borderId="0" xfId="4" applyFont="1"/>
    <xf numFmtId="0" fontId="12" fillId="0" borderId="0" xfId="4" applyFont="1"/>
    <xf numFmtId="0" fontId="59" fillId="0" borderId="76" xfId="4" applyFont="1" applyBorder="1"/>
    <xf numFmtId="177" fontId="59" fillId="0" borderId="76" xfId="4" applyNumberFormat="1" applyFont="1" applyBorder="1"/>
    <xf numFmtId="0" fontId="64" fillId="0" borderId="0" xfId="4" applyFont="1" applyAlignment="1">
      <alignment horizontal="center" wrapText="1"/>
    </xf>
    <xf numFmtId="0" fontId="31" fillId="0" borderId="0" xfId="4" applyFont="1" applyAlignment="1">
      <alignment horizontal="center" wrapText="1"/>
    </xf>
    <xf numFmtId="179" fontId="31" fillId="0" borderId="0" xfId="4" applyNumberFormat="1" applyFont="1"/>
    <xf numFmtId="0" fontId="65" fillId="0" borderId="0" xfId="4" applyFont="1"/>
    <xf numFmtId="177" fontId="58" fillId="0" borderId="0" xfId="4" applyNumberFormat="1" applyFont="1" applyAlignment="1">
      <alignment horizontal="center"/>
    </xf>
    <xf numFmtId="49" fontId="61" fillId="84" borderId="0" xfId="4" applyNumberFormat="1" applyFont="1" applyFill="1" applyAlignment="1">
      <alignment horizontal="center"/>
    </xf>
    <xf numFmtId="49" fontId="61" fillId="0" borderId="0" xfId="4" applyNumberFormat="1" applyFont="1" applyFill="1" applyAlignment="1">
      <alignment horizontal="center"/>
    </xf>
    <xf numFmtId="166" fontId="34" fillId="0" borderId="0" xfId="0" applyNumberFormat="1" applyFont="1"/>
    <xf numFmtId="0" fontId="8" fillId="0" borderId="73" xfId="0" applyFont="1" applyBorder="1" applyAlignment="1">
      <alignment horizontal="left"/>
    </xf>
    <xf numFmtId="176" fontId="66" fillId="64" borderId="73" xfId="0" applyNumberFormat="1" applyFont="1" applyFill="1" applyBorder="1"/>
    <xf numFmtId="176" fontId="66" fillId="64" borderId="73" xfId="0" applyNumberFormat="1" applyFont="1" applyFill="1" applyBorder="1" applyAlignment="1">
      <alignment horizontal="center"/>
    </xf>
    <xf numFmtId="176" fontId="67" fillId="64" borderId="73" xfId="0" applyNumberFormat="1" applyFont="1" applyFill="1" applyBorder="1"/>
    <xf numFmtId="176" fontId="66" fillId="65" borderId="73" xfId="0" applyNumberFormat="1" applyFont="1" applyFill="1" applyBorder="1"/>
    <xf numFmtId="169" fontId="68" fillId="21" borderId="24" xfId="3" applyNumberFormat="1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176" fontId="0" fillId="64" borderId="73" xfId="0" applyNumberFormat="1" applyFont="1" applyFill="1" applyBorder="1"/>
    <xf numFmtId="176" fontId="0" fillId="64" borderId="73" xfId="0" applyNumberFormat="1" applyFont="1" applyFill="1" applyBorder="1" applyAlignment="1">
      <alignment horizontal="center"/>
    </xf>
    <xf numFmtId="176" fontId="0" fillId="65" borderId="73" xfId="0" applyNumberFormat="1" applyFont="1" applyFill="1" applyBorder="1"/>
    <xf numFmtId="166" fontId="30" fillId="0" borderId="0" xfId="0" applyNumberFormat="1" applyFont="1"/>
    <xf numFmtId="166" fontId="1" fillId="0" borderId="73" xfId="0" applyNumberFormat="1" applyFont="1" applyBorder="1" applyAlignment="1">
      <alignment horizontal="center"/>
    </xf>
    <xf numFmtId="172" fontId="23" fillId="21" borderId="73" xfId="3" applyNumberFormat="1" applyFont="1" applyFill="1" applyBorder="1" applyAlignment="1">
      <alignment horizontal="center" vertical="center"/>
    </xf>
    <xf numFmtId="0" fontId="0" fillId="73" borderId="73" xfId="0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left"/>
    </xf>
    <xf numFmtId="0" fontId="69" fillId="0" borderId="0" xfId="0" quotePrefix="1" applyFont="1" applyAlignment="1">
      <alignment horizontal="center"/>
    </xf>
    <xf numFmtId="0" fontId="8" fillId="0" borderId="73" xfId="0" applyFont="1" applyBorder="1" applyAlignment="1">
      <alignment horizontal="left"/>
    </xf>
    <xf numFmtId="0" fontId="1" fillId="62" borderId="73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177" fontId="0" fillId="62" borderId="73" xfId="0" applyNumberFormat="1" applyFill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0" fontId="31" fillId="0" borderId="0" xfId="4" applyFont="1" applyAlignment="1">
      <alignment horizontal="left"/>
    </xf>
    <xf numFmtId="0" fontId="1" fillId="70" borderId="73" xfId="0" applyFont="1" applyFill="1" applyBorder="1" applyAlignment="1">
      <alignment horizontal="left" vertical="top" wrapText="1"/>
    </xf>
    <xf numFmtId="0" fontId="1" fillId="75" borderId="73" xfId="0" applyFont="1" applyFill="1" applyBorder="1" applyAlignment="1">
      <alignment horizontal="left" vertical="top" wrapText="1"/>
    </xf>
    <xf numFmtId="177" fontId="30" fillId="58" borderId="71" xfId="0" applyNumberFormat="1" applyFont="1" applyFill="1" applyBorder="1" applyAlignment="1">
      <alignment horizontal="center"/>
    </xf>
    <xf numFmtId="0" fontId="30" fillId="58" borderId="71" xfId="0" applyFont="1" applyFill="1" applyBorder="1" applyAlignment="1">
      <alignment horizontal="center"/>
    </xf>
    <xf numFmtId="0" fontId="8" fillId="58" borderId="71" xfId="0" applyFont="1" applyFill="1" applyBorder="1" applyAlignment="1">
      <alignment horizontal="center"/>
    </xf>
    <xf numFmtId="0" fontId="19" fillId="22" borderId="25" xfId="0" applyFont="1" applyFill="1" applyBorder="1" applyAlignment="1">
      <alignment horizontal="center" vertical="top" wrapText="1"/>
    </xf>
    <xf numFmtId="0" fontId="20" fillId="23" borderId="26" xfId="0" applyFont="1" applyFill="1" applyBorder="1" applyAlignment="1">
      <alignment horizontal="center" vertical="top" wrapText="1"/>
    </xf>
    <xf numFmtId="0" fontId="21" fillId="23" borderId="26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1" fillId="49" borderId="59" xfId="0" applyFont="1" applyFill="1" applyBorder="1" applyAlignment="1">
      <alignment horizontal="center"/>
    </xf>
    <xf numFmtId="0" fontId="1" fillId="66" borderId="74" xfId="0" applyFont="1" applyFill="1" applyBorder="1" applyAlignment="1">
      <alignment horizontal="center"/>
    </xf>
    <xf numFmtId="0" fontId="0" fillId="0" borderId="5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1" borderId="14" xfId="0" applyFill="1" applyBorder="1" applyAlignment="1">
      <alignment horizontal="center"/>
    </xf>
    <xf numFmtId="0" fontId="0" fillId="67" borderId="75" xfId="0" applyFill="1" applyBorder="1" applyAlignment="1">
      <alignment horizontal="center"/>
    </xf>
    <xf numFmtId="0" fontId="0" fillId="68" borderId="76" xfId="0" applyFill="1" applyBorder="1" applyAlignment="1">
      <alignment horizontal="center"/>
    </xf>
    <xf numFmtId="169" fontId="68" fillId="21" borderId="76" xfId="3" applyNumberFormat="1" applyFont="1" applyFill="1" applyBorder="1" applyAlignment="1">
      <alignment horizontal="right" vertical="center"/>
    </xf>
  </cellXfs>
  <cellStyles count="7">
    <cellStyle name="Excel Built-in Normal" xfId="4" xr:uid="{00000000-0005-0000-0000-000004000000}"/>
    <cellStyle name="Millares" xfId="3" builtinId="3" customBuiltin="1"/>
    <cellStyle name="Moneda" xfId="1" builtinId="4" customBuiltin="1"/>
    <cellStyle name="Normal" xfId="0" builtinId="0" customBuiltin="1"/>
    <cellStyle name="Normal 2" xfId="5" xr:uid="{00000000-0005-0000-0000-000005000000}"/>
    <cellStyle name="Porcentaje" xfId="2" builtinId="5" customBuiltin="1"/>
    <cellStyle name="Porcentaje 2" xfId="6" xr:uid="{00000000-0005-0000-0000-000006000000}"/>
  </cellStyles>
  <dxfs count="112"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</font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numFmt numFmtId="13" formatCode="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font>
        <b/>
      </font>
    </dxf>
    <dxf>
      <numFmt numFmtId="13" formatCode="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3" formatCode="0%"/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95601780" count="1">
        <pm:charStyle name="Normal" fontId="0" Id="1"/>
      </pm:charStyles>
      <pm:colors xmlns:pm="smNativeData" id="1595601780" count="57">
        <pm:color name="Color 24" rgb="974706"/>
        <pm:color name="Color 25" rgb="00B050"/>
        <pm:color name="Color 26" rgb="385724"/>
        <pm:color name="Color 27" rgb="535353"/>
        <pm:color name="Color 28" rgb="548235"/>
        <pm:color name="Color 29" rgb="FFFFCC"/>
        <pm:color name="Color 30" rgb="E26B0A"/>
        <pm:color name="Color 31" rgb="92D050"/>
        <pm:color name="Color 32" rgb="D8D8D8"/>
        <pm:color name="Color 33" rgb="FFC000"/>
        <pm:color name="Color 34" rgb="8DB4E2"/>
        <pm:color name="Color 35" rgb="C2D69A"/>
        <pm:color name="Color 36" rgb="E6B8B7"/>
        <pm:color name="Color 37" rgb="D7E3BB"/>
        <pm:color name="Color 38" rgb="EEEEEE"/>
        <pm:color name="Color 39" rgb="F2F2F2"/>
        <pm:color name="Color 40" rgb="FFFFDD"/>
        <pm:color name="Color 41" rgb="DDD9C4"/>
        <pm:color name="Color 42" rgb="366092"/>
        <pm:color name="Color 43" rgb="B7DEE8"/>
        <pm:color name="Color 44" rgb="DAEEF3"/>
        <pm:color name="Color 45" rgb="FABF8F"/>
        <pm:color name="Color 46" rgb="B8CCE4"/>
        <pm:color name="Color 47" rgb="0070C0"/>
        <pm:color name="Color 48" rgb="76933C"/>
        <pm:color name="Color 49" rgb="002060"/>
        <pm:color name="Color 50" rgb="7030A0"/>
        <pm:color name="Color 51" rgb="92CDDC"/>
        <pm:color name="Color 52" rgb="EBF1DC"/>
        <pm:color name="Color 53" rgb="F2DCDB"/>
        <pm:color name="Color 54" rgb="666699"/>
        <pm:color name="Color 55" rgb="008080"/>
        <pm:color name="Color 56" rgb="CCFFFF"/>
        <pm:color name="Color 57" rgb="99CC00"/>
        <pm:color name="Color 58" rgb="99CCFF"/>
        <pm:color name="Color 59" rgb="FFCC00"/>
        <pm:color name="Color 60" rgb="FDE9D9"/>
        <pm:color name="Color 61" rgb="FFE699"/>
        <pm:color name="Color 62" rgb="DAE3F3"/>
        <pm:color name="Color 63" rgb="DBDBDB"/>
        <pm:color name="Color 64" rgb="F8CBAD"/>
        <pm:color name="Color 65" rgb="E4DFEC"/>
        <pm:color name="Color 66" rgb="BDD7EE"/>
        <pm:color name="Color 67" rgb="D0CECE"/>
        <pm:color name="Color 68" rgb="215967"/>
        <pm:color name="Color 69" rgb="C4BD97"/>
        <pm:color name="Color 70" rgb="E0FFFF"/>
        <pm:color name="Color 71" rgb="006100"/>
        <pm:color name="Color 72" rgb="C6EFCE"/>
        <pm:color name="Color 73" rgb="9C0006"/>
        <pm:color name="Color 74" rgb="FFC7CE"/>
        <pm:color name="Color 75" rgb="9C6500"/>
        <pm:color name="Color 76" rgb="FFEB9C"/>
        <pm:color name="Color 77" rgb="9C5700"/>
        <pm:color name="Color 78" rgb="DA9694"/>
        <pm:color name="Color 79" rgb="FCD5B4"/>
        <pm:color name="Color 80" rgb="60497A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[1-ObiW@n.xlsx]Estudio_Conversion_TL!TablaDinámica1</c:name>
    <c:fmtId val="4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1"/>
          <c:order val="1"/>
          <c:tx>
            <c:strRef>
              <c:f>Estudio_Conversion_TL!$S$1</c:f>
              <c:strCache>
                <c:ptCount val="1"/>
                <c:pt idx="0">
                  <c:v>%_Conv_TL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Estudio_Conversion_TL!$Q$2:$Q$9</c:f>
              <c:strCache>
                <c:ptCount val="7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19</c:v>
                </c:pt>
              </c:strCache>
            </c:strRef>
          </c:cat>
          <c:val>
            <c:numRef>
              <c:f>Estudio_Conversion_TL!$S$2:$S$9</c:f>
              <c:numCache>
                <c:formatCode>0%</c:formatCode>
                <c:ptCount val="7"/>
                <c:pt idx="0">
                  <c:v>0.3</c:v>
                </c:pt>
                <c:pt idx="1">
                  <c:v>0.2413793103448276</c:v>
                </c:pt>
                <c:pt idx="2">
                  <c:v>0.29090909090909089</c:v>
                </c:pt>
                <c:pt idx="3">
                  <c:v>0.29007633587786258</c:v>
                </c:pt>
                <c:pt idx="4">
                  <c:v>0.29545454545454547</c:v>
                </c:pt>
                <c:pt idx="5">
                  <c:v>0.14285714285714285</c:v>
                </c:pt>
                <c:pt idx="6">
                  <c:v>0.26190476190476192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E9-41D3-9BE5-7856E534D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1273584"/>
        <c:axId val="996629168"/>
      </c:lineChart>
      <c:lineChart>
        <c:grouping val="standard"/>
        <c:varyColors val="0"/>
        <c:ser>
          <c:idx val="0"/>
          <c:order val="0"/>
          <c:tx>
            <c:strRef>
              <c:f>Estudio_Conversion_TL!$R$1</c:f>
              <c:strCache>
                <c:ptCount val="1"/>
                <c:pt idx="0">
                  <c:v>Suma de Ocasiones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Estudio_Conversion_TL!$Q$2:$Q$9</c:f>
              <c:strCache>
                <c:ptCount val="7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19</c:v>
                </c:pt>
              </c:strCache>
            </c:strRef>
          </c:cat>
          <c:val>
            <c:numRef>
              <c:f>Estudio_Conversion_TL!$R$2:$R$9</c:f>
              <c:numCache>
                <c:formatCode>General</c:formatCode>
                <c:ptCount val="7"/>
                <c:pt idx="0">
                  <c:v>10</c:v>
                </c:pt>
                <c:pt idx="1">
                  <c:v>87</c:v>
                </c:pt>
                <c:pt idx="2">
                  <c:v>55</c:v>
                </c:pt>
                <c:pt idx="3">
                  <c:v>131</c:v>
                </c:pt>
                <c:pt idx="4">
                  <c:v>88</c:v>
                </c:pt>
                <c:pt idx="5">
                  <c:v>14</c:v>
                </c:pt>
                <c:pt idx="6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E9-41D3-9BE5-7856E534D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0720912"/>
        <c:axId val="993415696"/>
      </c:lineChart>
      <c:catAx>
        <c:axId val="99127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6629168"/>
        <c:crosses val="autoZero"/>
        <c:auto val="1"/>
        <c:lblAlgn val="ctr"/>
        <c:lblOffset val="100"/>
        <c:noMultiLvlLbl val="0"/>
      </c:catAx>
      <c:valAx>
        <c:axId val="99662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1273584"/>
        <c:crosses val="autoZero"/>
        <c:crossBetween val="between"/>
      </c:valAx>
      <c:valAx>
        <c:axId val="993415696"/>
        <c:scaling>
          <c:orientation val="minMax"/>
          <c:max val="16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0720912"/>
        <c:crosses val="max"/>
        <c:crossBetween val="between"/>
      </c:valAx>
      <c:catAx>
        <c:axId val="810720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3415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6" Type="http://schemas.openxmlformats.org/officeDocument/2006/relationships/hyperlink" Target="http://www83.hattrick.org/World/Leagues/League.aspx?LeagueID=24" TargetMode="External"/><Relationship Id="rId21" Type="http://schemas.openxmlformats.org/officeDocument/2006/relationships/hyperlink" Target="http://www83.hattrick.org/World/Leagues/League.aspx?LeagueID=19" TargetMode="External"/><Relationship Id="rId42" Type="http://schemas.openxmlformats.org/officeDocument/2006/relationships/hyperlink" Target="http://www93.hattrick.org/World/Leagues/League.aspx?LeagueID=70" TargetMode="External"/><Relationship Id="rId47" Type="http://schemas.openxmlformats.org/officeDocument/2006/relationships/hyperlink" Target="http://www94.hattrick.org/World/Leagues/League.aspx?LeagueID=12" TargetMode="External"/><Relationship Id="rId63" Type="http://schemas.openxmlformats.org/officeDocument/2006/relationships/hyperlink" Target="http://www78.hattrick.org/World/Leagues/League.aspx?LeagueID=36" TargetMode="External"/><Relationship Id="rId68" Type="http://schemas.openxmlformats.org/officeDocument/2006/relationships/hyperlink" Target="http://www78.hattrick.org/World/Leagues/League.aspx?LeagueID=25" TargetMode="External"/><Relationship Id="rId84" Type="http://schemas.openxmlformats.org/officeDocument/2006/relationships/hyperlink" Target="http://www92.hattrick.org/World/Leagues/League.aspx?LeagueID=34" TargetMode="External"/><Relationship Id="rId89" Type="http://schemas.openxmlformats.org/officeDocument/2006/relationships/hyperlink" Target="http://www92.hattrick.org/World/Leagues/League.aspx?LeagueID=37" TargetMode="External"/><Relationship Id="rId16" Type="http://schemas.openxmlformats.org/officeDocument/2006/relationships/hyperlink" Target="http://www88.hattrick.org/World/Leagues/League.aspx?LeagueID=25" TargetMode="External"/><Relationship Id="rId11" Type="http://schemas.openxmlformats.org/officeDocument/2006/relationships/hyperlink" Target="http://www88.hattrick.org/World/Leagues/League.aspx?LeagueID=11" TargetMode="External"/><Relationship Id="rId32" Type="http://schemas.openxmlformats.org/officeDocument/2006/relationships/hyperlink" Target="http://www93.hattrick.org/World/Leagues/League.aspx?LeagueID=7" TargetMode="External"/><Relationship Id="rId37" Type="http://schemas.openxmlformats.org/officeDocument/2006/relationships/hyperlink" Target="http://www93.hattrick.org/World/Leagues/League.aspx?LeagueID=14" TargetMode="External"/><Relationship Id="rId53" Type="http://schemas.openxmlformats.org/officeDocument/2006/relationships/hyperlink" Target="http://www94.hattrick.org/World/Leagues/League.aspx?LeagueID=34" TargetMode="External"/><Relationship Id="rId58" Type="http://schemas.openxmlformats.org/officeDocument/2006/relationships/hyperlink" Target="http://www94.hattrick.org/World/Leagues/League.aspx?LeagueID=37" TargetMode="External"/><Relationship Id="rId74" Type="http://schemas.openxmlformats.org/officeDocument/2006/relationships/hyperlink" Target="http://www78.hattrick.org/World/Leagues/League.aspx?LeagueID=5" TargetMode="External"/><Relationship Id="rId79" Type="http://schemas.openxmlformats.org/officeDocument/2006/relationships/hyperlink" Target="http://www92.hattrick.org/World/Leagues/League.aspx?LeagueID=3" TargetMode="External"/><Relationship Id="rId102" Type="http://schemas.openxmlformats.org/officeDocument/2006/relationships/hyperlink" Target="http://www76.hattrick.org/World/Leagues/League.aspx?LeagueID=3" TargetMode="External"/><Relationship Id="rId5" Type="http://schemas.openxmlformats.org/officeDocument/2006/relationships/hyperlink" Target="http://www88.hattrick.org/World/Leagues/League.aspx?LeagueID=24" TargetMode="External"/><Relationship Id="rId90" Type="http://schemas.openxmlformats.org/officeDocument/2006/relationships/hyperlink" Target="http://www76.hattrick.org/World/Leagues/League.aspx?LeagueID=36" TargetMode="External"/><Relationship Id="rId95" Type="http://schemas.openxmlformats.org/officeDocument/2006/relationships/hyperlink" Target="http://www76.hattrick.org/World/Leagues/League.aspx?LeagueID=14" TargetMode="External"/><Relationship Id="rId22" Type="http://schemas.openxmlformats.org/officeDocument/2006/relationships/hyperlink" Target="http://www83.hattrick.org/World/Leagues/League.aspx?LeagueID=25" TargetMode="External"/><Relationship Id="rId27" Type="http://schemas.openxmlformats.org/officeDocument/2006/relationships/hyperlink" Target="http://www83.hattrick.org/World/Leagues/League.aspx?LeagueID=11" TargetMode="External"/><Relationship Id="rId43" Type="http://schemas.openxmlformats.org/officeDocument/2006/relationships/hyperlink" Target="http://www93.hattrick.org/World/Leagues/League.aspx?LeagueID=4" TargetMode="External"/><Relationship Id="rId48" Type="http://schemas.openxmlformats.org/officeDocument/2006/relationships/hyperlink" Target="http://www94.hattrick.org/World/Leagues/League.aspx?LeagueID=3" TargetMode="External"/><Relationship Id="rId64" Type="http://schemas.openxmlformats.org/officeDocument/2006/relationships/hyperlink" Target="http://www78.hattrick.org/World/Leagues/League.aspx?LeagueID=7" TargetMode="External"/><Relationship Id="rId69" Type="http://schemas.openxmlformats.org/officeDocument/2006/relationships/hyperlink" Target="http://www78.hattrick.org/World/Leagues/League.aspx?LeagueID=14" TargetMode="External"/><Relationship Id="rId80" Type="http://schemas.openxmlformats.org/officeDocument/2006/relationships/hyperlink" Target="http://www92.hattrick.org/World/Leagues/League.aspx?LeagueID=19" TargetMode="External"/><Relationship Id="rId85" Type="http://schemas.openxmlformats.org/officeDocument/2006/relationships/hyperlink" Target="http://www92.hattrick.org/World/Leagues/League.aspx?LeagueID=24" TargetMode="External"/><Relationship Id="rId12" Type="http://schemas.openxmlformats.org/officeDocument/2006/relationships/hyperlink" Target="http://www88.hattrick.org/World/Leagues/League.aspx?LeagueID=3" TargetMode="External"/><Relationship Id="rId17" Type="http://schemas.openxmlformats.org/officeDocument/2006/relationships/hyperlink" Target="http://www83.hattrick.org/World/Leagues/League.aspx?LeagueID=36" TargetMode="External"/><Relationship Id="rId33" Type="http://schemas.openxmlformats.org/officeDocument/2006/relationships/hyperlink" Target="http://www93.hattrick.org/World/Leagues/League.aspx?LeagueID=12" TargetMode="External"/><Relationship Id="rId38" Type="http://schemas.openxmlformats.org/officeDocument/2006/relationships/hyperlink" Target="http://www93.hattrick.org/World/Leagues/League.aspx?LeagueID=93" TargetMode="External"/><Relationship Id="rId59" Type="http://schemas.openxmlformats.org/officeDocument/2006/relationships/hyperlink" Target="http://www88.hattrick.org/World/Leagues/League.aspx?LeagueID=12" TargetMode="External"/><Relationship Id="rId103" Type="http://schemas.openxmlformats.org/officeDocument/2006/relationships/hyperlink" Target="http://www76.hattrick.org/World/Leagues/League.aspx?LeagueID=63" TargetMode="External"/><Relationship Id="rId20" Type="http://schemas.openxmlformats.org/officeDocument/2006/relationships/hyperlink" Target="http://www83.hattrick.org/World/Leagues/League.aspx?LeagueID=3" TargetMode="External"/><Relationship Id="rId41" Type="http://schemas.openxmlformats.org/officeDocument/2006/relationships/hyperlink" Target="http://www93.hattrick.org/World/Leagues/League.aspx?LeagueID=11" TargetMode="External"/><Relationship Id="rId54" Type="http://schemas.openxmlformats.org/officeDocument/2006/relationships/hyperlink" Target="http://www94.hattrick.org/World/Leagues/League.aspx?LeagueID=24" TargetMode="External"/><Relationship Id="rId62" Type="http://schemas.openxmlformats.org/officeDocument/2006/relationships/hyperlink" Target="http://www88.hattrick.org/World/Leagues/League.aspx?LeagueID=37" TargetMode="External"/><Relationship Id="rId70" Type="http://schemas.openxmlformats.org/officeDocument/2006/relationships/hyperlink" Target="http://www78.hattrick.org/World/Leagues/League.aspx?LeagueID=93" TargetMode="External"/><Relationship Id="rId75" Type="http://schemas.openxmlformats.org/officeDocument/2006/relationships/hyperlink" Target="http://www78.hattrick.org/World/Leagues/League.aspx?LeagueID=4" TargetMode="External"/><Relationship Id="rId83" Type="http://schemas.openxmlformats.org/officeDocument/2006/relationships/hyperlink" Target="http://www92.hattrick.org/World/Leagues/League.aspx?LeagueID=93" TargetMode="External"/><Relationship Id="rId88" Type="http://schemas.openxmlformats.org/officeDocument/2006/relationships/hyperlink" Target="http://www92.hattrick.org/World/Leagues/League.aspx?LeagueID=5" TargetMode="External"/><Relationship Id="rId91" Type="http://schemas.openxmlformats.org/officeDocument/2006/relationships/hyperlink" Target="http://www76.hattrick.org/World/Leagues/League.aspx?LeagueID=8" TargetMode="External"/><Relationship Id="rId96" Type="http://schemas.openxmlformats.org/officeDocument/2006/relationships/hyperlink" Target="http://www76.hattrick.org/World/Leagues/League.aspx?LeagueID=4" TargetMode="External"/><Relationship Id="rId1" Type="http://schemas.openxmlformats.org/officeDocument/2006/relationships/hyperlink" Target="http://www88.hattrick.org/World/Leagues/League.aspx?LeagueID=36" TargetMode="External"/><Relationship Id="rId6" Type="http://schemas.openxmlformats.org/officeDocument/2006/relationships/hyperlink" Target="http://www88.hattrick.org/World/Leagues/League.aspx?LeagueID=50" TargetMode="External"/><Relationship Id="rId15" Type="http://schemas.openxmlformats.org/officeDocument/2006/relationships/hyperlink" Target="http://www88.hattrick.org/World/Leagues/League.aspx?LeagueID=44" TargetMode="External"/><Relationship Id="rId23" Type="http://schemas.openxmlformats.org/officeDocument/2006/relationships/hyperlink" Target="http://www83.hattrick.org/World/Leagues/League.aspx?LeagueID=14" TargetMode="External"/><Relationship Id="rId28" Type="http://schemas.openxmlformats.org/officeDocument/2006/relationships/hyperlink" Target="http://www83.hattrick.org/World/Leagues/League.aspx?LeagueID=70" TargetMode="External"/><Relationship Id="rId36" Type="http://schemas.openxmlformats.org/officeDocument/2006/relationships/hyperlink" Target="http://www93.hattrick.org/World/Leagues/League.aspx?LeagueID=25" TargetMode="External"/><Relationship Id="rId49" Type="http://schemas.openxmlformats.org/officeDocument/2006/relationships/hyperlink" Target="http://www94.hattrick.org/World/Leagues/League.aspx?LeagueID=19" TargetMode="External"/><Relationship Id="rId57" Type="http://schemas.openxmlformats.org/officeDocument/2006/relationships/hyperlink" Target="http://www94.hattrick.org/World/Leagues/League.aspx?LeagueID=4" TargetMode="External"/><Relationship Id="rId10" Type="http://schemas.openxmlformats.org/officeDocument/2006/relationships/hyperlink" Target="http://www88.hattrick.org/World/Leagues/League.aspx?LeagueID=14" TargetMode="External"/><Relationship Id="rId31" Type="http://schemas.openxmlformats.org/officeDocument/2006/relationships/hyperlink" Target="http://www93.hattrick.org/World/Leagues/League.aspx?LeagueID=36" TargetMode="External"/><Relationship Id="rId44" Type="http://schemas.openxmlformats.org/officeDocument/2006/relationships/hyperlink" Target="http://www93.hattrick.org/World/Leagues/League.aspx?LeagueID=37" TargetMode="External"/><Relationship Id="rId52" Type="http://schemas.openxmlformats.org/officeDocument/2006/relationships/hyperlink" Target="http://www94.hattrick.org/World/Leagues/League.aspx?LeagueID=93" TargetMode="External"/><Relationship Id="rId60" Type="http://schemas.openxmlformats.org/officeDocument/2006/relationships/hyperlink" Target="http://www88.hattrick.org/World/Leagues/League.aspx?LeagueID=93" TargetMode="External"/><Relationship Id="rId65" Type="http://schemas.openxmlformats.org/officeDocument/2006/relationships/hyperlink" Target="http://www78.hattrick.org/World/Leagues/League.aspx?LeagueID=12" TargetMode="External"/><Relationship Id="rId73" Type="http://schemas.openxmlformats.org/officeDocument/2006/relationships/hyperlink" Target="http://www78.hattrick.org/World/Leagues/League.aspx?LeagueID=11" TargetMode="External"/><Relationship Id="rId78" Type="http://schemas.openxmlformats.org/officeDocument/2006/relationships/hyperlink" Target="http://www92.hattrick.org/World/Leagues/League.aspx?LeagueID=12" TargetMode="External"/><Relationship Id="rId81" Type="http://schemas.openxmlformats.org/officeDocument/2006/relationships/hyperlink" Target="http://www92.hattrick.org/World/Leagues/League.aspx?LeagueID=25" TargetMode="External"/><Relationship Id="rId86" Type="http://schemas.openxmlformats.org/officeDocument/2006/relationships/hyperlink" Target="http://www92.hattrick.org/World/Leagues/League.aspx?LeagueID=11" TargetMode="External"/><Relationship Id="rId94" Type="http://schemas.openxmlformats.org/officeDocument/2006/relationships/hyperlink" Target="http://www76.hattrick.org/World/Leagues/League.aspx?LeagueID=12" TargetMode="External"/><Relationship Id="rId99" Type="http://schemas.openxmlformats.org/officeDocument/2006/relationships/hyperlink" Target="http://www76.hattrick.org/World/Leagues/League.aspx?LeagueID=120" TargetMode="External"/><Relationship Id="rId101" Type="http://schemas.openxmlformats.org/officeDocument/2006/relationships/hyperlink" Target="http://www76.hattrick.org/World/Leagues/League.aspx?LeagueID=28" TargetMode="External"/><Relationship Id="rId4" Type="http://schemas.openxmlformats.org/officeDocument/2006/relationships/hyperlink" Target="http://www88.hattrick.org/World/Leagues/League.aspx?LeagueID=4" TargetMode="External"/><Relationship Id="rId9" Type="http://schemas.openxmlformats.org/officeDocument/2006/relationships/hyperlink" Target="http://www88.hattrick.org/World/Leagues/League.aspx?LeagueID=62" TargetMode="External"/><Relationship Id="rId13" Type="http://schemas.openxmlformats.org/officeDocument/2006/relationships/hyperlink" Target="http://www88.hattrick.org/World/Leagues/League.aspx?LeagueID=63" TargetMode="External"/><Relationship Id="rId18" Type="http://schemas.openxmlformats.org/officeDocument/2006/relationships/hyperlink" Target="http://www83.hattrick.org/World/Leagues/League.aspx?LeagueID=7" TargetMode="External"/><Relationship Id="rId39" Type="http://schemas.openxmlformats.org/officeDocument/2006/relationships/hyperlink" Target="http://www93.hattrick.org/World/Leagues/League.aspx?LeagueID=34" TargetMode="External"/><Relationship Id="rId34" Type="http://schemas.openxmlformats.org/officeDocument/2006/relationships/hyperlink" Target="http://www93.hattrick.org/World/Leagues/League.aspx?LeagueID=3" TargetMode="External"/><Relationship Id="rId50" Type="http://schemas.openxmlformats.org/officeDocument/2006/relationships/hyperlink" Target="http://www94.hattrick.org/World/Leagues/League.aspx?LeagueID=25" TargetMode="External"/><Relationship Id="rId55" Type="http://schemas.openxmlformats.org/officeDocument/2006/relationships/hyperlink" Target="http://www94.hattrick.org/World/Leagues/League.aspx?LeagueID=11" TargetMode="External"/><Relationship Id="rId76" Type="http://schemas.openxmlformats.org/officeDocument/2006/relationships/hyperlink" Target="http://www78.hattrick.org/World/Leagues/League.aspx?LeagueID=37" TargetMode="External"/><Relationship Id="rId97" Type="http://schemas.openxmlformats.org/officeDocument/2006/relationships/hyperlink" Target="http://www76.hattrick.org/World/Leagues/League.aspx?LeagueID=5" TargetMode="External"/><Relationship Id="rId104" Type="http://schemas.openxmlformats.org/officeDocument/2006/relationships/hyperlink" Target="http://www76.hattrick.org/World/Leagues/League.aspx?LeagueID=67" TargetMode="External"/><Relationship Id="rId7" Type="http://schemas.openxmlformats.org/officeDocument/2006/relationships/hyperlink" Target="http://www88.hattrick.org/World/Leagues/League.aspx?LeagueID=26" TargetMode="External"/><Relationship Id="rId71" Type="http://schemas.openxmlformats.org/officeDocument/2006/relationships/hyperlink" Target="http://www78.hattrick.org/World/Leagues/League.aspx?LeagueID=34" TargetMode="External"/><Relationship Id="rId92" Type="http://schemas.openxmlformats.org/officeDocument/2006/relationships/hyperlink" Target="http://www76.hattrick.org/World/Leagues/League.aspx?LeagueID=52" TargetMode="External"/><Relationship Id="rId2" Type="http://schemas.openxmlformats.org/officeDocument/2006/relationships/image" Target="../media/image2.gif"/><Relationship Id="rId29" Type="http://schemas.openxmlformats.org/officeDocument/2006/relationships/hyperlink" Target="http://www83.hattrick.org/World/Leagues/League.aspx?LeagueID=4" TargetMode="External"/><Relationship Id="rId24" Type="http://schemas.openxmlformats.org/officeDocument/2006/relationships/hyperlink" Target="http://www83.hattrick.org/World/Leagues/League.aspx?LeagueID=93" TargetMode="External"/><Relationship Id="rId40" Type="http://schemas.openxmlformats.org/officeDocument/2006/relationships/hyperlink" Target="http://www93.hattrick.org/World/Leagues/League.aspx?LeagueID=24" TargetMode="External"/><Relationship Id="rId45" Type="http://schemas.openxmlformats.org/officeDocument/2006/relationships/hyperlink" Target="http://www94.hattrick.org/World/Leagues/League.aspx?LeagueID=36" TargetMode="External"/><Relationship Id="rId66" Type="http://schemas.openxmlformats.org/officeDocument/2006/relationships/hyperlink" Target="http://www78.hattrick.org/World/Leagues/League.aspx?LeagueID=3" TargetMode="External"/><Relationship Id="rId87" Type="http://schemas.openxmlformats.org/officeDocument/2006/relationships/hyperlink" Target="http://www92.hattrick.org/World/Leagues/League.aspx?LeagueID=64" TargetMode="External"/><Relationship Id="rId61" Type="http://schemas.openxmlformats.org/officeDocument/2006/relationships/hyperlink" Target="http://www88.hattrick.org/World/Leagues/League.aspx?LeagueID=34" TargetMode="External"/><Relationship Id="rId82" Type="http://schemas.openxmlformats.org/officeDocument/2006/relationships/hyperlink" Target="http://www92.hattrick.org/World/Leagues/League.aspx?LeagueID=14" TargetMode="External"/><Relationship Id="rId19" Type="http://schemas.openxmlformats.org/officeDocument/2006/relationships/hyperlink" Target="http://www83.hattrick.org/World/Leagues/League.aspx?LeagueID=12" TargetMode="External"/><Relationship Id="rId14" Type="http://schemas.openxmlformats.org/officeDocument/2006/relationships/hyperlink" Target="http://www88.hattrick.org/World/Leagues/League.aspx?LeagueID=70" TargetMode="External"/><Relationship Id="rId30" Type="http://schemas.openxmlformats.org/officeDocument/2006/relationships/hyperlink" Target="http://www83.hattrick.org/World/Leagues/League.aspx?LeagueID=37" TargetMode="External"/><Relationship Id="rId35" Type="http://schemas.openxmlformats.org/officeDocument/2006/relationships/hyperlink" Target="http://www93.hattrick.org/World/Leagues/League.aspx?LeagueID=19" TargetMode="External"/><Relationship Id="rId56" Type="http://schemas.openxmlformats.org/officeDocument/2006/relationships/hyperlink" Target="http://www94.hattrick.org/World/Leagues/League.aspx?LeagueID=70" TargetMode="External"/><Relationship Id="rId77" Type="http://schemas.openxmlformats.org/officeDocument/2006/relationships/hyperlink" Target="http://www92.hattrick.org/World/Leagues/League.aspx?LeagueID=36" TargetMode="External"/><Relationship Id="rId100" Type="http://schemas.openxmlformats.org/officeDocument/2006/relationships/hyperlink" Target="http://www76.hattrick.org/World/Leagues/League.aspx?LeagueID=51" TargetMode="External"/><Relationship Id="rId105" Type="http://schemas.openxmlformats.org/officeDocument/2006/relationships/hyperlink" Target="http://www75.hattrick.org/World/Leagues/League.aspx?LeagueID=36" TargetMode="External"/><Relationship Id="rId8" Type="http://schemas.openxmlformats.org/officeDocument/2006/relationships/hyperlink" Target="http://www88.hattrick.org/World/Leagues/League.aspx?LeagueID=19" TargetMode="External"/><Relationship Id="rId51" Type="http://schemas.openxmlformats.org/officeDocument/2006/relationships/hyperlink" Target="http://www94.hattrick.org/World/Leagues/League.aspx?LeagueID=14" TargetMode="External"/><Relationship Id="rId72" Type="http://schemas.openxmlformats.org/officeDocument/2006/relationships/hyperlink" Target="http://www78.hattrick.org/World/Leagues/League.aspx?LeagueID=24" TargetMode="External"/><Relationship Id="rId93" Type="http://schemas.openxmlformats.org/officeDocument/2006/relationships/hyperlink" Target="http://www76.hattrick.org/World/Leagues/League.aspx?LeagueID=1" TargetMode="External"/><Relationship Id="rId98" Type="http://schemas.openxmlformats.org/officeDocument/2006/relationships/hyperlink" Target="http://www76.hattrick.org/World/Leagues/League.aspx?LeagueID=7" TargetMode="External"/><Relationship Id="rId3" Type="http://schemas.openxmlformats.org/officeDocument/2006/relationships/hyperlink" Target="http://www88.hattrick.org/World/Leagues/League.aspx?LeagueID=7" TargetMode="External"/><Relationship Id="rId25" Type="http://schemas.openxmlformats.org/officeDocument/2006/relationships/hyperlink" Target="http://www83.hattrick.org/World/Leagues/League.aspx?LeagueID=34" TargetMode="External"/><Relationship Id="rId46" Type="http://schemas.openxmlformats.org/officeDocument/2006/relationships/hyperlink" Target="http://www94.hattrick.org/World/Leagues/League.aspx?LeagueID=7" TargetMode="External"/><Relationship Id="rId67" Type="http://schemas.openxmlformats.org/officeDocument/2006/relationships/hyperlink" Target="http://www78.hattrick.org/World/Leagues/League.aspx?LeagueID=19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123825</xdr:rowOff>
    </xdr:from>
    <xdr:to>
      <xdr:col>8</xdr:col>
      <xdr:colOff>458046</xdr:colOff>
      <xdr:row>19</xdr:row>
      <xdr:rowOff>67172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395F0CA-41DE-41BF-AAAD-7CC3FD632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123825"/>
          <a:ext cx="6058746" cy="35628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157161</xdr:rowOff>
    </xdr:from>
    <xdr:to>
      <xdr:col>16</xdr:col>
      <xdr:colOff>9525</xdr:colOff>
      <xdr:row>25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8A60A5C-F910-4521-A77A-05405AEB1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518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517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900-0000B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516" name="Picture 9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B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g7f8C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515" name="Picture 10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B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514" name="Picture 11" descr="Hella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900-0000B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vDwAA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513" name="Picture 12" descr="Scotland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900-0000B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4////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512" name="Picture 13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B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11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510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900-0000B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Hc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9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B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8Z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8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B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507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B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6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B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5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4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B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3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2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1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0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900-0000A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99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98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A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97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A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96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900-0000A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9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494" name="Picture 31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A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93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A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492" name="Picture 7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A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491" name="Picture 9" descr="Argentina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900-0000A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490" name="Picture 1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A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89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900-0000A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88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A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w8ZD7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87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9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86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85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900-00009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84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9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83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9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82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900-00009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81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900-00009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80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9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79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9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78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900-00009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77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76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9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75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9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74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w8ZD7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73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472" name="Picture 32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71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8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7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8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69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900-00008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68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900-00008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67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8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66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8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65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900-00008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64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8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63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8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62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900-00008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61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8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60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900-00008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59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8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8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8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7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8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6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900-00008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5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900-00007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4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900-00007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3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900-00007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2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900-00007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1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7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0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900-00007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49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7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48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7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47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7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446" name="Picture 26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7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45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7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44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7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43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7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42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900-00007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41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900-00007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40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7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39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6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38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900-00006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37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6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436" name="Picture 36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900-00006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35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6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34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900-00006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33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6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32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900-00006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31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6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30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6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9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6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8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900-00006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7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6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6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900-00006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5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900-00006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4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900-00006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3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900-00005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2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5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1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900-00005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20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19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5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418" name="Picture 26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900-00005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17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16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15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14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13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900-00005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12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11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900-00005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10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09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408" name="Picture 37" descr="România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900-00005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07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4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06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4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05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900-00004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04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4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03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900-00004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02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4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01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4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00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4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99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4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98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4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9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4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96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900-00004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95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900-00004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94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4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93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4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92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4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9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90" name="Picture 24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3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89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88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87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86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85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3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84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3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83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82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81" name="Picture 36" descr="România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00000000-0008-0000-0900-00003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80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3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79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3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78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900-00003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77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3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76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900-00003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75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2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74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2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73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2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72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900-00002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71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900-00002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70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2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69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900-00002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68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900-00002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9fX3/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67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900-00002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Q8J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66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2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65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900-00002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64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2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63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900-00002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62" name="Picture 26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900-00002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61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2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g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60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2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59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1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58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1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57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1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56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900-00001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55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1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54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1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53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900-00001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A8J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52" name="Picture 38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900-00001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51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50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9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8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900-00001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47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1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6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1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5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4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900-00001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3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0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2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0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1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900-00000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0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900-00000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39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0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38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0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37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900-00000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36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900-00000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35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34" name="Picture 25" descr="France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00000000-0008-0000-0900-00000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33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0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32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0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31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30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29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28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0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27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F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26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F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25" name="Picture 3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F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24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F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23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F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22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F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2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2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F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F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F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F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E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E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E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E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E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29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E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29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E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9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9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E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9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9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9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9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9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D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9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D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D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D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D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D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D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C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C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C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C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C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C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B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B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B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B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B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B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B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A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A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A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A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A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A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A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A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9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9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9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9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9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9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8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8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8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8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8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8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8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7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7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7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7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7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6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6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6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6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6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6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5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5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5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5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5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5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5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5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5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5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5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5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5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5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5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4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4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4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4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4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3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3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3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3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3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3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2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2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2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2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2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2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1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1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1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1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1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1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1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0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0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0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0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0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0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0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F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F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F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F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F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F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F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F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E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E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E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E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E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E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E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D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D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D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D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D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C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C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C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C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C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C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C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B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B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B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B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B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B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A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A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A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A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1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0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A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9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8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7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A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6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5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3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9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2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1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9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0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9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69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9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68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67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66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65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64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63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9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62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9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g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6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9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8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8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8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Q8ZD7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8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8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8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7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3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7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7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3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7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3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3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3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3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7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3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6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6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6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6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1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1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1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1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1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6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1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6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1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6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1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1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5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5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5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5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4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4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4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4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4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3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3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3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3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6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6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6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3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6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3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6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64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3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8890</xdr:colOff>
      <xdr:row>23</xdr:row>
      <xdr:rowOff>9525</xdr:rowOff>
    </xdr:to>
    <xdr:pic>
      <xdr:nvPicPr>
        <xdr:cNvPr id="2863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cAAAALAAAAAAAAABcAAAALAAAAMQAEAGAqAAA2H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58597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8890</xdr:colOff>
      <xdr:row>20</xdr:row>
      <xdr:rowOff>9525</xdr:rowOff>
    </xdr:to>
    <xdr:pic>
      <xdr:nvPicPr>
        <xdr:cNvPr id="2862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LAAAAAAAAABQAAAALAAAAMQAEAGAqAACIG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98780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8890</xdr:colOff>
      <xdr:row>21</xdr:row>
      <xdr:rowOff>9525</xdr:rowOff>
    </xdr:to>
    <xdr:pic>
      <xdr:nvPicPr>
        <xdr:cNvPr id="2861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EAGAq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1871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8890</xdr:colOff>
      <xdr:row>21</xdr:row>
      <xdr:rowOff>9525</xdr:rowOff>
    </xdr:to>
    <xdr:pic>
      <xdr:nvPicPr>
        <xdr:cNvPr id="2860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2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EAGAq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1871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8890</xdr:colOff>
      <xdr:row>21</xdr:row>
      <xdr:rowOff>9525</xdr:rowOff>
    </xdr:to>
    <xdr:pic>
      <xdr:nvPicPr>
        <xdr:cNvPr id="2859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EAGAq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1871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58" name="Picture 30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900-00002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8890</xdr:colOff>
      <xdr:row>20</xdr:row>
      <xdr:rowOff>9525</xdr:rowOff>
    </xdr:to>
    <xdr:pic>
      <xdr:nvPicPr>
        <xdr:cNvPr id="2857" name="Picture 31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900-00002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LAAAAAAAAABQAAAALAAAAMQAEAGAqAACIG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98780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8890</xdr:colOff>
      <xdr:row>21</xdr:row>
      <xdr:rowOff>9525</xdr:rowOff>
    </xdr:to>
    <xdr:pic>
      <xdr:nvPicPr>
        <xdr:cNvPr id="2856" name="Picture 32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900-00002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EAGAq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1871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8890</xdr:colOff>
      <xdr:row>21</xdr:row>
      <xdr:rowOff>9525</xdr:rowOff>
    </xdr:to>
    <xdr:pic>
      <xdr:nvPicPr>
        <xdr:cNvPr id="2855" name="Picture 33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900-00002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EAGAq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1871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8890</xdr:colOff>
      <xdr:row>21</xdr:row>
      <xdr:rowOff>9525</xdr:rowOff>
    </xdr:to>
    <xdr:pic>
      <xdr:nvPicPr>
        <xdr:cNvPr id="2854" name="Picture 4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2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EAGAq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1871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304165</xdr:colOff>
      <xdr:row>22</xdr:row>
      <xdr:rowOff>95250</xdr:rowOff>
    </xdr:to>
    <xdr:sp macro="" textlink="" fLocksText="0">
      <xdr:nvSpPr>
        <xdr:cNvPr id="2853" name="AutoShape 42" descr="Imprevisible">
          <a:extLst>
            <a:ext uri="{FF2B5EF4-FFF2-40B4-BE49-F238E27FC236}">
              <a16:creationId xmlns:a16="http://schemas.microsoft.com/office/drawing/2014/main" id="{00000000-0008-0000-0900-0000250B0000}"/>
            </a:ext>
          </a:extLst>
        </xdr:cNvPr>
        <xdr:cNvSpPr>
          <a:spLocks noChangeAspect="1"/>
          <a:extLst>
            <a:ext uri="smNativeData">
              <pm:smNativeData xmlns:pm="smNativeData" xmlns="" val="SMDATA_11_dPM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FQAAAAsAAAAAAAAAFgAAAAsAAADpAYYAYCoAAMIZAADfAQAA0AEAAAEAAAA="/>
            </a:ext>
          </a:extLst>
        </xdr:cNvSpPr>
      </xdr:nvSpPr>
      <xdr:spPr>
        <a:xfrm>
          <a:off x="6888480" y="4187190"/>
          <a:ext cx="304165" cy="29464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52" name="Picture 4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2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/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304165</xdr:colOff>
      <xdr:row>23</xdr:row>
      <xdr:rowOff>104775</xdr:rowOff>
    </xdr:to>
    <xdr:sp macro="" textlink="" fLocksText="0">
      <xdr:nvSpPr>
        <xdr:cNvPr id="2851" name="AutoShape 44" descr="Ràpid">
          <a:extLst>
            <a:ext uri="{FF2B5EF4-FFF2-40B4-BE49-F238E27FC236}">
              <a16:creationId xmlns:a16="http://schemas.microsoft.com/office/drawing/2014/main" id="{00000000-0008-0000-0900-0000230B0000}"/>
            </a:ext>
          </a:extLst>
        </xdr:cNvPr>
        <xdr:cNvSpPr>
          <a:spLocks noChangeAspect="1"/>
          <a:extLst>
            <a:ext uri="smNativeData">
              <pm:smNativeData xmlns:pm="smNativeData" xmlns="" val="SMDATA_11_dPM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IQAAAMAAAAEAAAAAAAAAAAAAAAAAAAAAAAAAAeAAAAaAAAAAAAAAAAAAAAAAAAAAAAAAAAAAAAECcAABAnAAAAAAAAAAAAAAAAAAAAAAAAAAAAAAAAAAAAAAAAAAAAABQAAAAAAAAAwMD/AAAAAABkAAAAMgAAAAAAAABkAAAAAAAAAH9/fwAKAAAAIQAAADAAAAAsAAAAFgAAAAsAAAAAAAAAFwAAAAsAAAAaAoYAYCoAAPwaAADfAQAA3wEAAAEAAAA="/>
            </a:ext>
          </a:extLst>
        </xdr:cNvSpPr>
      </xdr:nvSpPr>
      <xdr:spPr>
        <a:xfrm>
          <a:off x="6888480" y="4386580"/>
          <a:ext cx="304165" cy="30416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304165</xdr:colOff>
      <xdr:row>18</xdr:row>
      <xdr:rowOff>104775</xdr:rowOff>
    </xdr:to>
    <xdr:sp macro="" textlink="" fLocksText="0">
      <xdr:nvSpPr>
        <xdr:cNvPr id="2850" name="AutoShape 47" descr="Entrenador">
          <a:extLst>
            <a:ext uri="{FF2B5EF4-FFF2-40B4-BE49-F238E27FC236}">
              <a16:creationId xmlns:a16="http://schemas.microsoft.com/office/drawing/2014/main" id="{00000000-0008-0000-0900-0000220B0000}"/>
            </a:ext>
          </a:extLst>
        </xdr:cNvPr>
        <xdr:cNvSpPr>
          <a:spLocks noChangeAspect="1"/>
          <a:extLst>
            <a:ext uri="smNativeData">
              <pm:smNativeData xmlns:pm="smNativeData" xmlns="" val="SMDATA_11_dPM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EEAQQAMAAAAEAAAAAAAAAAAAAAAAAAAAAAAAAAeAAAAaAAAAAAAAAAAAAAAAAAAAAAAAAAAAAAAECcAABAnAAAAAAAAAAAAAAAAAAAAAAAAAAAAAAAAAAAAAAAAAAAAABQAAAAAAAAAwMD/AAAAAABkAAAAMgAAAAAAAABkAAAAAAAAAH9/fwAKAAAAIQAAADAAAAAsAAAAEQAAAAsAAAAAAAAAEgAAAAsAAAAaAoYAYCoAANoUAADfAQAA3wEAAAEAAAA="/>
            </a:ext>
          </a:extLst>
        </xdr:cNvSpPr>
      </xdr:nvSpPr>
      <xdr:spPr>
        <a:xfrm>
          <a:off x="6888480" y="3389630"/>
          <a:ext cx="304165" cy="30416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304165</xdr:colOff>
      <xdr:row>18</xdr:row>
      <xdr:rowOff>104775</xdr:rowOff>
    </xdr:to>
    <xdr:sp macro="" textlink="" fLocksText="0">
      <xdr:nvSpPr>
        <xdr:cNvPr id="2849" name="AutoShape 48" descr="Imprevisible">
          <a:extLst>
            <a:ext uri="{FF2B5EF4-FFF2-40B4-BE49-F238E27FC236}">
              <a16:creationId xmlns:a16="http://schemas.microsoft.com/office/drawing/2014/main" id="{00000000-0008-0000-0900-0000210B0000}"/>
            </a:ext>
          </a:extLst>
        </xdr:cNvPr>
        <xdr:cNvSpPr>
          <a:spLocks noChangeAspect="1"/>
          <a:extLst>
            <a:ext uri="smNativeData">
              <pm:smNativeData xmlns:pm="smNativeData" xmlns="" val="SMDATA_11_dPM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EEAQQAMAAAAEAAAAAAAAAAAAAAAAAAAAAAAAAAeAAAAaAAAAAAAAAAAAAAAAAAAAAAAAAAAAAAAECcAABAnAAAAAAAAAAAAAAAAAAAAAAAAAAAAAAAAAAAAAAAAAAAAABQAAAAAAAAAwMD/AAAAAABkAAAAMgAAAAAAAABkAAAAAAAAAH9/fwAKAAAAIQAAADAAAAAsAAAAEQAAAAsAAAAAAAAAEgAAAAsAAAAaAoYAYCoAANoUAADfAQAA3wEAAAEAAAA="/>
            </a:ext>
          </a:extLst>
        </xdr:cNvSpPr>
      </xdr:nvSpPr>
      <xdr:spPr>
        <a:xfrm>
          <a:off x="6888480" y="3389630"/>
          <a:ext cx="304165" cy="30416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48" name="Picture 50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2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304165</xdr:colOff>
      <xdr:row>20</xdr:row>
      <xdr:rowOff>104775</xdr:rowOff>
    </xdr:to>
    <xdr:sp macro="" textlink="" fLocksText="0">
      <xdr:nvSpPr>
        <xdr:cNvPr id="2847" name="AutoShape 51" descr="Tècnic">
          <a:extLst>
            <a:ext uri="{FF2B5EF4-FFF2-40B4-BE49-F238E27FC236}">
              <a16:creationId xmlns:a16="http://schemas.microsoft.com/office/drawing/2014/main" id="{00000000-0008-0000-0900-00001F0B0000}"/>
            </a:ext>
          </a:extLst>
        </xdr:cNvPr>
        <xdr:cNvSpPr>
          <a:spLocks noChangeAspect="1"/>
          <a:extLst>
            <a:ext uri="smNativeData">
              <pm:smNativeData xmlns:pm="smNativeData" xmlns="" val="SMDATA_11_dPM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EwAAAAsAAAAAAAAAFAAAAAsAAAAaAoYAYCoAAE4XAADfAQAA3wEAAAEAAAA="/>
            </a:ext>
          </a:extLst>
        </xdr:cNvSpPr>
      </xdr:nvSpPr>
      <xdr:spPr>
        <a:xfrm>
          <a:off x="6888480" y="3788410"/>
          <a:ext cx="304165" cy="30416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8890</xdr:colOff>
      <xdr:row>20</xdr:row>
      <xdr:rowOff>9525</xdr:rowOff>
    </xdr:to>
    <xdr:pic>
      <xdr:nvPicPr>
        <xdr:cNvPr id="2846" name="Picture 52" descr="România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900-00001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LAAAAAAAAABQAAAALAAAAMQAEAGAqAACIG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98780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8890</xdr:colOff>
      <xdr:row>21</xdr:row>
      <xdr:rowOff>9525</xdr:rowOff>
    </xdr:to>
    <xdr:pic>
      <xdr:nvPicPr>
        <xdr:cNvPr id="2845" name="Picture 5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1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EAGAq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1871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44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1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43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900-00001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42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900-00001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41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1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4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1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w8pD7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9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1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8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1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7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1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6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1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5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900-00001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4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1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3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1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2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1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1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0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0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0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8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7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6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0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5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0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4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0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3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0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2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0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1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900-00000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0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0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19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8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0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6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0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5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F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4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F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3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F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2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F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F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0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F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9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900-0000F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8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F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7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F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6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F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F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4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F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3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900-0000F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2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F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1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F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0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F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9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E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8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900-0000E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7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900-0000E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6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E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5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E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4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900-0000E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3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E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2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E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1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E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0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E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9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E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8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900-0000E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7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900-0000E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6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E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5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E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4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E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3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900-0000D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2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D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1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D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0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900-0000D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9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900-0000D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8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900-0000D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7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900-0000D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6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900-0000D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5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D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4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900-0000D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3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D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2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D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1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D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0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D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9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900-0000D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8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900-0000D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7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C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6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C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5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C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4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900-0000C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3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C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2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C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1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900-0000C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0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C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9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900-0000C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8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900-0000C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7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900-0000C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6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900-0000C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5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C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4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900-0000C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3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C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2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C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1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B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0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B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9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900-0000B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8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B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7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6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5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900-0000B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4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B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3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2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B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1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B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B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9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900-0000B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8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900-0000B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7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B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6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B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5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A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4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3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1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0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A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9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A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8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900-0000A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7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A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6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A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5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900-0000A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4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900-0000A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3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A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2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900-0000A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1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900-0000A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0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900-0000A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9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9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8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900-00009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7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900-00009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6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9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5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9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4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9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3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9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2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900-00009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1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9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0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9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9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900-00009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8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9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7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9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6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900-00009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5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9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4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9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3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900-00008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2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900-00008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1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8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0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8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9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900-00008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8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8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7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8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6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8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5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8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4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8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3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8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2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8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8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7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7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7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7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7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6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6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6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6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6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6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5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5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5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5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5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4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4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4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4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4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3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3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3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3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3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3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2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2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2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2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2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2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1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1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1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1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1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1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1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0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0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0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0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0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0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0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0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F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F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F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F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F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F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F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F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E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E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E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E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E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E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E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D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D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D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D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D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D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C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C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C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C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C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C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C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B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B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B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B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B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B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A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A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A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A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A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A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A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9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9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9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9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9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9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9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8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8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8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8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8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8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7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7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7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7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7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6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6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6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6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6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6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6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9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5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8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5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7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6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5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5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4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3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1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0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9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8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7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5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6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5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4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3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2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4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1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4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0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4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379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4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OAAAAAAAAAAwAAAAOAAAAMQAGAB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8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4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7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900-00004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6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900-00004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5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4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4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4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3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4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2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4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1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4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0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4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9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900-00004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8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4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7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3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6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3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5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3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4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3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3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2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1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0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3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9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3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8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3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7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3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6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3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5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900-00003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4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3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3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3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2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1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2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0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2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9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2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8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2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7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2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6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2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5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2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4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2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3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900-00002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2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2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1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2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0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2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9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2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8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2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7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900-00002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6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2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5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1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4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1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3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1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2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900-00001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1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900-00001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0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1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9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1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8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900-00001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7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1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6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1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5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1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4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1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3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1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2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900-00001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1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900-00001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0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1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9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0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8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0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7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900-00000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6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0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5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0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4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900-00000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3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900-00000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2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900-00000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1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900-00000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0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900-00000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9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0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8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900-00000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7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0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6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0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5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0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4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0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3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900-0000F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2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900-0000F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1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F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0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F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9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F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8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900-0000F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7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F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6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F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5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900-0000F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4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F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3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900-0000F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2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900-0000F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1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900-0000F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0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900-0000F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9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F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8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900-0000F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7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E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6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E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5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E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4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E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3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900-0000E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2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E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1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E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0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E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9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900-0000E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8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E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7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E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6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E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5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E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4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E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3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900-0000E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2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900-0000E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1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D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0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D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9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D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8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7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6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5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4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D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3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D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2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900-0000D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1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D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0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D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9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900-0000D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8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900-0000D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7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D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6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900-0000D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5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900-0000C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4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900-0000C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3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C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2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900-0000C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1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900-0000C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0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C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9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C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8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C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7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C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6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900-0000C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5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C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4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C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3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900-0000C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2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C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1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C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0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900-0000C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9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B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8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B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7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900-0000B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6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900-0000B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5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B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4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B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3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900-0000B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2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B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1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B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0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B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9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B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8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B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7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B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6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B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B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A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A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A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A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A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A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A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A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9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9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9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9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9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9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8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8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8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8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8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8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8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7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7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7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7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7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6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6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6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6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6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6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5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5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5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5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5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4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4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4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4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4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3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3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3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3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3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3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2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2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2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2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2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2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1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1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1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1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1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1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1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0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0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0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0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0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0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0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F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F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F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F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F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F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F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F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E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E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E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E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E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E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E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D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D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D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D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D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C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C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C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C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C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C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C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B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B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B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B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B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B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A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A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A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A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A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A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9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9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9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9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9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9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9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3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8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2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8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1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0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9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8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8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7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5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4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3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8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2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8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1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8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0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9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8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7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6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7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5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7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4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7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1913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7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SAE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912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7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wAAAAOAAAAAAAAAAwAAAAOAAAAMQAGAB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11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7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10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900-00007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9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900-00007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8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7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7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7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6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7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5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7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4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7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3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6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2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900-00006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1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6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0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6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9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6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8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6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7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6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6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5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4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3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6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2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6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1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6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0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6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89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6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88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900-00006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87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5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86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5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5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5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4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5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3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5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2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5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1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5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0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5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9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5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8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5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7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5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6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900-00005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5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5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4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5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3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5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5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1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4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0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900-00004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9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4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8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4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7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4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6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4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5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900-00004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4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900-00004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3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4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2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4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1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900-00004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0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4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9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4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8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4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7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4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6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4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5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900-00003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4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900-00003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3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3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2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3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1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3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0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900-00003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9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3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8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3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7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900-00003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6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900-00003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5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900-00003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4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900-00003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3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900-00003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2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3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1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900-00003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0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3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9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2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8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2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7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2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6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900-00002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5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900-00002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4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2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3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2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2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2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1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900-00002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0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2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9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2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8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900-00002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7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2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6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900-00002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5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900-00002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4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900-00002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3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900-00001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2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1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1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900-00001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0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1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9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1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8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1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7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1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6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900-00001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5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1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4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1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3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1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2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900-00001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1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1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0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1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9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1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8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1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0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6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900-00000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5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900-00000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4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0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3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0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2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0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1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0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9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8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7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0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6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0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5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900-00000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4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0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3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0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2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900-00000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1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900-0000F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0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F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9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900-0000F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8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900-0000F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7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900-0000F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6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F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5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900-0000F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4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900-0000F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3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F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2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F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1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F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0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F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9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900-0000F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8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F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7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F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6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900-0000F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5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E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4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E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3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900-0000E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2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E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1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E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0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900-0000E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9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900-0000E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8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E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7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E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6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900-0000E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5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E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4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E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3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E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2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E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1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E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0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E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9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D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D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D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D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D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D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C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C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C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C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C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C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C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C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C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B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B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B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B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B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A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A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A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A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A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A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A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9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9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9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9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9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9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9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9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9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8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8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8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8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8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7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7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7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7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6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6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6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6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6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6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6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6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6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5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5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5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4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4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4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4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3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3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3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3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3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3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3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3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3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2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2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2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2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1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1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1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1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1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1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0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0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0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0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0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0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0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0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0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0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F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F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F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F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F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F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E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E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E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E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E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E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D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D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D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D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D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D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D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D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C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C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C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C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C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B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B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6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B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5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B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4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3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2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B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1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0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8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7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6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B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5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A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4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A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3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2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1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0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9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A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8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A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7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A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1446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A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SAE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1445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A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wAAAAUAAAAAAAAAAwAAAAUAAAAMQASAE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4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A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3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900-0000A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2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900-0000A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1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A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A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9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9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8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9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7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9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6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9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5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900-00009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4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9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3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9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2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9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1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9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0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9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9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8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9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7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9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6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9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5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9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4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9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3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8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2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8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1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900-00008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0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8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19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8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8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8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6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8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5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8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4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3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8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2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0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9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900-00008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8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7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7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6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7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7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4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7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3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900-00007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2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7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1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7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0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7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9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7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8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900-00007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7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900-00007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6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7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5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7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4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900-00007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3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7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2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7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1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6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0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6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9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6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8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900-00006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7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900-00006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6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6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5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6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4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6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3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900-00006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2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6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1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6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0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900-00006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9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900-00006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8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900-00006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7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900-00006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6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900-00006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5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5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4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900-00005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3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5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2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5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1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5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0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5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9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900-00005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8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900-00005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7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5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6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5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4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900-00005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3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5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2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1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900-00005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0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5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9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900-00004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8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900-00004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7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900-00004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6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900-00004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5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4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4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900-00004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3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4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2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4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1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4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0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4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9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900-00004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8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4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7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4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6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4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5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900-00004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4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4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3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2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3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1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3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3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9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900-00003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8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900-00003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7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3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6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3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5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3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4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3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1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0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3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9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3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8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900-00003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7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2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6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2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5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900-00002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4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900-00002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3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2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2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900-00002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1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900-00002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0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900-00002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9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2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8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900-00002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7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900-00002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6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2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5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2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4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2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3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2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2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900-00002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1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0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9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900-00001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8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1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7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6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900-00001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5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1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4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1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3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900-00001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2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900-00001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1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1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0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1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9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900-00001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8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7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1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6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5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4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3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0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2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0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0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0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0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0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0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F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F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F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F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F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F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F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F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E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E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E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E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E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E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E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D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D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D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D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D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D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C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C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C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C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C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C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C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B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B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B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B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B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B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A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A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A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A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A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A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A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9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9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9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9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9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9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9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8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8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8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8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8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8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7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7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7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7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7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6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6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6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6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6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6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6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5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5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5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5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4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4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4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4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4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3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3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3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3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3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3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3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2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2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2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2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2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1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1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1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1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1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1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1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0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0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0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0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0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0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0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0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0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F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F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F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F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F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F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F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E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E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E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E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9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E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8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E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7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6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5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E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4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3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1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D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0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9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D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8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D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7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D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6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5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4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3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2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D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1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D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0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D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979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D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SAE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978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D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SAE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7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D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6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900-0000D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5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900-0000C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4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C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3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C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2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C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1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C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0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C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9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C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8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900-0000C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7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C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6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C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5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C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4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C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3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C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2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C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1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C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0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C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9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B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8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B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7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B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6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B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5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B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4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900-0000B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3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B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2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B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51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5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B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9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B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8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B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7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6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B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5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4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3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2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900-0000A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1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0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A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9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A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7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A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6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900-0000A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5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A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4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A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3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A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2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A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1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900-0000A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0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900-0000A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9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A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8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A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7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900-00009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6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5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9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4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9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3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2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1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900-00009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0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900-00009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9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8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9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7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9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6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900-00009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5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9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4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9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3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900-00009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2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900-00009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1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900-00008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0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900-00008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9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900-00008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8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8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7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900-00008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6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8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5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8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4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8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3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8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2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900-00008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1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900-00008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0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8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9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8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8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8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7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900-00008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6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8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5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7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4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900-00007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3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7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2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900-00007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1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900-00007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0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900-00007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9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900-00007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8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7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7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900-00007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6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7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5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7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4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7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3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7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2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900-00007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1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7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0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7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9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8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900-00006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7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6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6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5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6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4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6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6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2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900-00006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1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900-00006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0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6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9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6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8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6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7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6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4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3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5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2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5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1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900-00005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0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5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9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5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8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900-00005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7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900-00005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6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5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5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900-00005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4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900-00005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3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900-00005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2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5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1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900-00005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0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900-00005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9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5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8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5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7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4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6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4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5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900-00004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4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4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3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4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2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900-00004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1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4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0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4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9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900-00004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8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4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7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4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6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900-00004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5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900-00004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4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4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3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4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2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900-00004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1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3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0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3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9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3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8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3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7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3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6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3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5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3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3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3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3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3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2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2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2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2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2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1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1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1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1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1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1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1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0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0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0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0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0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0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0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0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F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F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F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F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F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F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F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E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E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E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E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E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E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E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D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D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D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D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D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D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C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C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C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C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C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C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B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B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B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B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B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B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A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A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A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A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A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A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A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9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9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9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9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9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9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8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8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8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8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8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8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7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7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7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7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7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7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6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6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6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6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6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6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5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5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5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5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4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4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4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4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4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4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3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3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3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3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3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3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2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2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2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2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2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1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1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1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1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1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2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1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1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1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0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9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8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1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7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6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0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0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4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0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3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2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0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1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0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0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0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9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8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7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6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5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0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4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0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3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0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512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wAAAAUAAAAAAAAAAwAAAAUAAAAMQASAE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511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F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SAE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10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F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9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900-0000F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8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900-0000F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7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F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6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F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5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F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4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F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3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F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2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F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1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900-0000F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0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F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9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F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8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F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7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F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6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F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5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E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4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E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3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E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2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E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1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E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0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E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89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E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88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E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87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900-0000E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86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E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85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E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84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E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8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E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82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E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81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E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80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E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9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D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8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7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6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5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900-0000D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4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3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D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2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D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1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0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D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9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900-0000D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8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D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7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D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6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D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5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D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4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900-0000D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3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900-0000C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2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C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1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C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0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900-0000C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9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C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8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C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7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C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6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C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5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C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4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900-0000C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3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900-0000C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2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C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1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C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0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C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9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900-0000C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8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C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7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B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6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900-0000B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5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900-0000B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4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900-0000B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3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900-0000B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2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900-0000B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1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B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0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900-0000B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9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B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8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B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7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B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6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B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5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900-0000B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4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900-0000B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3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B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2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B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1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A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0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900-0000A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9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A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8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A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7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900-0000A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6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A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5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900-0000A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4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900-0000A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3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900-0000A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2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900-0000A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1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A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0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900-0000A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9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A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8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A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7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A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6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A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5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900-00009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4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9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3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9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2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9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1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900-00009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0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9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9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9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8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9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7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9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6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9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5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900-00009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4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900-00009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3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9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2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9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1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9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0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9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9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7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6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8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5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8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4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900-00008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3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8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2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8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1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900-00008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0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900-00008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9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8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8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900-00008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7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900-00008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6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900-00008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5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8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4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900-00008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3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900-00007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2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7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1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7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0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7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9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7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8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900-00007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7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7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6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7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5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900-00007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4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7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3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7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2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900-00007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1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7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0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7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9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900-00007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8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900-00007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7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6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6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6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5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900-00006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4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6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3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6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2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6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1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6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0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6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9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6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8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6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6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6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6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5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5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5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4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4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4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4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4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3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3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3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3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3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3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3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3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2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2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2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2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1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1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1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1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1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1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1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0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0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0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0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0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0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0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0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0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F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F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F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F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F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F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E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E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E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E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E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E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E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D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D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D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D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D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D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D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C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C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C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C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C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B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B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B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B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B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B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A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A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A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A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A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A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A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A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9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9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9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9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9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8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8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8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8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8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8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7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7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7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7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7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7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7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6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6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6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6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6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5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5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5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5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5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5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4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4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4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4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4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4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4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5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4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3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2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1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0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9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7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3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6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5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3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4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3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3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3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2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1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0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9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8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2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2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12</xdr:row>
      <xdr:rowOff>0</xdr:rowOff>
    </xdr:from>
    <xdr:to>
      <xdr:col>21</xdr:col>
      <xdr:colOff>8890</xdr:colOff>
      <xdr:row>12</xdr:row>
      <xdr:rowOff>9525</xdr:rowOff>
    </xdr:to>
    <xdr:pic>
      <xdr:nvPicPr>
        <xdr:cNvPr id="45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2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wAAAAVAAAAAAAAAAwAAAAVAAAAMQAGAKBe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3926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12</xdr:row>
      <xdr:rowOff>0</xdr:rowOff>
    </xdr:from>
    <xdr:to>
      <xdr:col>21</xdr:col>
      <xdr:colOff>8890</xdr:colOff>
      <xdr:row>12</xdr:row>
      <xdr:rowOff>9525</xdr:rowOff>
    </xdr:to>
    <xdr:pic>
      <xdr:nvPicPr>
        <xdr:cNvPr id="44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2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VAAAAAAAAAAwAAAAVAAAAMQAGAKBe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3926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43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900-00002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42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2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41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2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40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900-00002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9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900-00002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8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2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7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2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6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900-00002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5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2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4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900-00002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3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2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2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900-00002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1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1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0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1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29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1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28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900-00001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27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26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25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24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23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22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21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20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9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8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7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6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5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4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3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2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1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0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9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8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7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6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5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4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3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2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RTA Isaac" refreshedDate="44333.469059606483" createdVersion="6" refreshedVersion="6" minRefreshableVersion="3" recordCount="80" xr:uid="{FFF95E59-3FBD-4B0F-BB21-7CE25F6706AD}">
  <cacheSource type="worksheet">
    <worksheetSource ref="A1:J1048576" sheet="Estudio_Conversion_TL"/>
  </cacheSource>
  <cacheFields count="11">
    <cacheField name="Fecha" numFmtId="0">
      <sharedItems containsNonDate="0" containsDate="1" containsString="0" containsBlank="1" minDate="2020-05-18T00:00:00" maxDate="2021-04-23T00:00:00"/>
    </cacheField>
    <cacheField name="ID_Partido" numFmtId="0">
      <sharedItems containsString="0" containsBlank="1" containsNumber="1" containsInteger="1" minValue="2185486" maxValue="663544263"/>
    </cacheField>
    <cacheField name="Tactica" numFmtId="0">
      <sharedItems containsString="0" containsBlank="1" containsNumber="1" containsInteger="1" minValue="12" maxValue="19" count="8">
        <n v="13"/>
        <n v="12"/>
        <n v="14"/>
        <n v="15"/>
        <n v="16"/>
        <n v="17"/>
        <n v="19"/>
        <m/>
      </sharedItems>
    </cacheField>
    <cacheField name="Ocasiones" numFmtId="0">
      <sharedItems containsString="0" containsBlank="1" containsNumber="1" containsInteger="1" minValue="3" maxValue="10"/>
    </cacheField>
    <cacheField name="TL" numFmtId="0">
      <sharedItems containsString="0" containsBlank="1" containsNumber="1" containsInteger="1" minValue="0" maxValue="4"/>
    </cacheField>
    <cacheField name="DL" numFmtId="0">
      <sharedItems containsString="0" containsBlank="1" containsNumber="1" containsInteger="1" minValue="0" maxValue="2"/>
    </cacheField>
    <cacheField name="DC" numFmtId="0">
      <sharedItems containsString="0" containsBlank="1" containsNumber="1" containsInteger="1" minValue="0" maxValue="2"/>
    </cacheField>
    <cacheField name="MC" numFmtId="0">
      <sharedItems containsString="0" containsBlank="1" containsNumber="1" containsInteger="1" minValue="0" maxValue="3"/>
    </cacheField>
    <cacheField name="EXT" numFmtId="0">
      <sharedItems containsString="0" containsBlank="1" containsNumber="1" containsInteger="1" minValue="0" maxValue="3"/>
    </cacheField>
    <cacheField name="DAV" numFmtId="0">
      <sharedItems containsString="0" containsBlank="1" containsNumber="1" containsInteger="1" minValue="0" maxValue="1"/>
    </cacheField>
    <cacheField name="Campo1" numFmtId="0" formula="TL/Ocasione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RTA Isaac" refreshedDate="44333.469199768515" createdVersion="6" refreshedVersion="6" minRefreshableVersion="3" recordCount="106" xr:uid="{6A3A954E-649E-4253-8502-001CA84CB044}">
  <cacheSource type="worksheet">
    <worksheetSource ref="L1:O1048576" sheet="Estudio_Conversion_TL"/>
  </cacheSource>
  <cacheFields count="5">
    <cacheField name="Fecha" numFmtId="0">
      <sharedItems containsNonDate="0" containsDate="1" containsString="0" containsBlank="1" minDate="2020-05-18T00:00:00" maxDate="2021-04-23T00:00:00"/>
    </cacheField>
    <cacheField name="Jugador" numFmtId="0">
      <sharedItems containsBlank="1" count="18">
        <s v="E. Deus"/>
        <s v="S. Embe"/>
        <s v="S. Swärdborn"/>
        <s v="P .Trivadi"/>
        <s v="M. Bondarewski"/>
        <s v="P. Tuderek"/>
        <s v="A. Grimaud"/>
        <s v="S. Zobbe"/>
        <s v="I. Stone"/>
        <s v="V. Gardner"/>
        <s v="I. Vanags"/>
        <s v="J-P. Kechele"/>
        <s v="R. Forsyth"/>
        <s v="S. Buschelman"/>
        <s v="L. Tutorić"/>
        <s v="G. Piscaer"/>
        <s v="Conteanu"/>
        <m/>
      </sharedItems>
    </cacheField>
    <cacheField name="Gol" numFmtId="0">
      <sharedItems containsString="0" containsBlank="1" containsNumber="1" containsInteger="1" minValue="0" maxValue="3"/>
    </cacheField>
    <cacheField name="Error" numFmtId="0">
      <sharedItems containsString="0" containsBlank="1" containsNumber="1" containsInteger="1" minValue="0" maxValue="2"/>
    </cacheField>
    <cacheField name="%_Gol" numFmtId="0" formula="Gol/ (Gol+Error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d v="2020-05-18T00:00:00"/>
    <n v="17480983"/>
    <x v="0"/>
    <n v="7"/>
    <n v="2"/>
    <n v="0"/>
    <n v="1"/>
    <n v="0"/>
    <n v="0"/>
    <n v="1"/>
  </r>
  <r>
    <d v="2020-05-18T00:00:00"/>
    <n v="17554252"/>
    <x v="0"/>
    <n v="7"/>
    <n v="3"/>
    <n v="1"/>
    <n v="2"/>
    <n v="0"/>
    <n v="0"/>
    <n v="0"/>
  </r>
  <r>
    <d v="2020-05-19T00:00:00"/>
    <n v="17612232"/>
    <x v="0"/>
    <n v="5"/>
    <n v="1"/>
    <n v="0"/>
    <n v="0"/>
    <n v="1"/>
    <n v="0"/>
    <n v="0"/>
  </r>
  <r>
    <d v="2020-05-19T00:00:00"/>
    <n v="17669494"/>
    <x v="0"/>
    <n v="9"/>
    <n v="3"/>
    <n v="0"/>
    <n v="0"/>
    <n v="3"/>
    <n v="0"/>
    <n v="0"/>
  </r>
  <r>
    <d v="2020-05-20T00:00:00"/>
    <n v="17728262"/>
    <x v="1"/>
    <n v="5"/>
    <n v="0"/>
    <n v="0"/>
    <n v="0"/>
    <n v="0"/>
    <n v="0"/>
    <n v="0"/>
  </r>
  <r>
    <d v="2020-05-21T00:00:00"/>
    <n v="17843216"/>
    <x v="1"/>
    <n v="5"/>
    <n v="3"/>
    <n v="1"/>
    <n v="1"/>
    <n v="0"/>
    <n v="1"/>
    <n v="0"/>
  </r>
  <r>
    <d v="2020-05-25T00:00:00"/>
    <n v="17945337"/>
    <x v="0"/>
    <n v="3"/>
    <n v="1"/>
    <n v="0"/>
    <n v="0"/>
    <n v="1"/>
    <n v="0"/>
    <n v="0"/>
  </r>
  <r>
    <d v="2020-05-26T00:00:00"/>
    <n v="18067489"/>
    <x v="0"/>
    <n v="4"/>
    <n v="1"/>
    <n v="0"/>
    <n v="0"/>
    <n v="0"/>
    <n v="1"/>
    <n v="0"/>
  </r>
  <r>
    <d v="2020-05-27T00:00:00"/>
    <n v="18083815"/>
    <x v="0"/>
    <n v="9"/>
    <n v="0"/>
    <n v="0"/>
    <n v="0"/>
    <n v="0"/>
    <n v="0"/>
    <n v="0"/>
  </r>
  <r>
    <d v="2020-05-27T00:00:00"/>
    <n v="18102369"/>
    <x v="0"/>
    <n v="7"/>
    <n v="1"/>
    <n v="0"/>
    <n v="0"/>
    <n v="1"/>
    <n v="0"/>
    <n v="0"/>
  </r>
  <r>
    <d v="2020-05-27T00:00:00"/>
    <n v="18116746"/>
    <x v="2"/>
    <n v="10"/>
    <n v="2"/>
    <n v="0"/>
    <n v="1"/>
    <n v="0"/>
    <n v="1"/>
    <n v="0"/>
  </r>
  <r>
    <d v="2020-05-28T00:00:00"/>
    <n v="18200256"/>
    <x v="2"/>
    <n v="9"/>
    <n v="2"/>
    <n v="0"/>
    <n v="0"/>
    <n v="2"/>
    <n v="0"/>
    <n v="0"/>
  </r>
  <r>
    <d v="2020-05-28T00:00:00"/>
    <n v="18216545"/>
    <x v="0"/>
    <n v="9"/>
    <n v="2"/>
    <n v="0"/>
    <n v="1"/>
    <n v="1"/>
    <n v="0"/>
    <n v="0"/>
  </r>
  <r>
    <d v="2020-05-28T00:00:00"/>
    <n v="18286656"/>
    <x v="0"/>
    <n v="7"/>
    <n v="2"/>
    <n v="1"/>
    <n v="0"/>
    <n v="1"/>
    <n v="0"/>
    <n v="0"/>
  </r>
  <r>
    <d v="2020-05-31T00:00:00"/>
    <n v="18448080"/>
    <x v="0"/>
    <n v="8"/>
    <n v="1"/>
    <n v="0"/>
    <n v="0"/>
    <n v="0"/>
    <n v="1"/>
    <n v="0"/>
  </r>
  <r>
    <d v="2020-06-08T00:00:00"/>
    <n v="662376951"/>
    <x v="0"/>
    <n v="8"/>
    <n v="3"/>
    <n v="0"/>
    <n v="0"/>
    <n v="2"/>
    <n v="1"/>
    <n v="0"/>
  </r>
  <r>
    <d v="2020-06-15T00:00:00"/>
    <n v="662376954"/>
    <x v="0"/>
    <n v="4"/>
    <n v="1"/>
    <n v="0"/>
    <n v="0"/>
    <n v="0"/>
    <n v="1"/>
    <n v="0"/>
  </r>
  <r>
    <d v="2020-06-18T00:00:00"/>
    <n v="662839612"/>
    <x v="2"/>
    <n v="3"/>
    <n v="1"/>
    <n v="0"/>
    <n v="0"/>
    <n v="0"/>
    <n v="1"/>
    <n v="0"/>
  </r>
  <r>
    <d v="2020-06-22T00:00:00"/>
    <n v="662376959"/>
    <x v="2"/>
    <n v="10"/>
    <n v="3"/>
    <n v="0"/>
    <n v="0"/>
    <n v="1"/>
    <n v="1"/>
    <n v="1"/>
  </r>
  <r>
    <d v="2020-06-23T00:00:00"/>
    <n v="18799271"/>
    <x v="3"/>
    <n v="6"/>
    <n v="1"/>
    <n v="0"/>
    <n v="0"/>
    <n v="0"/>
    <n v="0"/>
    <n v="1"/>
  </r>
  <r>
    <d v="2020-06-25T00:00:00"/>
    <n v="18799286"/>
    <x v="2"/>
    <n v="7"/>
    <n v="3"/>
    <n v="0"/>
    <n v="0"/>
    <n v="0"/>
    <n v="3"/>
    <n v="0"/>
  </r>
  <r>
    <d v="2020-06-28T00:00:00"/>
    <n v="18799288"/>
    <x v="3"/>
    <n v="6"/>
    <n v="2"/>
    <n v="1"/>
    <n v="0"/>
    <n v="1"/>
    <n v="0"/>
    <n v="0"/>
  </r>
  <r>
    <d v="2020-06-29T00:00:00"/>
    <n v="662376963"/>
    <x v="3"/>
    <n v="4"/>
    <n v="0"/>
    <n v="0"/>
    <n v="0"/>
    <n v="0"/>
    <n v="0"/>
    <n v="0"/>
  </r>
  <r>
    <d v="2020-06-30T00:00:00"/>
    <n v="18799301"/>
    <x v="3"/>
    <n v="7"/>
    <n v="3"/>
    <n v="0"/>
    <n v="0"/>
    <n v="3"/>
    <n v="0"/>
    <n v="0"/>
  </r>
  <r>
    <d v="2020-07-02T00:00:00"/>
    <n v="663085087"/>
    <x v="3"/>
    <n v="10"/>
    <n v="4"/>
    <n v="1"/>
    <n v="2"/>
    <n v="1"/>
    <n v="0"/>
    <n v="0"/>
  </r>
  <r>
    <d v="2020-07-02T00:00:00"/>
    <n v="18799305"/>
    <x v="2"/>
    <n v="8"/>
    <n v="2"/>
    <n v="0"/>
    <n v="0"/>
    <n v="0"/>
    <n v="1"/>
    <n v="1"/>
  </r>
  <r>
    <d v="2020-07-05T00:00:00"/>
    <n v="18799314"/>
    <x v="3"/>
    <n v="5"/>
    <n v="1"/>
    <n v="0"/>
    <n v="0"/>
    <n v="1"/>
    <n v="0"/>
    <n v="0"/>
  </r>
  <r>
    <d v="2020-07-06T00:00:00"/>
    <n v="662376969"/>
    <x v="3"/>
    <n v="8"/>
    <n v="1"/>
    <n v="0"/>
    <n v="0"/>
    <n v="0"/>
    <n v="1"/>
    <n v="0"/>
  </r>
  <r>
    <d v="2020-07-07T00:00:00"/>
    <n v="18799322"/>
    <x v="3"/>
    <n v="10"/>
    <n v="3"/>
    <n v="1"/>
    <n v="0"/>
    <n v="1"/>
    <n v="1"/>
    <n v="0"/>
  </r>
  <r>
    <d v="2020-07-09T00:00:00"/>
    <n v="663163558"/>
    <x v="2"/>
    <n v="8"/>
    <n v="3"/>
    <n v="1"/>
    <n v="1"/>
    <n v="1"/>
    <n v="0"/>
    <n v="0"/>
  </r>
  <r>
    <d v="2020-07-09T00:00:00"/>
    <n v="18799331"/>
    <x v="3"/>
    <n v="10"/>
    <n v="3"/>
    <n v="1"/>
    <n v="0"/>
    <n v="1"/>
    <n v="0"/>
    <n v="1"/>
  </r>
  <r>
    <d v="2020-07-12T00:00:00"/>
    <n v="18799339"/>
    <x v="3"/>
    <n v="10"/>
    <n v="2"/>
    <n v="1"/>
    <n v="0"/>
    <n v="0"/>
    <n v="1"/>
    <n v="0"/>
  </r>
  <r>
    <d v="2020-07-13T00:00:00"/>
    <n v="662376971"/>
    <x v="3"/>
    <n v="7"/>
    <n v="4"/>
    <n v="0"/>
    <n v="0"/>
    <n v="2"/>
    <n v="2"/>
    <n v="0"/>
  </r>
  <r>
    <d v="2020-07-14T00:00:00"/>
    <n v="18799345"/>
    <x v="3"/>
    <n v="10"/>
    <n v="2"/>
    <n v="1"/>
    <n v="0"/>
    <n v="0"/>
    <n v="1"/>
    <n v="0"/>
  </r>
  <r>
    <d v="2020-07-16T00:00:00"/>
    <n v="663238565"/>
    <x v="3"/>
    <n v="9"/>
    <n v="3"/>
    <n v="0"/>
    <n v="1"/>
    <n v="1"/>
    <n v="1"/>
    <n v="0"/>
  </r>
  <r>
    <d v="2020-07-16T00:00:00"/>
    <n v="18799355"/>
    <x v="4"/>
    <n v="10"/>
    <n v="2"/>
    <n v="0"/>
    <n v="0"/>
    <n v="2"/>
    <n v="0"/>
    <n v="0"/>
  </r>
  <r>
    <d v="2020-07-19T00:00:00"/>
    <n v="18799359"/>
    <x v="3"/>
    <n v="7"/>
    <n v="2"/>
    <n v="2"/>
    <n v="0"/>
    <n v="0"/>
    <n v="0"/>
    <n v="0"/>
  </r>
  <r>
    <d v="2020-07-21T00:00:00"/>
    <n v="18799373"/>
    <x v="3"/>
    <n v="10"/>
    <n v="4"/>
    <n v="2"/>
    <n v="1"/>
    <n v="0"/>
    <n v="1"/>
    <n v="0"/>
  </r>
  <r>
    <d v="2020-07-23T00:00:00"/>
    <n v="663312307"/>
    <x v="3"/>
    <n v="7"/>
    <n v="2"/>
    <n v="0"/>
    <n v="0"/>
    <n v="1"/>
    <n v="1"/>
    <n v="0"/>
  </r>
  <r>
    <d v="2020-07-23T00:00:00"/>
    <n v="18799375"/>
    <x v="4"/>
    <n v="6"/>
    <n v="1"/>
    <n v="0"/>
    <n v="0"/>
    <n v="0"/>
    <n v="0"/>
    <n v="1"/>
  </r>
  <r>
    <d v="2020-07-26T00:00:00"/>
    <n v="18799390"/>
    <x v="4"/>
    <n v="7"/>
    <n v="2"/>
    <n v="1"/>
    <n v="0"/>
    <n v="1"/>
    <n v="0"/>
    <n v="0"/>
  </r>
  <r>
    <d v="2020-07-28T00:00:00"/>
    <n v="18799400"/>
    <x v="3"/>
    <n v="5"/>
    <n v="1"/>
    <n v="0"/>
    <n v="1"/>
    <n v="0"/>
    <n v="0"/>
    <n v="0"/>
  </r>
  <r>
    <d v="2020-07-30T00:00:00"/>
    <n v="663388126"/>
    <x v="4"/>
    <n v="8"/>
    <n v="2"/>
    <n v="0"/>
    <n v="0"/>
    <n v="2"/>
    <n v="0"/>
    <n v="0"/>
  </r>
  <r>
    <d v="2020-07-30T00:00:00"/>
    <n v="18799398"/>
    <x v="4"/>
    <n v="7"/>
    <n v="2"/>
    <n v="0"/>
    <n v="0"/>
    <n v="1"/>
    <n v="1"/>
    <n v="0"/>
  </r>
  <r>
    <d v="2020-08-04T00:00:00"/>
    <n v="18799416"/>
    <x v="4"/>
    <n v="8"/>
    <n v="3"/>
    <n v="1"/>
    <n v="0"/>
    <n v="1"/>
    <n v="1"/>
    <n v="0"/>
  </r>
  <r>
    <d v="2020-08-06T00:00:00"/>
    <n v="663465755"/>
    <x v="4"/>
    <n v="8"/>
    <n v="2"/>
    <n v="0"/>
    <n v="1"/>
    <n v="0"/>
    <n v="1"/>
    <n v="0"/>
  </r>
  <r>
    <d v="2020-08-09T00:00:00"/>
    <n v="18799434"/>
    <x v="4"/>
    <n v="9"/>
    <n v="2"/>
    <n v="0"/>
    <n v="1"/>
    <n v="1"/>
    <n v="0"/>
    <n v="0"/>
  </r>
  <r>
    <d v="2020-08-10T00:00:00"/>
    <n v="662376987"/>
    <x v="4"/>
    <n v="6"/>
    <n v="2"/>
    <n v="1"/>
    <n v="0"/>
    <n v="0"/>
    <n v="1"/>
    <n v="0"/>
  </r>
  <r>
    <d v="2020-08-11T00:00:00"/>
    <n v="18799443"/>
    <x v="5"/>
    <n v="10"/>
    <n v="2"/>
    <n v="0"/>
    <n v="0"/>
    <n v="1"/>
    <n v="1"/>
    <n v="0"/>
  </r>
  <r>
    <d v="2020-08-13T00:00:00"/>
    <n v="663544263"/>
    <x v="5"/>
    <n v="4"/>
    <n v="0"/>
    <n v="0"/>
    <n v="0"/>
    <n v="0"/>
    <n v="0"/>
    <n v="0"/>
  </r>
  <r>
    <d v="2020-08-13T00:00:00"/>
    <n v="18799451"/>
    <x v="4"/>
    <n v="9"/>
    <n v="4"/>
    <n v="0"/>
    <n v="0"/>
    <n v="2"/>
    <n v="2"/>
    <n v="0"/>
  </r>
  <r>
    <d v="2020-08-16T00:00:00"/>
    <n v="18799458"/>
    <x v="4"/>
    <n v="10"/>
    <n v="4"/>
    <n v="1"/>
    <n v="1"/>
    <n v="1"/>
    <n v="1"/>
    <n v="0"/>
  </r>
  <r>
    <d v="2021-04-22T00:00:00"/>
    <n v="21910085"/>
    <x v="6"/>
    <n v="7"/>
    <n v="3"/>
    <n v="1"/>
    <n v="0"/>
    <n v="2"/>
    <n v="0"/>
    <n v="0"/>
  </r>
  <r>
    <d v="2021-04-21T00:00:00"/>
    <n v="2185486"/>
    <x v="6"/>
    <n v="9"/>
    <n v="2"/>
    <n v="0"/>
    <n v="0"/>
    <n v="2"/>
    <n v="0"/>
    <n v="0"/>
  </r>
  <r>
    <d v="2021-04-21T00:00:00"/>
    <n v="21799788"/>
    <x v="6"/>
    <n v="8"/>
    <n v="1"/>
    <n v="0"/>
    <n v="0"/>
    <n v="1"/>
    <n v="0"/>
    <n v="0"/>
  </r>
  <r>
    <d v="2021-04-20T00:00:00"/>
    <n v="21744694"/>
    <x v="6"/>
    <n v="4"/>
    <n v="0"/>
    <n v="0"/>
    <n v="0"/>
    <n v="0"/>
    <n v="0"/>
    <n v="0"/>
  </r>
  <r>
    <d v="2021-04-20T00:00:00"/>
    <n v="21689849"/>
    <x v="6"/>
    <n v="9"/>
    <n v="3"/>
    <n v="1"/>
    <n v="0"/>
    <n v="1"/>
    <n v="1"/>
    <n v="0"/>
  </r>
  <r>
    <d v="2021-04-19T00:00:00"/>
    <n v="21013089"/>
    <x v="6"/>
    <n v="5"/>
    <n v="2"/>
    <n v="0"/>
    <n v="0"/>
    <n v="2"/>
    <n v="0"/>
    <n v="0"/>
  </r>
  <r>
    <d v="2021-04-19T00:00:00"/>
    <n v="21634050"/>
    <x v="6"/>
    <n v="5"/>
    <n v="2"/>
    <n v="0"/>
    <n v="1"/>
    <n v="0"/>
    <n v="1"/>
    <n v="0"/>
  </r>
  <r>
    <d v="2021-04-20T00:00:00"/>
    <n v="21689849"/>
    <x v="6"/>
    <n v="9"/>
    <n v="3"/>
    <n v="1"/>
    <n v="0"/>
    <n v="1"/>
    <n v="1"/>
    <n v="0"/>
  </r>
  <r>
    <d v="2021-04-20T00:00:00"/>
    <n v="21744694"/>
    <x v="6"/>
    <n v="4"/>
    <n v="0"/>
    <n v="0"/>
    <n v="0"/>
    <n v="0"/>
    <n v="0"/>
    <n v="0"/>
  </r>
  <r>
    <d v="2021-04-21T00:00:00"/>
    <n v="21799788"/>
    <x v="6"/>
    <n v="8"/>
    <n v="1"/>
    <n v="0"/>
    <n v="0"/>
    <n v="1"/>
    <n v="0"/>
    <n v="0"/>
  </r>
  <r>
    <d v="2021-04-21T00:00:00"/>
    <n v="21854386"/>
    <x v="6"/>
    <n v="9"/>
    <n v="2"/>
    <n v="0"/>
    <n v="0"/>
    <n v="2"/>
    <n v="0"/>
    <n v="0"/>
  </r>
  <r>
    <d v="2021-04-22T00:00:00"/>
    <n v="21910085"/>
    <x v="6"/>
    <n v="7"/>
    <n v="3"/>
    <n v="1"/>
    <n v="0"/>
    <n v="2"/>
    <n v="0"/>
    <n v="0"/>
  </r>
  <r>
    <m/>
    <m/>
    <x v="7"/>
    <m/>
    <m/>
    <m/>
    <m/>
    <m/>
    <m/>
    <m/>
  </r>
  <r>
    <m/>
    <m/>
    <x v="7"/>
    <m/>
    <m/>
    <m/>
    <m/>
    <m/>
    <m/>
    <m/>
  </r>
  <r>
    <m/>
    <m/>
    <x v="7"/>
    <m/>
    <m/>
    <m/>
    <m/>
    <m/>
    <m/>
    <m/>
  </r>
  <r>
    <m/>
    <m/>
    <x v="7"/>
    <m/>
    <m/>
    <m/>
    <m/>
    <m/>
    <m/>
    <m/>
  </r>
  <r>
    <m/>
    <m/>
    <x v="7"/>
    <m/>
    <m/>
    <m/>
    <m/>
    <m/>
    <m/>
    <m/>
  </r>
  <r>
    <m/>
    <m/>
    <x v="7"/>
    <m/>
    <m/>
    <m/>
    <m/>
    <m/>
    <m/>
    <m/>
  </r>
  <r>
    <m/>
    <m/>
    <x v="7"/>
    <m/>
    <m/>
    <m/>
    <m/>
    <m/>
    <m/>
    <m/>
  </r>
  <r>
    <m/>
    <m/>
    <x v="7"/>
    <m/>
    <m/>
    <m/>
    <m/>
    <m/>
    <m/>
    <m/>
  </r>
  <r>
    <m/>
    <m/>
    <x v="7"/>
    <m/>
    <m/>
    <m/>
    <m/>
    <m/>
    <m/>
    <m/>
  </r>
  <r>
    <m/>
    <m/>
    <x v="7"/>
    <m/>
    <m/>
    <m/>
    <m/>
    <m/>
    <m/>
    <m/>
  </r>
  <r>
    <m/>
    <m/>
    <x v="7"/>
    <m/>
    <m/>
    <m/>
    <m/>
    <m/>
    <m/>
    <m/>
  </r>
  <r>
    <m/>
    <m/>
    <x v="7"/>
    <m/>
    <m/>
    <m/>
    <m/>
    <m/>
    <m/>
    <m/>
  </r>
  <r>
    <m/>
    <m/>
    <x v="7"/>
    <m/>
    <m/>
    <m/>
    <m/>
    <m/>
    <m/>
    <m/>
  </r>
  <r>
    <m/>
    <m/>
    <x v="7"/>
    <m/>
    <m/>
    <m/>
    <m/>
    <m/>
    <m/>
    <m/>
  </r>
  <r>
    <m/>
    <m/>
    <x v="7"/>
    <m/>
    <m/>
    <m/>
    <m/>
    <m/>
    <m/>
    <m/>
  </r>
  <r>
    <m/>
    <m/>
    <x v="7"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">
  <r>
    <d v="2020-05-18T00:00:00"/>
    <x v="0"/>
    <n v="1"/>
    <n v="0"/>
  </r>
  <r>
    <d v="2020-05-18T00:00:00"/>
    <x v="1"/>
    <n v="1"/>
    <n v="0"/>
  </r>
  <r>
    <d v="2020-05-18T00:00:00"/>
    <x v="2"/>
    <n v="0"/>
    <n v="2"/>
  </r>
  <r>
    <d v="2020-05-18T00:00:00"/>
    <x v="3"/>
    <n v="0"/>
    <n v="1"/>
  </r>
  <r>
    <d v="2020-05-19T00:00:00"/>
    <x v="4"/>
    <n v="1"/>
    <n v="1"/>
  </r>
  <r>
    <d v="2020-05-19T00:00:00"/>
    <x v="5"/>
    <n v="1"/>
    <n v="1"/>
  </r>
  <r>
    <d v="2020-05-21T00:00:00"/>
    <x v="6"/>
    <n v="1"/>
    <n v="0"/>
  </r>
  <r>
    <d v="2020-05-21T00:00:00"/>
    <x v="0"/>
    <n v="0"/>
    <n v="1"/>
  </r>
  <r>
    <d v="2020-05-21T00:00:00"/>
    <x v="7"/>
    <n v="0"/>
    <n v="1"/>
  </r>
  <r>
    <d v="2020-05-25T00:00:00"/>
    <x v="4"/>
    <n v="0"/>
    <n v="1"/>
  </r>
  <r>
    <d v="2020-05-26T00:00:00"/>
    <x v="8"/>
    <n v="0"/>
    <n v="1"/>
  </r>
  <r>
    <d v="2020-05-27T00:00:00"/>
    <x v="0"/>
    <n v="1"/>
    <n v="0"/>
  </r>
  <r>
    <d v="2020-05-27T00:00:00"/>
    <x v="5"/>
    <n v="1"/>
    <n v="0"/>
  </r>
  <r>
    <d v="2020-05-27T00:00:00"/>
    <x v="7"/>
    <n v="1"/>
    <n v="0"/>
  </r>
  <r>
    <d v="2020-05-28T00:00:00"/>
    <x v="4"/>
    <n v="1"/>
    <n v="1"/>
  </r>
  <r>
    <d v="2020-05-28T00:00:00"/>
    <x v="0"/>
    <n v="0"/>
    <n v="1"/>
  </r>
  <r>
    <d v="2020-05-28T00:00:00"/>
    <x v="9"/>
    <n v="0"/>
    <n v="1"/>
  </r>
  <r>
    <d v="2020-05-28T00:00:00"/>
    <x v="10"/>
    <n v="1"/>
    <n v="1"/>
  </r>
  <r>
    <d v="2020-05-31T00:00:00"/>
    <x v="8"/>
    <n v="1"/>
    <n v="0"/>
  </r>
  <r>
    <d v="2020-06-08T00:00:00"/>
    <x v="11"/>
    <n v="0"/>
    <n v="1"/>
  </r>
  <r>
    <d v="2020-06-08T00:00:00"/>
    <x v="5"/>
    <n v="0"/>
    <n v="1"/>
  </r>
  <r>
    <d v="2020-06-08T00:00:00"/>
    <x v="8"/>
    <n v="0"/>
    <n v="1"/>
  </r>
  <r>
    <d v="2020-06-15T00:00:00"/>
    <x v="10"/>
    <n v="1"/>
    <n v="0"/>
  </r>
  <r>
    <d v="2020-06-18T00:00:00"/>
    <x v="4"/>
    <n v="0"/>
    <n v="1"/>
  </r>
  <r>
    <d v="2020-06-22T00:00:00"/>
    <x v="12"/>
    <n v="1"/>
    <n v="0"/>
  </r>
  <r>
    <d v="2020-06-22T00:00:00"/>
    <x v="7"/>
    <n v="1"/>
    <n v="0"/>
  </r>
  <r>
    <d v="2020-06-22T00:00:00"/>
    <x v="10"/>
    <n v="0"/>
    <n v="1"/>
  </r>
  <r>
    <d v="2020-06-23T00:00:00"/>
    <x v="13"/>
    <n v="0"/>
    <n v="1"/>
  </r>
  <r>
    <d v="2020-06-25T00:00:00"/>
    <x v="4"/>
    <n v="2"/>
    <n v="0"/>
  </r>
  <r>
    <d v="2020-06-25T00:00:00"/>
    <x v="5"/>
    <n v="1"/>
    <n v="0"/>
  </r>
  <r>
    <d v="2020-06-28T00:00:00"/>
    <x v="6"/>
    <n v="1"/>
    <n v="0"/>
  </r>
  <r>
    <d v="2020-06-28T00:00:00"/>
    <x v="4"/>
    <n v="1"/>
    <n v="0"/>
  </r>
  <r>
    <d v="2020-06-30T00:00:00"/>
    <x v="4"/>
    <n v="1"/>
    <n v="0"/>
  </r>
  <r>
    <d v="2020-06-30T00:00:00"/>
    <x v="11"/>
    <n v="1"/>
    <n v="0"/>
  </r>
  <r>
    <d v="2020-06-30T00:00:00"/>
    <x v="10"/>
    <n v="0"/>
    <n v="1"/>
  </r>
  <r>
    <d v="2020-07-02T00:00:00"/>
    <x v="0"/>
    <n v="1"/>
    <n v="0"/>
  </r>
  <r>
    <d v="2020-07-02T00:00:00"/>
    <x v="9"/>
    <n v="0"/>
    <n v="1"/>
  </r>
  <r>
    <d v="2020-07-02T00:00:00"/>
    <x v="11"/>
    <n v="0"/>
    <n v="1"/>
  </r>
  <r>
    <d v="2020-07-02T00:00:00"/>
    <x v="7"/>
    <n v="1"/>
    <n v="0"/>
  </r>
  <r>
    <d v="2020-07-02T00:00:00"/>
    <x v="2"/>
    <n v="1"/>
    <n v="0"/>
  </r>
  <r>
    <d v="2020-07-02T00:00:00"/>
    <x v="10"/>
    <n v="0"/>
    <n v="1"/>
  </r>
  <r>
    <d v="2020-07-05T00:00:00"/>
    <x v="12"/>
    <n v="0"/>
    <n v="1"/>
  </r>
  <r>
    <d v="2020-07-06T00:00:00"/>
    <x v="11"/>
    <n v="1"/>
    <n v="0"/>
  </r>
  <r>
    <d v="2020-07-07T00:00:00"/>
    <x v="11"/>
    <n v="1"/>
    <n v="0"/>
  </r>
  <r>
    <d v="2020-07-07T00:00:00"/>
    <x v="14"/>
    <n v="1"/>
    <n v="1"/>
  </r>
  <r>
    <d v="2020-07-07T00:00:00"/>
    <x v="10"/>
    <n v="1"/>
    <n v="0"/>
  </r>
  <r>
    <d v="2020-07-09T00:00:00"/>
    <x v="6"/>
    <n v="0"/>
    <n v="1"/>
  </r>
  <r>
    <d v="2020-07-09T00:00:00"/>
    <x v="9"/>
    <n v="0"/>
    <n v="1"/>
  </r>
  <r>
    <d v="2020-07-09T00:00:00"/>
    <x v="11"/>
    <n v="1"/>
    <n v="0"/>
  </r>
  <r>
    <d v="2020-07-09T00:00:00"/>
    <x v="15"/>
    <n v="0"/>
    <n v="1"/>
  </r>
  <r>
    <d v="2020-07-09T00:00:00"/>
    <x v="1"/>
    <n v="1"/>
    <n v="0"/>
  </r>
  <r>
    <d v="2020-07-09T00:00:00"/>
    <x v="8"/>
    <n v="1"/>
    <n v="0"/>
  </r>
  <r>
    <d v="2020-07-12T00:00:00"/>
    <x v="9"/>
    <n v="1"/>
    <n v="1"/>
  </r>
  <r>
    <d v="2020-07-12T00:00:00"/>
    <x v="8"/>
    <n v="1"/>
    <n v="0"/>
  </r>
  <r>
    <d v="2020-07-13T00:00:00"/>
    <x v="4"/>
    <n v="3"/>
    <n v="2"/>
  </r>
  <r>
    <d v="2020-07-13T00:00:00"/>
    <x v="5"/>
    <n v="2"/>
    <n v="1"/>
  </r>
  <r>
    <d v="2020-07-13T00:00:00"/>
    <x v="15"/>
    <n v="1"/>
    <n v="1"/>
  </r>
  <r>
    <d v="2020-07-13T00:00:00"/>
    <x v="10"/>
    <n v="1"/>
    <n v="0"/>
  </r>
  <r>
    <d v="2020-07-14T00:00:00"/>
    <x v="9"/>
    <n v="0"/>
    <n v="1"/>
  </r>
  <r>
    <d v="2020-07-14T00:00:00"/>
    <x v="8"/>
    <n v="1"/>
    <n v="1"/>
  </r>
  <r>
    <d v="2020-07-16T00:00:00"/>
    <x v="11"/>
    <n v="1"/>
    <n v="2"/>
  </r>
  <r>
    <d v="2020-07-16T00:00:00"/>
    <x v="5"/>
    <n v="1"/>
    <n v="0"/>
  </r>
  <r>
    <d v="2020-07-16T00:00:00"/>
    <x v="2"/>
    <n v="1"/>
    <n v="0"/>
  </r>
  <r>
    <d v="2020-07-19T00:00:00"/>
    <x v="9"/>
    <n v="1"/>
    <n v="0"/>
  </r>
  <r>
    <d v="2020-07-19T00:00:00"/>
    <x v="1"/>
    <n v="1"/>
    <n v="0"/>
  </r>
  <r>
    <d v="2020-07-21T00:00:00"/>
    <x v="6"/>
    <n v="1"/>
    <n v="0"/>
  </r>
  <r>
    <d v="2020-07-21T00:00:00"/>
    <x v="12"/>
    <n v="0"/>
    <n v="1"/>
  </r>
  <r>
    <d v="2020-07-21T00:00:00"/>
    <x v="1"/>
    <n v="1"/>
    <n v="1"/>
  </r>
  <r>
    <d v="2020-07-23T00:00:00"/>
    <x v="11"/>
    <n v="1"/>
    <n v="0"/>
  </r>
  <r>
    <d v="2020-07-23T00:00:00"/>
    <x v="5"/>
    <n v="1"/>
    <n v="0"/>
  </r>
  <r>
    <d v="2020-07-23T00:00:00"/>
    <x v="15"/>
    <n v="1"/>
    <n v="0"/>
  </r>
  <r>
    <d v="2020-07-26T00:00:00"/>
    <x v="4"/>
    <n v="0"/>
    <n v="1"/>
  </r>
  <r>
    <d v="2020-07-26T00:00:00"/>
    <x v="9"/>
    <n v="0"/>
    <n v="1"/>
  </r>
  <r>
    <d v="2020-07-28T00:00:00"/>
    <x v="14"/>
    <n v="0"/>
    <n v="1"/>
  </r>
  <r>
    <d v="2020-07-30T00:00:00"/>
    <x v="4"/>
    <n v="0"/>
    <n v="1"/>
  </r>
  <r>
    <d v="2020-07-30T00:00:00"/>
    <x v="11"/>
    <n v="0"/>
    <n v="2"/>
  </r>
  <r>
    <d v="2020-07-30T00:00:00"/>
    <x v="8"/>
    <n v="0"/>
    <n v="1"/>
  </r>
  <r>
    <d v="2020-08-04T00:00:00"/>
    <x v="9"/>
    <n v="1"/>
    <n v="0"/>
  </r>
  <r>
    <d v="2020-08-04T00:00:00"/>
    <x v="11"/>
    <n v="1"/>
    <n v="0"/>
  </r>
  <r>
    <d v="2020-08-04T00:00:00"/>
    <x v="5"/>
    <n v="0"/>
    <n v="1"/>
  </r>
  <r>
    <d v="2020-08-06T00:00:00"/>
    <x v="8"/>
    <n v="1"/>
    <n v="0"/>
  </r>
  <r>
    <d v="2020-08-06T00:00:00"/>
    <x v="14"/>
    <n v="0"/>
    <n v="1"/>
  </r>
  <r>
    <d v="2020-08-10T00:00:00"/>
    <x v="15"/>
    <n v="2"/>
    <n v="1"/>
  </r>
  <r>
    <d v="2020-08-10T00:00:00"/>
    <x v="2"/>
    <n v="0"/>
    <n v="1"/>
  </r>
  <r>
    <d v="2020-08-09T00:00:00"/>
    <x v="14"/>
    <n v="1"/>
    <n v="0"/>
  </r>
  <r>
    <d v="2020-08-09T00:00:00"/>
    <x v="11"/>
    <n v="1"/>
    <n v="0"/>
  </r>
  <r>
    <d v="2020-08-11T00:00:00"/>
    <x v="8"/>
    <n v="1"/>
    <n v="0"/>
  </r>
  <r>
    <d v="2020-08-11T00:00:00"/>
    <x v="4"/>
    <n v="0"/>
    <n v="1"/>
  </r>
  <r>
    <d v="2020-08-13T00:00:00"/>
    <x v="8"/>
    <n v="1"/>
    <n v="0"/>
  </r>
  <r>
    <d v="2020-08-13T00:00:00"/>
    <x v="5"/>
    <n v="1"/>
    <n v="0"/>
  </r>
  <r>
    <d v="2020-08-13T00:00:00"/>
    <x v="11"/>
    <n v="0"/>
    <n v="1"/>
  </r>
  <r>
    <d v="2020-08-13T00:00:00"/>
    <x v="10"/>
    <n v="1"/>
    <n v="0"/>
  </r>
  <r>
    <d v="2020-08-16T00:00:00"/>
    <x v="5"/>
    <n v="1"/>
    <n v="0"/>
  </r>
  <r>
    <d v="2020-08-16T00:00:00"/>
    <x v="11"/>
    <n v="1"/>
    <n v="0"/>
  </r>
  <r>
    <d v="2020-08-16T00:00:00"/>
    <x v="6"/>
    <n v="0"/>
    <n v="1"/>
  </r>
  <r>
    <d v="2020-08-16T00:00:00"/>
    <x v="12"/>
    <n v="1"/>
    <n v="0"/>
  </r>
  <r>
    <d v="2021-04-22T00:00:00"/>
    <x v="16"/>
    <n v="0"/>
    <n v="1"/>
  </r>
  <r>
    <d v="2021-04-20T00:00:00"/>
    <x v="16"/>
    <n v="0"/>
    <n v="1"/>
  </r>
  <r>
    <d v="2021-04-20T00:00:00"/>
    <x v="15"/>
    <n v="0"/>
    <n v="1"/>
  </r>
  <r>
    <d v="2021-04-20T00:00:00"/>
    <x v="9"/>
    <n v="0"/>
    <n v="1"/>
  </r>
  <r>
    <d v="2021-04-21T00:00:00"/>
    <x v="4"/>
    <n v="1"/>
    <n v="0"/>
  </r>
  <r>
    <d v="2021-04-21T00:00:00"/>
    <x v="4"/>
    <n v="1"/>
    <n v="0"/>
  </r>
  <r>
    <d v="2021-04-21T00:00:00"/>
    <x v="5"/>
    <n v="0"/>
    <n v="1"/>
  </r>
  <r>
    <d v="2021-04-22T00:00:00"/>
    <x v="4"/>
    <n v="1"/>
    <n v="1"/>
  </r>
  <r>
    <d v="2021-04-22T00:00:00"/>
    <x v="14"/>
    <n v="1"/>
    <n v="0"/>
  </r>
  <r>
    <m/>
    <x v="17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142865-A7F9-4A12-B628-F0CBB7EFC9A1}" name="TablaDinámica1" cacheId="62" applyNumberFormats="0" applyBorderFormats="0" applyFontFormats="0" applyPatternFormats="0" applyAlignmentFormats="0" applyWidthHeightFormats="1" dataCaption="Valores" grandTotalCaption="Total" updatedVersion="6" minRefreshableVersion="3" useAutoFormatting="1" itemPrintTitles="1" createdVersion="6" indent="0" outline="1" outlineData="1" multipleFieldFilters="0" chartFormat="5" rowHeaderCaption="Tactica">
  <location ref="Q1:S9" firstHeaderRow="0" firstDataRow="1" firstDataCol="1"/>
  <pivotFields count="11">
    <pivotField showAll="0"/>
    <pivotField showAll="0"/>
    <pivotField axis="axisRow" showAll="0">
      <items count="9">
        <item x="1"/>
        <item x="0"/>
        <item x="2"/>
        <item h="1" x="7"/>
        <item x="3"/>
        <item x="4"/>
        <item x="5"/>
        <item x="6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</pivotFields>
  <rowFields count="1">
    <field x="2"/>
  </rowFields>
  <rowItems count="8">
    <i>
      <x/>
    </i>
    <i>
      <x v="1"/>
    </i>
    <i>
      <x v="2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Ocasiones" fld="3" baseField="0" baseItem="0"/>
    <dataField name="%_Conv_TL" fld="10" baseField="0" baseItem="0"/>
  </dataFields>
  <formats count="18">
    <format dxfId="38">
      <pivotArea collapsedLevelsAreSubtotals="1" fieldPosition="0">
        <references count="2">
          <reference field="4294967294" count="1" selected="0">
            <x v="1"/>
          </reference>
          <reference field="2" count="3">
            <x v="0"/>
            <x v="1"/>
            <x v="2"/>
          </reference>
        </references>
      </pivotArea>
    </format>
    <format dxfId="37">
      <pivotArea field="2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3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5">
      <pivotArea type="all" dataOnly="0" outline="0" fieldPosition="0"/>
    </format>
    <format dxfId="34">
      <pivotArea field="2" type="button" dataOnly="0" labelOnly="1" outline="0" axis="axisRow" fieldPosition="0"/>
    </format>
    <format dxfId="33">
      <pivotArea dataOnly="0" labelOnly="1" grandRow="1" outline="0" fieldPosition="0"/>
    </format>
    <format dxfId="32">
      <pivotArea collapsedLevelsAreSubtotals="1" fieldPosition="0">
        <references count="2">
          <reference field="4294967294" count="1" selected="0">
            <x v="1"/>
          </reference>
          <reference field="2" count="1">
            <x v="4"/>
          </reference>
        </references>
      </pivotArea>
    </format>
    <format dxfId="31">
      <pivotArea collapsedLevelsAreSubtotals="1" fieldPosition="0">
        <references count="2">
          <reference field="4294967294" count="1" selected="0">
            <x v="1"/>
          </reference>
          <reference field="2" count="1">
            <x v="5"/>
          </reference>
        </references>
      </pivotArea>
    </format>
    <format dxfId="30">
      <pivotArea field="2" type="button" dataOnly="0" labelOnly="1" outline="0" axis="axisRow" fieldPosition="0"/>
    </format>
    <format dxfId="29">
      <pivotArea grandRow="1" outline="0" collapsedLevelsAreSubtotals="1" fieldPosition="0"/>
    </format>
    <format dxfId="28">
      <pivotArea dataOnly="0" labelOnly="1" grandRow="1" outline="0" fieldPosition="0"/>
    </format>
    <format dxfId="27">
      <pivotArea type="all" dataOnly="0" outline="0" fieldPosition="0"/>
    </format>
    <format dxfId="26">
      <pivotArea outline="0" collapsedLevelsAreSubtotals="1" fieldPosition="0"/>
    </format>
    <format dxfId="25">
      <pivotArea field="2" type="button" dataOnly="0" labelOnly="1" outline="0" axis="axisRow" fieldPosition="0"/>
    </format>
    <format dxfId="24">
      <pivotArea dataOnly="0" labelOnly="1" fieldPosition="0">
        <references count="1">
          <reference field="2" count="0"/>
        </references>
      </pivotArea>
    </format>
    <format dxfId="23">
      <pivotArea dataOnly="0" labelOnly="1" grandRow="1" outline="0" fieldPosition="0"/>
    </format>
    <format dxfId="2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1">
      <pivotArea collapsedLevelsAreSubtotals="1" fieldPosition="0">
        <references count="2">
          <reference field="4294967294" count="1" selected="0">
            <x v="1"/>
          </reference>
          <reference field="2" count="2">
            <x v="6"/>
            <x v="7"/>
          </reference>
        </references>
      </pivotArea>
    </format>
  </format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4C6638-2AB9-48F3-B1DB-1D15BB9F811C}" name="TablaDinámica4" cacheId="63" applyNumberFormats="0" applyBorderFormats="0" applyFontFormats="0" applyPatternFormats="0" applyAlignmentFormats="0" applyWidthHeightFormats="1" dataCaption="Valores" grandTotalCaption="Total" updatedVersion="6" minRefreshableVersion="3" useAutoFormatting="1" itemPrintTitles="1" createdVersion="6" indent="0" outline="1" outlineData="1" multipleFieldFilters="0" rowHeaderCaption="Jugador">
  <location ref="Q15:T33" firstHeaderRow="0" firstDataRow="1" firstDataCol="1"/>
  <pivotFields count="5">
    <pivotField showAll="0"/>
    <pivotField axis="axisRow" showAll="0" sortType="descending">
      <items count="19">
        <item x="6"/>
        <item x="0"/>
        <item x="15"/>
        <item x="8"/>
        <item x="10"/>
        <item x="11"/>
        <item x="14"/>
        <item x="4"/>
        <item x="3"/>
        <item x="5"/>
        <item x="12"/>
        <item x="13"/>
        <item x="1"/>
        <item x="2"/>
        <item x="7"/>
        <item x="9"/>
        <item h="1" x="17"/>
        <item x="16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dataField="1" showAll="0"/>
    <pivotField dataField="1" showAll="0"/>
    <pivotField dataField="1" dragToRow="0" dragToCol="0" dragToPage="0" showAll="0" defaultSubtotal="0"/>
  </pivotFields>
  <rowFields count="1">
    <field x="1"/>
  </rowFields>
  <rowItems count="18">
    <i>
      <x v="12"/>
    </i>
    <i>
      <x v="14"/>
    </i>
    <i>
      <x v="9"/>
    </i>
    <i>
      <x v="3"/>
    </i>
    <i>
      <x/>
    </i>
    <i>
      <x v="1"/>
    </i>
    <i>
      <x v="5"/>
    </i>
    <i>
      <x v="4"/>
    </i>
    <i>
      <x v="7"/>
    </i>
    <i>
      <x v="2"/>
    </i>
    <i>
      <x v="6"/>
    </i>
    <i>
      <x v="10"/>
    </i>
    <i>
      <x v="13"/>
    </i>
    <i>
      <x v="15"/>
    </i>
    <i>
      <x v="11"/>
    </i>
    <i>
      <x v="1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Gol" fld="2" baseField="0" baseItem="0"/>
    <dataField name="Suma de Error" fld="3" baseField="0" baseItem="0"/>
    <dataField name="Suma de %_Gol" fld="4" baseField="0" baseItem="0" numFmtId="9"/>
  </dataFields>
  <formats count="11">
    <format dxfId="49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48">
      <pivotArea field="1" type="button" dataOnly="0" labelOnly="1" outline="0" axis="axisRow" fieldPosition="0"/>
    </format>
    <format dxfId="4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6">
      <pivotArea grandRow="1" outline="0" collapsedLevelsAreSubtotals="1" fieldPosition="0"/>
    </format>
    <format dxfId="45">
      <pivotArea dataOnly="0" labelOnly="1" grandRow="1" outline="0" fieldPosition="0"/>
    </format>
    <format dxfId="44">
      <pivotArea type="all" dataOnly="0" outline="0" fieldPosition="0"/>
    </format>
    <format dxfId="43">
      <pivotArea outline="0" collapsedLevelsAreSubtotals="1" fieldPosition="0"/>
    </format>
    <format dxfId="42">
      <pivotArea field="1" type="button" dataOnly="0" labelOnly="1" outline="0" axis="axisRow" fieldPosition="0"/>
    </format>
    <format dxfId="41">
      <pivotArea dataOnly="0" labelOnly="1" fieldPosition="0">
        <references count="1">
          <reference field="1" count="0"/>
        </references>
      </pivotArea>
    </format>
    <format dxfId="40">
      <pivotArea dataOnly="0" labelOnly="1" grandRow="1" outline="0" fieldPosition="0"/>
    </format>
    <format dxfId="3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6124FB-EC83-4CB9-9D49-E4BF7F307734}" name="TablaDinámica2" cacheId="6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V1:Z2" firstHeaderRow="0" firstDataRow="1" firstDataCol="0"/>
  <pivotFields count="11">
    <pivotField showAll="0"/>
    <pivotField showAll="0"/>
    <pivotField showAll="0">
      <items count="9">
        <item x="1"/>
        <item x="0"/>
        <item x="2"/>
        <item h="1" x="7"/>
        <item h="1" x="3"/>
        <item h="1" x="4"/>
        <item h="1" x="5"/>
        <item h="1" x="6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ragToRow="0" dragToCol="0" dragToPage="0" showAll="0" defaultSubtota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a de DL" fld="5" baseField="0" baseItem="0"/>
    <dataField name="Suma de DC" fld="6" baseField="0" baseItem="0"/>
    <dataField name="Suma de MC" fld="7" baseField="0" baseItem="0"/>
    <dataField name="Suma de EXT" fld="8" baseField="0" baseItem="0"/>
    <dataField name="Suma de DAV" fld="9" baseField="0" baseItem="0"/>
  </dataFields>
  <formats count="5">
    <format dxfId="54">
      <pivotArea type="all" dataOnly="0" outline="0" fieldPosition="0"/>
    </format>
    <format dxfId="53">
      <pivotArea outline="0" collapsedLevelsAreSubtotals="1" fieldPosition="0"/>
    </format>
    <format dxfId="52">
      <pivotArea field="2" type="button" dataOnly="0" labelOnly="1" outline="0"/>
    </format>
    <format dxfId="51">
      <pivotArea dataOnly="0" labelOnly="1" grandRow="1" outline="0" fieldPosition="0"/>
    </format>
    <format dxfId="5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0.79998168889431442"/>
  </sheetPr>
  <dimension ref="A22"/>
  <sheetViews>
    <sheetView workbookViewId="0">
      <selection activeCell="E21" sqref="E21"/>
    </sheetView>
  </sheetViews>
  <sheetFormatPr baseColWidth="10" defaultColWidth="10.7109375" defaultRowHeight="15" x14ac:dyDescent="0.25"/>
  <sheetData>
    <row r="22" spans="1:1" x14ac:dyDescent="0.25">
      <c r="A22" s="73">
        <v>44308</v>
      </c>
    </row>
  </sheetData>
  <pageMargins left="0.7" right="0.7" top="0.75" bottom="0.75" header="0.3" footer="0.3"/>
  <pageSetup paperSize="9" fitToWidth="0" pageOrder="overThenDown"/>
  <drawing r:id="rId1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E4DFEC"/>
  </sheetPr>
  <dimension ref="A1:Y32"/>
  <sheetViews>
    <sheetView workbookViewId="0">
      <selection activeCell="G19" sqref="G19"/>
    </sheetView>
  </sheetViews>
  <sheetFormatPr baseColWidth="10" defaultColWidth="11.42578125" defaultRowHeight="15" x14ac:dyDescent="0.25"/>
  <cols>
    <col min="1" max="1" width="15.140625" customWidth="1"/>
    <col min="2" max="3" width="6.5703125" customWidth="1"/>
    <col min="4" max="4" width="6.5703125" style="3" customWidth="1"/>
    <col min="5" max="6" width="6.5703125" customWidth="1"/>
    <col min="8" max="8" width="13.28515625" customWidth="1"/>
    <col min="9" max="9" width="5.85546875" customWidth="1"/>
    <col min="10" max="11" width="5.5703125" customWidth="1"/>
    <col min="13" max="13" width="15.140625" customWidth="1"/>
    <col min="14" max="14" width="4.5703125" customWidth="1"/>
    <col min="15" max="15" width="3.5703125" customWidth="1"/>
    <col min="16" max="16" width="4.5703125" customWidth="1"/>
    <col min="17" max="18" width="5.5703125" customWidth="1"/>
    <col min="21" max="21" width="15.140625" customWidth="1"/>
    <col min="22" max="23" width="5.5703125" customWidth="1"/>
    <col min="24" max="24" width="6.5703125" customWidth="1"/>
    <col min="25" max="25" width="5.5703125" customWidth="1"/>
  </cols>
  <sheetData>
    <row r="1" spans="1:25" ht="18.75" x14ac:dyDescent="0.3">
      <c r="A1" s="113" t="s">
        <v>84</v>
      </c>
      <c r="B1" s="113" t="s">
        <v>37</v>
      </c>
      <c r="C1" s="113" t="s">
        <v>170</v>
      </c>
      <c r="D1" s="93" t="s">
        <v>276</v>
      </c>
      <c r="E1" s="93" t="s">
        <v>277</v>
      </c>
      <c r="F1" s="93" t="s">
        <v>278</v>
      </c>
      <c r="M1" s="186" t="str">
        <f>PLANTILLA!D3</f>
        <v>Jugador</v>
      </c>
      <c r="N1" s="186" t="s">
        <v>90</v>
      </c>
      <c r="O1" s="186" t="str">
        <f>PLANTILLA!AC3</f>
        <v>An</v>
      </c>
      <c r="P1" s="186" t="str">
        <f>PLANTILLA!AD3</f>
        <v>PA</v>
      </c>
      <c r="Q1" s="186" t="str">
        <f>PLANTILLA!AH3</f>
        <v>TL</v>
      </c>
      <c r="R1" s="186" t="str">
        <f>PLANTILLA!AI3</f>
        <v>PEN</v>
      </c>
      <c r="U1" s="554" t="s">
        <v>279</v>
      </c>
      <c r="V1" s="554"/>
      <c r="W1" s="554"/>
      <c r="X1" s="554"/>
      <c r="Y1" s="554"/>
    </row>
    <row r="2" spans="1:25" x14ac:dyDescent="0.25">
      <c r="A2" t="str">
        <f>PLANTILLA!D4</f>
        <v>D. Gehmacher</v>
      </c>
      <c r="B2" s="71">
        <f ca="1">PLANTILLA!Y4++PLANTILLA!J4+PLANTILLA!P4</f>
        <v>6.8584850188786497</v>
      </c>
      <c r="C2" s="71">
        <f ca="1">PLANTILLA!AB4+PLANTILLA!J4+PLANTILLA!P4</f>
        <v>2.9084850188786495</v>
      </c>
      <c r="D2" s="106">
        <f t="shared" ref="D2:D3" ca="1" si="0">(C2*2+B2)/8</f>
        <v>1.5844318820794936</v>
      </c>
      <c r="E2" s="71">
        <f ca="1">D2*PLANTILLA!R4</f>
        <v>1.3390893464669953</v>
      </c>
      <c r="F2" s="71">
        <f ca="1">D2*PLANTILLA!S4</f>
        <v>1.4656759576489076</v>
      </c>
      <c r="M2" t="str">
        <f>PLANTILLA!D4</f>
        <v>D. Gehmacher</v>
      </c>
      <c r="N2" s="47">
        <f>PLANTILLA!J4</f>
        <v>1.9084850188786497</v>
      </c>
      <c r="O2" s="71">
        <f>PLANTILLA!AC4</f>
        <v>0</v>
      </c>
      <c r="P2" s="71">
        <f>PLANTILLA!AD4</f>
        <v>14.95</v>
      </c>
      <c r="Q2" s="71">
        <f ca="1">PLANTILLA!AH4</f>
        <v>5.9585503831964655</v>
      </c>
      <c r="R2" s="47">
        <f ca="1">PLANTILLA!AI4</f>
        <v>11.302657764253366</v>
      </c>
      <c r="U2" t="str">
        <f>M15</f>
        <v>I. Vanags</v>
      </c>
      <c r="V2" s="114">
        <f>N15</f>
        <v>1.0471064466810227</v>
      </c>
      <c r="W2" s="114">
        <f>O15</f>
        <v>7.6818181818181817</v>
      </c>
      <c r="X2" s="114">
        <f>P15</f>
        <v>19</v>
      </c>
      <c r="Y2" s="114"/>
    </row>
    <row r="3" spans="1:25" x14ac:dyDescent="0.25">
      <c r="A3" t="str">
        <f>PLANTILLA!D5</f>
        <v>L. Guangwei</v>
      </c>
      <c r="B3" s="71">
        <f ca="1">PLANTILLA!Y5++PLANTILLA!J5+PLANTILLA!P5</f>
        <v>8.7667483511889337</v>
      </c>
      <c r="C3" s="71">
        <f ca="1">PLANTILLA!AB5+PLANTILLA!J5+PLANTILLA!P5</f>
        <v>7.1667483511889332</v>
      </c>
      <c r="D3" s="106">
        <f t="shared" ca="1" si="0"/>
        <v>2.8875306316958502</v>
      </c>
      <c r="E3" s="71">
        <f ca="1">D3*PLANTILLA!R5</f>
        <v>2.8875306316958502</v>
      </c>
      <c r="F3" s="71">
        <f ca="1">D3*PLANTILLA!S5</f>
        <v>2.8875306316958502</v>
      </c>
      <c r="M3" t="str">
        <f>PLANTILLA!D5</f>
        <v>L. Guangwei</v>
      </c>
      <c r="N3" s="47">
        <f>PLANTILLA!J5</f>
        <v>1.1667483511889334</v>
      </c>
      <c r="O3" s="71">
        <f>PLANTILLA!AC5</f>
        <v>5</v>
      </c>
      <c r="P3" s="71">
        <f>PLANTILLA!AD5</f>
        <v>21.5</v>
      </c>
      <c r="Q3" s="71">
        <f ca="1">PLANTILLA!AH5</f>
        <v>17.313513856127543</v>
      </c>
      <c r="R3" s="47">
        <f ca="1">PLANTILLA!AI5</f>
        <v>18.716748351188929</v>
      </c>
      <c r="U3" t="str">
        <f t="shared" ref="U3:U5" si="1">M16</f>
        <v>I. Stone</v>
      </c>
      <c r="V3" s="114">
        <f t="shared" ref="V3:V5" si="2">N16</f>
        <v>1.1510971468272746</v>
      </c>
      <c r="W3" s="114">
        <f t="shared" ref="W3:W5" si="3">O16</f>
        <v>9.5</v>
      </c>
      <c r="X3" s="114">
        <f t="shared" ref="X3:X5" si="4">P16</f>
        <v>18.5</v>
      </c>
      <c r="Y3" s="114"/>
    </row>
    <row r="4" spans="1:25" x14ac:dyDescent="0.25">
      <c r="A4" t="str">
        <f>PLANTILLA!D6</f>
        <v>V. Gardner</v>
      </c>
      <c r="B4" s="71">
        <f ca="1">PLANTILLA!Y6++PLANTILLA!J6+PLANTILLA!P6</f>
        <v>15.710130720019009</v>
      </c>
      <c r="C4" s="71">
        <f ca="1">PLANTILLA!AB6+PLANTILLA!J6+PLANTILLA!P6</f>
        <v>7.1267973866856753</v>
      </c>
      <c r="D4" s="106">
        <f t="shared" ref="D4:D18" ca="1" si="5">(C4*2+B4)/8</f>
        <v>3.745465686673795</v>
      </c>
      <c r="E4" s="71">
        <f ca="1">D4*PLANTILLA!R6</f>
        <v>3.4676274157310005</v>
      </c>
      <c r="F4" s="71">
        <f ca="1">D4*PLANTILLA!S6</f>
        <v>3.7427893978814231</v>
      </c>
      <c r="M4" t="str">
        <f>PLANTILLA!D6</f>
        <v>V. Gardner</v>
      </c>
      <c r="N4" s="47">
        <f>PLANTILLA!J6</f>
        <v>1.1267973866856758</v>
      </c>
      <c r="O4" s="71">
        <f>PLANTILLA!AC6</f>
        <v>7.166666666666667</v>
      </c>
      <c r="P4" s="71">
        <f>PLANTILLA!AD6</f>
        <v>18.75</v>
      </c>
      <c r="Q4" s="71">
        <f ca="1">PLANTILLA!AH6</f>
        <v>17.877020349836673</v>
      </c>
      <c r="R4" s="47">
        <f ca="1">PLANTILLA!AI6</f>
        <v>16.110933792763056</v>
      </c>
      <c r="U4" t="str">
        <f t="shared" si="1"/>
        <v>G. Piscaer</v>
      </c>
      <c r="V4" s="114">
        <f t="shared" si="2"/>
        <v>1.1431099952416914</v>
      </c>
      <c r="W4" s="114">
        <f t="shared" si="3"/>
        <v>8.5769230769230766</v>
      </c>
      <c r="X4" s="114">
        <f t="shared" si="4"/>
        <v>17.75</v>
      </c>
      <c r="Y4" s="114"/>
    </row>
    <row r="5" spans="1:25" x14ac:dyDescent="0.25">
      <c r="A5" t="str">
        <f>PLANTILLA!D7</f>
        <v>S. Embe</v>
      </c>
      <c r="B5" s="71">
        <f ca="1">PLANTILLA!Y7++PLANTILLA!J7+PLANTILLA!P7</f>
        <v>14.454201667178191</v>
      </c>
      <c r="C5" s="71">
        <f ca="1">PLANTILLA!AB7+PLANTILLA!J7+PLANTILLA!P7</f>
        <v>7.0375350005115251</v>
      </c>
      <c r="D5" s="106">
        <f t="shared" ca="1" si="5"/>
        <v>3.566158958525155</v>
      </c>
      <c r="E5" s="71">
        <f ca="1">D5*PLANTILLA!R7</f>
        <v>3.3016216427865372</v>
      </c>
      <c r="F5" s="71">
        <f ca="1">D5*PLANTILLA!S7</f>
        <v>3.5636107917413891</v>
      </c>
      <c r="M5" t="str">
        <f>PLANTILLA!D7</f>
        <v>S. Embe</v>
      </c>
      <c r="N5" s="47">
        <f>PLANTILLA!J7</f>
        <v>1.0375350005115249</v>
      </c>
      <c r="O5" s="71">
        <f>PLANTILLA!AC7</f>
        <v>7</v>
      </c>
      <c r="P5" s="71">
        <f>PLANTILLA!AD7</f>
        <v>19.8</v>
      </c>
      <c r="Q5" s="71">
        <f ca="1">PLANTILLA!AH7</f>
        <v>17.972901482603401</v>
      </c>
      <c r="R5" s="47">
        <f ca="1">PLANTILLA!AI7</f>
        <v>16.662479649833568</v>
      </c>
      <c r="U5" t="str">
        <f t="shared" si="1"/>
        <v>M. Bondarewski</v>
      </c>
      <c r="V5" s="114">
        <f t="shared" si="2"/>
        <v>1.1510971468272746</v>
      </c>
      <c r="W5" s="114">
        <f t="shared" si="3"/>
        <v>8.5769230769230766</v>
      </c>
      <c r="X5" s="114">
        <f t="shared" si="4"/>
        <v>19.8</v>
      </c>
      <c r="Y5" s="114"/>
    </row>
    <row r="6" spans="1:25" x14ac:dyDescent="0.25">
      <c r="A6" t="str">
        <f>PLANTILLA!D8</f>
        <v>S. Swärdborn</v>
      </c>
      <c r="B6" s="71">
        <f ca="1">PLANTILLA!Y8++PLANTILLA!J8+PLANTILLA!P8</f>
        <v>15.397517581958164</v>
      </c>
      <c r="C6" s="71">
        <f ca="1">PLANTILLA!AB8+PLANTILLA!J8+PLANTILLA!P8</f>
        <v>5.1667483511889332</v>
      </c>
      <c r="D6" s="106">
        <f t="shared" ca="1" si="5"/>
        <v>3.2163767855420038</v>
      </c>
      <c r="E6" s="71">
        <f ca="1">D6*PLANTILLA!R8</f>
        <v>2.7183345251108539</v>
      </c>
      <c r="F6" s="71">
        <f ca="1">D6*PLANTILLA!S8</f>
        <v>2.9753037531167741</v>
      </c>
      <c r="M6" t="str">
        <f>PLANTILLA!D8</f>
        <v>S. Swärdborn</v>
      </c>
      <c r="N6" s="47">
        <f>PLANTILLA!J8</f>
        <v>1.1667483511889334</v>
      </c>
      <c r="O6" s="71">
        <f>PLANTILLA!AC8</f>
        <v>7.25</v>
      </c>
      <c r="P6" s="71">
        <f>PLANTILLA!AD8</f>
        <v>18.25</v>
      </c>
      <c r="Q6" s="71">
        <f ca="1">PLANTILLA!AH8</f>
        <v>16.278527810891102</v>
      </c>
      <c r="R6" s="47">
        <f ca="1">PLANTILLA!AI8</f>
        <v>14.466292696124647</v>
      </c>
      <c r="U6" t="str">
        <f>M6</f>
        <v>S. Swärdborn</v>
      </c>
      <c r="V6" s="114">
        <f>N6</f>
        <v>1.1667483511889334</v>
      </c>
      <c r="W6" s="114">
        <f>O6</f>
        <v>7.25</v>
      </c>
      <c r="X6" s="114">
        <f>P6</f>
        <v>18.25</v>
      </c>
      <c r="Y6" s="114"/>
    </row>
    <row r="7" spans="1:25" x14ac:dyDescent="0.25">
      <c r="A7" t="str">
        <f>PLANTILLA!D9</f>
        <v>A. Grimaud</v>
      </c>
      <c r="B7" s="71">
        <f ca="1">PLANTILLA!Y9++PLANTILLA!J9+PLANTILLA!P9</f>
        <v>15.427605352489818</v>
      </c>
      <c r="C7" s="71">
        <f ca="1">PLANTILLA!AB9+PLANTILLA!J9+PLANTILLA!P9</f>
        <v>5.1968361217205885</v>
      </c>
      <c r="D7" s="106">
        <f t="shared" ca="1" si="5"/>
        <v>3.2276596994913742</v>
      </c>
      <c r="E7" s="71">
        <f ca="1">D7*PLANTILLA!R9</f>
        <v>2.7278703278409</v>
      </c>
      <c r="F7" s="71">
        <f ca="1">D7*PLANTILLA!S9</f>
        <v>2.9857409930479157</v>
      </c>
      <c r="H7" s="47"/>
      <c r="M7" t="str">
        <f>PLANTILLA!D9</f>
        <v>A. Grimaud</v>
      </c>
      <c r="N7" s="47">
        <f>PLANTILLA!J9</f>
        <v>1.1968361217205887</v>
      </c>
      <c r="O7" s="71">
        <f>PLANTILLA!AC9</f>
        <v>6.125</v>
      </c>
      <c r="P7" s="71">
        <f>PLANTILLA!AD9</f>
        <v>17.75</v>
      </c>
      <c r="Q7" s="71">
        <f ca="1">PLANTILLA!AH9</f>
        <v>14.523982484224332</v>
      </c>
      <c r="R7" s="47">
        <f ca="1">PLANTILLA!AI9</f>
        <v>13.910677953278917</v>
      </c>
      <c r="U7" t="str">
        <f>M13</f>
        <v>S. Gencel</v>
      </c>
      <c r="V7" s="114">
        <f>N13</f>
        <v>1.2041199826559248</v>
      </c>
      <c r="W7" s="114">
        <f>O13</f>
        <v>7.1785714285714288</v>
      </c>
      <c r="X7" s="114">
        <f>P13</f>
        <v>16</v>
      </c>
      <c r="Y7" s="114"/>
    </row>
    <row r="8" spans="1:25" x14ac:dyDescent="0.25">
      <c r="A8" t="str">
        <f>PLANTILLA!D10</f>
        <v>E. Deus</v>
      </c>
      <c r="B8" s="71">
        <f ca="1">PLANTILLA!Y10++PLANTILLA!J10+PLANTILLA!P10</f>
        <v>14.426058580722492</v>
      </c>
      <c r="C8" s="71">
        <f ca="1">PLANTILLA!AB10+PLANTILLA!J10+PLANTILLA!P10</f>
        <v>8.0927252473891578</v>
      </c>
      <c r="D8" s="106">
        <f t="shared" ca="1" si="5"/>
        <v>3.8264386344376007</v>
      </c>
      <c r="E8" s="71">
        <f ca="1">D8*PLANTILLA!R10</f>
        <v>2.8925157239347095</v>
      </c>
      <c r="F8" s="71">
        <f ca="1">D8*PLANTILLA!S10</f>
        <v>3.230695342875725</v>
      </c>
      <c r="M8" t="str">
        <f>PLANTILLA!D10</f>
        <v>E. Deus</v>
      </c>
      <c r="N8" s="47">
        <f>PLANTILLA!J10</f>
        <v>1.0927252473891582</v>
      </c>
      <c r="O8" s="71">
        <f>PLANTILLA!AC10</f>
        <v>6</v>
      </c>
      <c r="P8" s="71">
        <f>PLANTILLA!AD10</f>
        <v>18.5</v>
      </c>
      <c r="Q8" s="71">
        <f ca="1">PLANTILLA!AH10</f>
        <v>12.971682353490184</v>
      </c>
      <c r="R8" s="47">
        <f ca="1">PLANTILLA!AI10</f>
        <v>12.731903544337298</v>
      </c>
      <c r="U8" t="str">
        <f>M11</f>
        <v>R. Forsyth</v>
      </c>
      <c r="V8" s="114">
        <f>N11</f>
        <v>1.1431099952416914</v>
      </c>
      <c r="W8" s="114">
        <f>O11</f>
        <v>7</v>
      </c>
      <c r="X8" s="114">
        <f>P11</f>
        <v>18.25</v>
      </c>
      <c r="Y8" s="114"/>
    </row>
    <row r="9" spans="1:25" x14ac:dyDescent="0.25">
      <c r="A9" t="str">
        <f>PLANTILLA!D11</f>
        <v>M.A. Balbinot</v>
      </c>
      <c r="B9" s="71">
        <f ca="1">PLANTILLA!Y11++PLANTILLA!J11+PLANTILLA!P11</f>
        <v>9.819722613669299</v>
      </c>
      <c r="C9" s="71">
        <f ca="1">PLANTILLA!AB11+PLANTILLA!J11+PLANTILLA!P11</f>
        <v>9.819722613669299</v>
      </c>
      <c r="D9" s="106">
        <f t="shared" ca="1" si="5"/>
        <v>3.6823959801259871</v>
      </c>
      <c r="E9" s="71">
        <f ca="1">D9*PLANTILLA!R11</f>
        <v>3.4092362137222838</v>
      </c>
      <c r="F9" s="71">
        <f ca="1">D9*PLANTILLA!S11</f>
        <v>3.6797647572247199</v>
      </c>
      <c r="M9" t="str">
        <f>PLANTILLA!D11</f>
        <v>M.A. Balbinot</v>
      </c>
      <c r="N9" s="47">
        <f>PLANTILLA!J11</f>
        <v>1.3275135927967332</v>
      </c>
      <c r="O9" s="71">
        <f>PLANTILLA!AC11</f>
        <v>9.0625</v>
      </c>
      <c r="P9" s="71">
        <f>PLANTILLA!AD11</f>
        <v>15.5</v>
      </c>
      <c r="Q9" s="71">
        <f ca="1">PLANTILLA!AH11</f>
        <v>18.507455773800878</v>
      </c>
      <c r="R9" s="47">
        <f ca="1">PLANTILLA!AI11</f>
        <v>14.246957250534486</v>
      </c>
      <c r="U9" t="str">
        <f t="shared" ref="U9:X10" si="6">M4</f>
        <v>V. Gardner</v>
      </c>
      <c r="V9" s="114">
        <f t="shared" si="6"/>
        <v>1.1267973866856758</v>
      </c>
      <c r="W9" s="114">
        <f t="shared" si="6"/>
        <v>7.166666666666667</v>
      </c>
      <c r="X9" s="114">
        <f t="shared" si="6"/>
        <v>18.75</v>
      </c>
      <c r="Y9" s="114"/>
    </row>
    <row r="10" spans="1:25" x14ac:dyDescent="0.25">
      <c r="A10" t="str">
        <f>PLANTILLA!D12</f>
        <v>P. Tuderek</v>
      </c>
      <c r="B10" s="71">
        <f ca="1">PLANTILLA!Y12++PLANTILLA!J12+PLANTILLA!P12</f>
        <v>10.889855585997672</v>
      </c>
      <c r="C10" s="71">
        <f ca="1">PLANTILLA!AB12+PLANTILLA!J12+PLANTILLA!P12</f>
        <v>5.0565222526643385</v>
      </c>
      <c r="D10" s="106">
        <f t="shared" ca="1" si="5"/>
        <v>2.6253625114157937</v>
      </c>
      <c r="E10" s="71">
        <f ca="1">D10*PLANTILLA!R12</f>
        <v>2.6253625114157937</v>
      </c>
      <c r="F10" s="71">
        <f ca="1">D10*PLANTILLA!S12</f>
        <v>2.6253625114157937</v>
      </c>
      <c r="M10" t="str">
        <f>PLANTILLA!D12</f>
        <v>P. Tuderek</v>
      </c>
      <c r="N10" s="47">
        <f>PLANTILLA!J12</f>
        <v>1.0565222526643385</v>
      </c>
      <c r="O10" s="71">
        <f>PLANTILLA!AC12</f>
        <v>7.416666666666667</v>
      </c>
      <c r="P10" s="71">
        <f>PLANTILLA!AD12</f>
        <v>19.600000000000001</v>
      </c>
      <c r="Q10" s="71">
        <f ca="1">PLANTILLA!AH12</f>
        <v>20.03658084505485</v>
      </c>
      <c r="R10" s="47">
        <f ca="1">PLANTILLA!AI12</f>
        <v>18.001522252664337</v>
      </c>
      <c r="U10" t="str">
        <f t="shared" si="6"/>
        <v>S. Embe</v>
      </c>
      <c r="V10" s="114">
        <f t="shared" si="6"/>
        <v>1.0375350005115249</v>
      </c>
      <c r="W10" s="114">
        <f t="shared" si="6"/>
        <v>7</v>
      </c>
      <c r="X10" s="114">
        <f t="shared" si="6"/>
        <v>19.8</v>
      </c>
      <c r="Y10" s="114"/>
    </row>
    <row r="11" spans="1:25" x14ac:dyDescent="0.25">
      <c r="A11" t="str">
        <f>PLANTILLA!D13</f>
        <v>R. Forsyth</v>
      </c>
      <c r="B11" s="71">
        <f ca="1">PLANTILLA!Y13++PLANTILLA!J13+PLANTILLA!P13</f>
        <v>11.893109995241691</v>
      </c>
      <c r="C11" s="71">
        <f ca="1">PLANTILLA!AB13+PLANTILLA!J13+PLANTILLA!P13</f>
        <v>6.1431099952416917</v>
      </c>
      <c r="D11" s="106">
        <f t="shared" ca="1" si="5"/>
        <v>3.0224162482156345</v>
      </c>
      <c r="E11" s="71">
        <f ca="1">D11*PLANTILLA!R13</f>
        <v>2.5544079517400435</v>
      </c>
      <c r="F11" s="71">
        <f ca="1">D11*PLANTILLA!S13</f>
        <v>2.7958808953042853</v>
      </c>
      <c r="M11" t="str">
        <f>PLANTILLA!D13</f>
        <v>R. Forsyth</v>
      </c>
      <c r="N11" s="47">
        <f>PLANTILLA!J13</f>
        <v>1.1431099952416914</v>
      </c>
      <c r="O11" s="71">
        <f>PLANTILLA!AC13</f>
        <v>7</v>
      </c>
      <c r="P11" s="71">
        <f>PLANTILLA!AD13</f>
        <v>18.25</v>
      </c>
      <c r="Q11" s="71">
        <f ca="1">PLANTILLA!AH13</f>
        <v>15.883637288979813</v>
      </c>
      <c r="R11" s="47">
        <f ca="1">PLANTILLA!AI13</f>
        <v>14.38292806991641</v>
      </c>
      <c r="U11" t="str">
        <f>M12</f>
        <v>Dusty Ware</v>
      </c>
      <c r="V11" s="114">
        <f>N12</f>
        <v>1.1744181230410551</v>
      </c>
      <c r="W11" s="114">
        <f>O12</f>
        <v>8</v>
      </c>
      <c r="X11" s="114">
        <f>P12</f>
        <v>17.25</v>
      </c>
      <c r="Y11" s="114"/>
    </row>
    <row r="12" spans="1:25" x14ac:dyDescent="0.25">
      <c r="A12" t="str">
        <f>PLANTILLA!D14</f>
        <v>Dusty Ware</v>
      </c>
      <c r="B12" s="71">
        <f ca="1">PLANTILLA!Y14++PLANTILLA!J14+PLANTILLA!P14</f>
        <v>10.770435608557626</v>
      </c>
      <c r="C12" s="71">
        <f ca="1">PLANTILLA!AB14+PLANTILLA!J14+PLANTILLA!P14</f>
        <v>4.5204356085576265</v>
      </c>
      <c r="D12" s="106">
        <f t="shared" ca="1" si="5"/>
        <v>2.4764133532091099</v>
      </c>
      <c r="E12" s="71">
        <f ca="1">D12*PLANTILLA!R14</f>
        <v>2.092951281931192</v>
      </c>
      <c r="F12" s="71">
        <f ca="1">D12*PLANTILLA!S14</f>
        <v>2.2908018666195966</v>
      </c>
      <c r="M12" t="str">
        <f>PLANTILLA!D14</f>
        <v>Dusty Ware</v>
      </c>
      <c r="N12" s="47">
        <f>PLANTILLA!J14</f>
        <v>1.1744181230410551</v>
      </c>
      <c r="O12" s="71">
        <f>PLANTILLA!AC14</f>
        <v>8</v>
      </c>
      <c r="P12" s="71">
        <f>PLANTILLA!AD14</f>
        <v>17.25</v>
      </c>
      <c r="Q12" s="71">
        <f ca="1">PLANTILLA!AH14</f>
        <v>15.658732956779987</v>
      </c>
      <c r="R12" s="47">
        <f ca="1">PLANTILLA!AI14</f>
        <v>13.518610460808496</v>
      </c>
      <c r="W12" s="187">
        <f>AVERAGE(W2:W11)</f>
        <v>7.7930902430902425</v>
      </c>
      <c r="X12" s="187">
        <f>AVERAGE(X2:X11)</f>
        <v>18.335000000000001</v>
      </c>
      <c r="Y12" s="188">
        <f>1.66*(W12+1.5)+0.55*(X12+1.5)-7.6</f>
        <v>18.735779803529802</v>
      </c>
    </row>
    <row r="13" spans="1:25" x14ac:dyDescent="0.25">
      <c r="A13" t="str">
        <f>PLANTILLA!D15</f>
        <v>S. Gencel</v>
      </c>
      <c r="B13" s="71">
        <f ca="1">PLANTILLA!Y15++PLANTILLA!J15+PLANTILLA!P15</f>
        <v>10.788127428076535</v>
      </c>
      <c r="C13" s="71">
        <f ca="1">PLANTILLA!AB15+PLANTILLA!J15+PLANTILLA!P15</f>
        <v>3.7881274280765354</v>
      </c>
      <c r="D13" s="106">
        <f t="shared" ca="1" si="5"/>
        <v>2.2955477855287008</v>
      </c>
      <c r="E13" s="71">
        <f ca="1">D13*PLANTILLA!R15</f>
        <v>2.1252642798308412</v>
      </c>
      <c r="F13" s="71">
        <f ca="1">D13*PLANTILLA!S15</f>
        <v>2.2939075225214536</v>
      </c>
      <c r="M13" t="str">
        <f>PLANTILLA!D15</f>
        <v>S. Gencel</v>
      </c>
      <c r="N13" s="47">
        <f>PLANTILLA!J15</f>
        <v>1.2041199826559248</v>
      </c>
      <c r="O13" s="71">
        <f>PLANTILLA!AC15</f>
        <v>7.1785714285714288</v>
      </c>
      <c r="P13" s="71">
        <f>PLANTILLA!AD15</f>
        <v>16</v>
      </c>
      <c r="Q13" s="71">
        <f ca="1">PLANTILLA!AH15</f>
        <v>15.802073542307504</v>
      </c>
      <c r="R13" s="47">
        <f ca="1">PLANTILLA!AI15</f>
        <v>14.018489146187745</v>
      </c>
    </row>
    <row r="14" spans="1:25" x14ac:dyDescent="0.25">
      <c r="A14" t="str">
        <f>PLANTILLA!D16</f>
        <v>I. Conteanu</v>
      </c>
      <c r="B14" s="71">
        <f ca="1">PLANTILLA!Y16++PLANTILLA!J16+PLANTILLA!P16</f>
        <v>12.327513592796734</v>
      </c>
      <c r="C14" s="71">
        <f ca="1">PLANTILLA!AB16+PLANTILLA!J16+PLANTILLA!P16</f>
        <v>5.3275135927967332</v>
      </c>
      <c r="D14" s="106">
        <f t="shared" ca="1" si="5"/>
        <v>2.8728175972987753</v>
      </c>
      <c r="E14" s="71">
        <f ca="1">D14*PLANTILLA!R16</f>
        <v>2.8728175972987753</v>
      </c>
      <c r="F14" s="71">
        <f ca="1">D14*PLANTILLA!S16</f>
        <v>2.8728175972987753</v>
      </c>
      <c r="M14" t="str">
        <f>PLANTILLA!D16</f>
        <v>I. Conteanu</v>
      </c>
      <c r="N14" s="47">
        <f>PLANTILLA!J16</f>
        <v>1.3275135927967332</v>
      </c>
      <c r="O14" s="71">
        <f>PLANTILLA!AC16</f>
        <v>7.25</v>
      </c>
      <c r="P14" s="71">
        <f>PLANTILLA!AD16</f>
        <v>17.25</v>
      </c>
      <c r="Q14" s="71">
        <f ca="1">PLANTILLA!AH16</f>
        <v>19.066305040080785</v>
      </c>
      <c r="R14" s="47">
        <f ca="1">PLANTILLA!AI16</f>
        <v>16.577513592796734</v>
      </c>
    </row>
    <row r="15" spans="1:25" x14ac:dyDescent="0.25">
      <c r="A15" t="str">
        <f>PLANTILLA!D17</f>
        <v>I. Vanags</v>
      </c>
      <c r="B15" s="71">
        <f ca="1">PLANTILLA!Y17++PLANTILLA!J17+PLANTILLA!P17</f>
        <v>9.2137731133476901</v>
      </c>
      <c r="C15" s="71">
        <f ca="1">PLANTILLA!AB17+PLANTILLA!J17+PLANTILLA!P17</f>
        <v>6.0471064466810223</v>
      </c>
      <c r="D15" s="106">
        <f t="shared" ca="1" si="5"/>
        <v>2.6634982508387166</v>
      </c>
      <c r="E15" s="71">
        <f ca="1">D15*PLANTILLA!R17</f>
        <v>2.4659202163355167</v>
      </c>
      <c r="F15" s="71">
        <f ca="1">D15*PLANTILLA!S17</f>
        <v>2.6615950721385127</v>
      </c>
      <c r="M15" t="str">
        <f>PLANTILLA!D17</f>
        <v>I. Vanags</v>
      </c>
      <c r="N15" s="47">
        <f>PLANTILLA!J17</f>
        <v>1.0471064466810227</v>
      </c>
      <c r="O15" s="71">
        <f>PLANTILLA!AC17</f>
        <v>7.6818181818181817</v>
      </c>
      <c r="P15" s="71">
        <f>PLANTILLA!AD17</f>
        <v>19</v>
      </c>
      <c r="Q15" s="71">
        <f ca="1">PLANTILLA!AH17</f>
        <v>18.632984437035994</v>
      </c>
      <c r="R15" s="47">
        <f ca="1">PLANTILLA!AI17</f>
        <v>16.342254124343842</v>
      </c>
    </row>
    <row r="16" spans="1:25" x14ac:dyDescent="0.25">
      <c r="A16" t="str">
        <f>PLANTILLA!D18</f>
        <v>I. Stone</v>
      </c>
      <c r="B16" s="71">
        <f ca="1">PLANTILLA!Y18++PLANTILLA!J18+PLANTILLA!P18</f>
        <v>8.1510971468272757</v>
      </c>
      <c r="C16" s="71">
        <f ca="1">PLANTILLA!AB18+PLANTILLA!J18+PLANTILLA!P18</f>
        <v>8.1510971468272757</v>
      </c>
      <c r="D16" s="106">
        <f t="shared" ca="1" si="5"/>
        <v>3.0566614300602284</v>
      </c>
      <c r="E16" s="71">
        <f ca="1">D16*PLANTILLA!R18</f>
        <v>2.8299185901492705</v>
      </c>
      <c r="F16" s="71">
        <f ca="1">D16*PLANTILLA!S18</f>
        <v>3.0544773201492896</v>
      </c>
      <c r="M16" t="str">
        <f>PLANTILLA!D18</f>
        <v>I. Stone</v>
      </c>
      <c r="N16" s="47">
        <f>PLANTILLA!J18</f>
        <v>1.1510971468272746</v>
      </c>
      <c r="O16" s="71">
        <f>PLANTILLA!AC18</f>
        <v>9.5</v>
      </c>
      <c r="P16" s="71">
        <f>PLANTILLA!AD18</f>
        <v>18.5</v>
      </c>
      <c r="Q16" s="71">
        <f ca="1">PLANTILLA!AH18</f>
        <v>21.385448765289787</v>
      </c>
      <c r="R16" s="47">
        <f ca="1">PLANTILLA!AI18</f>
        <v>16.619486551502391</v>
      </c>
    </row>
    <row r="17" spans="1:18" x14ac:dyDescent="0.25">
      <c r="A17" t="str">
        <f>PLANTILLA!D19</f>
        <v>G. Piscaer</v>
      </c>
      <c r="B17" s="71">
        <f ca="1">PLANTILLA!Y19++PLANTILLA!J19+PLANTILLA!P19</f>
        <v>8.5431099952416929</v>
      </c>
      <c r="C17" s="71">
        <f ca="1">PLANTILLA!AB19+PLANTILLA!J19+PLANTILLA!P19</f>
        <v>4.1431099952416917</v>
      </c>
      <c r="D17" s="106">
        <f t="shared" ca="1" si="5"/>
        <v>2.1036662482156343</v>
      </c>
      <c r="E17" s="71">
        <f ca="1">D17*PLANTILLA!R19</f>
        <v>1.9476164958111475</v>
      </c>
      <c r="F17" s="71">
        <f ca="1">D17*PLANTILLA!S19</f>
        <v>2.1021630924336918</v>
      </c>
      <c r="M17" t="str">
        <f>PLANTILLA!D19</f>
        <v>G. Piscaer</v>
      </c>
      <c r="N17" s="47">
        <f>PLANTILLA!J19</f>
        <v>1.1431099952416914</v>
      </c>
      <c r="O17" s="71">
        <f>PLANTILLA!AC19</f>
        <v>8.5769230769230766</v>
      </c>
      <c r="P17" s="71">
        <f>PLANTILLA!AD19</f>
        <v>17.75</v>
      </c>
      <c r="Q17" s="71">
        <f ca="1">PLANTILLA!AH19</f>
        <v>19.568564502852976</v>
      </c>
      <c r="R17" s="47">
        <f ca="1">PLANTILLA!AI19</f>
        <v>15.869655382937692</v>
      </c>
    </row>
    <row r="18" spans="1:18" x14ac:dyDescent="0.25">
      <c r="A18" t="str">
        <f>PLANTILLA!D20</f>
        <v>M. Bondarewski</v>
      </c>
      <c r="B18" s="71">
        <f ca="1">PLANTILLA!Y20++PLANTILLA!J20+PLANTILLA!P20</f>
        <v>6.9010971468272748</v>
      </c>
      <c r="C18" s="71">
        <f ca="1">PLANTILLA!AB20+PLANTILLA!J20+PLANTILLA!P20</f>
        <v>6.1510971468272748</v>
      </c>
      <c r="D18" s="106">
        <f t="shared" ca="1" si="5"/>
        <v>2.4004114300602279</v>
      </c>
      <c r="E18" s="71">
        <f ca="1">D18*PLANTILLA!R20</f>
        <v>1.8145404823360789</v>
      </c>
      <c r="F18" s="71">
        <f ca="1">D18*PLANTILLA!S20</f>
        <v>2.0266881999065549</v>
      </c>
      <c r="M18" t="str">
        <f>PLANTILLA!D20</f>
        <v>M. Bondarewski</v>
      </c>
      <c r="N18" s="47">
        <f>PLANTILLA!J20</f>
        <v>1.1510971468272746</v>
      </c>
      <c r="O18" s="71">
        <f>PLANTILLA!AC20</f>
        <v>8.5769230769230766</v>
      </c>
      <c r="P18" s="71">
        <f>PLANTILLA!AD20</f>
        <v>19.8</v>
      </c>
      <c r="Q18" s="71">
        <f ca="1">PLANTILLA!AH20</f>
        <v>16.843319256045241</v>
      </c>
      <c r="R18" s="47">
        <f ca="1">PLANTILLA!AI20</f>
        <v>14.048315117286169</v>
      </c>
    </row>
    <row r="19" spans="1:18" x14ac:dyDescent="0.25">
      <c r="B19" s="71"/>
      <c r="C19" s="71"/>
      <c r="D19" s="106"/>
      <c r="E19" s="71"/>
      <c r="F19" s="71"/>
      <c r="N19" s="47"/>
      <c r="O19" s="71"/>
      <c r="P19" s="71"/>
      <c r="Q19" s="71"/>
      <c r="R19" s="47"/>
    </row>
    <row r="20" spans="1:18" x14ac:dyDescent="0.25">
      <c r="B20" s="71"/>
      <c r="C20" s="71"/>
      <c r="D20" s="106"/>
      <c r="E20" s="71"/>
      <c r="F20" s="71"/>
      <c r="N20" s="47"/>
      <c r="O20" s="71"/>
      <c r="P20" s="71"/>
      <c r="Q20" s="71"/>
      <c r="R20" s="47"/>
    </row>
    <row r="21" spans="1:18" x14ac:dyDescent="0.25">
      <c r="B21" s="71"/>
      <c r="C21" s="71"/>
      <c r="D21" s="106"/>
      <c r="E21" s="71"/>
      <c r="F21" s="71"/>
      <c r="N21" s="47"/>
      <c r="O21" s="71"/>
      <c r="P21" s="71"/>
      <c r="Q21" s="71"/>
      <c r="R21" s="47"/>
    </row>
    <row r="22" spans="1:18" x14ac:dyDescent="0.25">
      <c r="B22" s="71"/>
      <c r="C22" s="71"/>
      <c r="D22" s="106"/>
      <c r="E22" s="71"/>
      <c r="F22" s="71"/>
      <c r="N22" s="47"/>
      <c r="O22" s="71"/>
      <c r="P22" s="71"/>
      <c r="Q22" s="71"/>
      <c r="R22" s="47"/>
    </row>
    <row r="23" spans="1:18" x14ac:dyDescent="0.25">
      <c r="B23" s="71"/>
      <c r="C23" s="71"/>
      <c r="D23" s="106"/>
      <c r="E23" s="71"/>
      <c r="F23" s="71"/>
      <c r="N23" s="47"/>
      <c r="O23" s="71"/>
      <c r="P23" s="71"/>
      <c r="Q23" s="71"/>
      <c r="R23" s="47"/>
    </row>
    <row r="24" spans="1:18" x14ac:dyDescent="0.25">
      <c r="B24" s="71"/>
      <c r="C24" s="71"/>
      <c r="D24" s="106"/>
      <c r="E24" s="71"/>
      <c r="F24" s="71"/>
      <c r="Q24" s="71"/>
    </row>
    <row r="25" spans="1:18" ht="18.75" x14ac:dyDescent="0.3">
      <c r="A25" s="554" t="s">
        <v>280</v>
      </c>
      <c r="B25" s="554"/>
      <c r="C25" s="554"/>
      <c r="D25" s="554"/>
      <c r="E25" s="554"/>
      <c r="F25" s="554"/>
      <c r="G25" s="554"/>
      <c r="H25" s="554"/>
      <c r="I25" s="554"/>
      <c r="J25" s="554"/>
    </row>
    <row r="26" spans="1:18" x14ac:dyDescent="0.25">
      <c r="A26" s="113" t="s">
        <v>281</v>
      </c>
      <c r="B26" s="113" t="str">
        <f>D1</f>
        <v>N_CA</v>
      </c>
      <c r="C26" s="93" t="s">
        <v>277</v>
      </c>
      <c r="D26" s="93" t="s">
        <v>278</v>
      </c>
      <c r="G26" s="113" t="s">
        <v>281</v>
      </c>
      <c r="H26" s="113" t="str">
        <f>B26</f>
        <v>N_CA</v>
      </c>
      <c r="I26" s="93" t="s">
        <v>277</v>
      </c>
      <c r="J26" s="93" t="s">
        <v>278</v>
      </c>
    </row>
    <row r="27" spans="1:18" x14ac:dyDescent="0.25">
      <c r="A27" s="47" t="str">
        <f>A5</f>
        <v>S. Embe</v>
      </c>
      <c r="B27" s="47">
        <f ca="1">D5</f>
        <v>3.566158958525155</v>
      </c>
      <c r="C27" s="47">
        <f ca="1">E5</f>
        <v>3.3016216427865372</v>
      </c>
      <c r="D27" s="47">
        <f ca="1">F5</f>
        <v>3.5636107917413891</v>
      </c>
      <c r="G27" s="47" t="str">
        <f>A27</f>
        <v>S. Embe</v>
      </c>
      <c r="H27" s="47">
        <f ca="1">B27</f>
        <v>3.566158958525155</v>
      </c>
      <c r="I27" s="47">
        <f t="shared" ref="I27:J30" ca="1" si="7">C27</f>
        <v>3.3016216427865372</v>
      </c>
      <c r="J27" s="47">
        <f t="shared" ca="1" si="7"/>
        <v>3.5636107917413891</v>
      </c>
    </row>
    <row r="28" spans="1:18" x14ac:dyDescent="0.25">
      <c r="A28" s="47" t="str">
        <f>A6</f>
        <v>S. Swärdborn</v>
      </c>
      <c r="B28" s="47">
        <f t="shared" ref="B28" ca="1" si="8">D6</f>
        <v>3.2163767855420038</v>
      </c>
      <c r="C28" s="47">
        <f t="shared" ref="C28:D28" ca="1" si="9">E6</f>
        <v>2.7183345251108539</v>
      </c>
      <c r="D28" s="47">
        <f t="shared" ca="1" si="9"/>
        <v>2.9753037531167741</v>
      </c>
      <c r="G28" s="47" t="str">
        <f>A28</f>
        <v>S. Swärdborn</v>
      </c>
      <c r="H28" s="47">
        <f ca="1">B28</f>
        <v>3.2163767855420038</v>
      </c>
      <c r="I28" s="47">
        <f t="shared" ca="1" si="7"/>
        <v>2.7183345251108539</v>
      </c>
      <c r="J28" s="47">
        <f t="shared" ca="1" si="7"/>
        <v>2.9753037531167741</v>
      </c>
    </row>
    <row r="29" spans="1:18" x14ac:dyDescent="0.25">
      <c r="A29" t="str">
        <f>A9</f>
        <v>M.A. Balbinot</v>
      </c>
      <c r="B29" s="47">
        <f t="shared" ref="B29:D30" ca="1" si="10">D9</f>
        <v>3.6823959801259871</v>
      </c>
      <c r="C29" s="47">
        <f t="shared" ca="1" si="10"/>
        <v>3.4092362137222838</v>
      </c>
      <c r="D29" s="47">
        <f t="shared" ca="1" si="10"/>
        <v>3.6797647572247199</v>
      </c>
      <c r="G29" s="47" t="str">
        <f>A29</f>
        <v>M.A. Balbinot</v>
      </c>
      <c r="H29" s="47">
        <f ca="1">B29</f>
        <v>3.6823959801259871</v>
      </c>
      <c r="I29" s="47">
        <f t="shared" ca="1" si="7"/>
        <v>3.4092362137222838</v>
      </c>
      <c r="J29" s="47">
        <f t="shared" ca="1" si="7"/>
        <v>3.6797647572247199</v>
      </c>
    </row>
    <row r="30" spans="1:18" x14ac:dyDescent="0.25">
      <c r="A30" s="47" t="str">
        <f>A10</f>
        <v>P. Tuderek</v>
      </c>
      <c r="B30" s="47">
        <f t="shared" ca="1" si="10"/>
        <v>2.6253625114157937</v>
      </c>
      <c r="C30" s="47">
        <f t="shared" ca="1" si="10"/>
        <v>2.6253625114157937</v>
      </c>
      <c r="D30" s="47">
        <f t="shared" ca="1" si="10"/>
        <v>2.6253625114157937</v>
      </c>
      <c r="G30" s="47" t="str">
        <f>A30</f>
        <v>P. Tuderek</v>
      </c>
      <c r="H30" s="47">
        <f ca="1">B30</f>
        <v>2.6253625114157937</v>
      </c>
      <c r="I30" s="47">
        <f t="shared" ca="1" si="7"/>
        <v>2.6253625114157937</v>
      </c>
      <c r="J30" s="47">
        <f t="shared" ca="1" si="7"/>
        <v>2.6253625114157937</v>
      </c>
    </row>
    <row r="31" spans="1:18" x14ac:dyDescent="0.25">
      <c r="A31" t="str">
        <f>A8</f>
        <v>E. Deus</v>
      </c>
      <c r="B31" s="47">
        <f ca="1">D8</f>
        <v>3.8264386344376007</v>
      </c>
      <c r="C31" s="47">
        <f ca="1">E8</f>
        <v>2.8925157239347095</v>
      </c>
      <c r="D31" s="47">
        <f ca="1">F8</f>
        <v>3.230695342875725</v>
      </c>
      <c r="H31" s="47"/>
      <c r="I31" s="71"/>
      <c r="J31" s="71"/>
    </row>
    <row r="32" spans="1:18" x14ac:dyDescent="0.25">
      <c r="B32" s="123">
        <f ca="1">SUM(B27:B31)</f>
        <v>16.916732870046541</v>
      </c>
      <c r="C32" s="234">
        <f ca="1">SUM(C27:C31)</f>
        <v>14.947070616970178</v>
      </c>
      <c r="D32" s="234">
        <f ca="1">SUM(D27:D31)</f>
        <v>16.074737156374404</v>
      </c>
      <c r="E32" s="123"/>
      <c r="G32" s="123"/>
      <c r="H32" s="123">
        <f ca="1">SUM(H27:H31)</f>
        <v>13.09029423560894</v>
      </c>
      <c r="I32" s="234">
        <f ca="1">SUM(I27:I31)</f>
        <v>12.054554893035469</v>
      </c>
      <c r="J32" s="234">
        <f ca="1">SUM(J27:J31)</f>
        <v>12.844041813498677</v>
      </c>
    </row>
  </sheetData>
  <mergeCells count="2">
    <mergeCell ref="U1:Y1"/>
    <mergeCell ref="A25:J25"/>
  </mergeCells>
  <conditionalFormatting sqref="Q2:Q23">
    <cfRule type="cellIs" dxfId="57" priority="1" operator="lessThan">
      <formula>12</formula>
    </cfRule>
  </conditionalFormatting>
  <conditionalFormatting sqref="Q2:Q23">
    <cfRule type="cellIs" dxfId="56" priority="2" operator="between">
      <formula>12</formula>
      <formula>17</formula>
    </cfRule>
  </conditionalFormatting>
  <conditionalFormatting sqref="Q2:Q23">
    <cfRule type="cellIs" dxfId="55" priority="3" operator="greaterThan">
      <formula>17</formula>
    </cfRule>
  </conditionalFormatting>
  <conditionalFormatting sqref="D2:D24">
    <cfRule type="colorScale" priority="1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fitToWidth="0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584BB-278C-4DEE-A4E0-C9F3F13068F1}">
  <sheetPr>
    <tabColor rgb="FFE4DFEC"/>
  </sheetPr>
  <dimension ref="A1:AB106"/>
  <sheetViews>
    <sheetView workbookViewId="0">
      <pane ySplit="1" topLeftCell="A2" activePane="bottomLeft" state="frozen"/>
      <selection pane="bottomLeft" activeCell="U10" sqref="U10"/>
    </sheetView>
  </sheetViews>
  <sheetFormatPr baseColWidth="10" defaultRowHeight="15" x14ac:dyDescent="0.25"/>
  <cols>
    <col min="1" max="1" width="10.7109375" style="268" bestFit="1" customWidth="1"/>
    <col min="2" max="2" width="10.28515625" style="268" bestFit="1" customWidth="1"/>
    <col min="3" max="3" width="7" style="268" bestFit="1" customWidth="1"/>
    <col min="4" max="4" width="10" style="268" bestFit="1" customWidth="1"/>
    <col min="5" max="5" width="2.85546875" style="268" bestFit="1" customWidth="1"/>
    <col min="6" max="6" width="3.140625" style="268" bestFit="1" customWidth="1"/>
    <col min="7" max="7" width="3.42578125" style="268" bestFit="1" customWidth="1"/>
    <col min="8" max="8" width="4" style="268" bestFit="1" customWidth="1"/>
    <col min="9" max="9" width="4.140625" style="268" bestFit="1" customWidth="1"/>
    <col min="10" max="10" width="4.85546875" style="268" bestFit="1" customWidth="1"/>
    <col min="12" max="12" width="12.7109375" style="268" customWidth="1"/>
    <col min="13" max="13" width="15.140625" style="268" bestFit="1" customWidth="1"/>
    <col min="14" max="14" width="4.140625" style="268" bestFit="1" customWidth="1"/>
    <col min="15" max="15" width="5.28515625" style="268" bestFit="1" customWidth="1"/>
    <col min="17" max="17" width="15.140625" style="268" bestFit="1" customWidth="1"/>
    <col min="18" max="18" width="12.140625" style="268" bestFit="1" customWidth="1"/>
    <col min="19" max="19" width="13.28515625" style="268" bestFit="1" customWidth="1"/>
    <col min="20" max="20" width="14.7109375" style="268" bestFit="1" customWidth="1"/>
    <col min="21" max="21" width="12.5703125" style="268" bestFit="1" customWidth="1"/>
    <col min="22" max="22" width="11.140625" bestFit="1" customWidth="1"/>
    <col min="23" max="23" width="11.42578125" bestFit="1" customWidth="1"/>
    <col min="24" max="24" width="12" bestFit="1" customWidth="1"/>
    <col min="25" max="25" width="12.140625" bestFit="1" customWidth="1"/>
    <col min="26" max="26" width="12.85546875" bestFit="1" customWidth="1"/>
    <col min="27" max="27" width="2.28515625" customWidth="1"/>
    <col min="28" max="28" width="5.42578125" style="268" bestFit="1" customWidth="1"/>
  </cols>
  <sheetData>
    <row r="1" spans="1:28" s="3" customFormat="1" x14ac:dyDescent="0.25">
      <c r="A1" s="2" t="s">
        <v>166</v>
      </c>
      <c r="B1" s="2" t="s">
        <v>471</v>
      </c>
      <c r="C1" s="2" t="s">
        <v>476</v>
      </c>
      <c r="D1" s="2" t="s">
        <v>472</v>
      </c>
      <c r="E1" s="2" t="s">
        <v>114</v>
      </c>
      <c r="F1" s="2" t="s">
        <v>16</v>
      </c>
      <c r="G1" s="2" t="s">
        <v>24</v>
      </c>
      <c r="H1" s="2" t="s">
        <v>473</v>
      </c>
      <c r="I1" s="2" t="s">
        <v>30</v>
      </c>
      <c r="J1" s="2" t="s">
        <v>21</v>
      </c>
      <c r="L1" s="2" t="s">
        <v>166</v>
      </c>
      <c r="M1" s="2" t="s">
        <v>84</v>
      </c>
      <c r="N1" s="2" t="s">
        <v>474</v>
      </c>
      <c r="O1" s="2" t="s">
        <v>475</v>
      </c>
      <c r="Q1" s="303" t="s">
        <v>476</v>
      </c>
      <c r="R1" s="289" t="s">
        <v>477</v>
      </c>
      <c r="S1" s="291" t="s">
        <v>486</v>
      </c>
      <c r="T1" s="268"/>
      <c r="U1" s="268"/>
      <c r="V1" s="289" t="s">
        <v>478</v>
      </c>
      <c r="W1" s="290" t="s">
        <v>479</v>
      </c>
      <c r="X1" s="290" t="s">
        <v>480</v>
      </c>
      <c r="Y1" s="290" t="s">
        <v>481</v>
      </c>
      <c r="Z1" s="291" t="s">
        <v>482</v>
      </c>
      <c r="AA1"/>
      <c r="AB1" s="2" t="s">
        <v>192</v>
      </c>
    </row>
    <row r="2" spans="1:28" x14ac:dyDescent="0.25">
      <c r="A2" s="288">
        <v>43969</v>
      </c>
      <c r="B2" s="268">
        <v>17480983</v>
      </c>
      <c r="C2" s="268">
        <v>13</v>
      </c>
      <c r="D2" s="268">
        <v>7</v>
      </c>
      <c r="E2" s="268">
        <v>2</v>
      </c>
      <c r="F2" s="268">
        <v>0</v>
      </c>
      <c r="G2" s="268">
        <v>1</v>
      </c>
      <c r="H2" s="268">
        <v>0</v>
      </c>
      <c r="I2" s="268">
        <v>0</v>
      </c>
      <c r="J2" s="268">
        <v>1</v>
      </c>
      <c r="L2" s="288">
        <v>43969</v>
      </c>
      <c r="M2" s="268" t="s">
        <v>144</v>
      </c>
      <c r="N2" s="268">
        <v>1</v>
      </c>
      <c r="O2" s="268">
        <v>0</v>
      </c>
      <c r="Q2" s="292">
        <v>12</v>
      </c>
      <c r="R2" s="293">
        <v>10</v>
      </c>
      <c r="S2" s="295">
        <v>0.3</v>
      </c>
      <c r="V2" s="300">
        <v>22</v>
      </c>
      <c r="W2" s="301">
        <v>16</v>
      </c>
      <c r="X2" s="301">
        <v>52</v>
      </c>
      <c r="Y2" s="301">
        <v>32</v>
      </c>
      <c r="Z2" s="302">
        <v>6</v>
      </c>
      <c r="AB2" s="268">
        <f>SUM(V2:Z2)</f>
        <v>128</v>
      </c>
    </row>
    <row r="3" spans="1:28" x14ac:dyDescent="0.25">
      <c r="A3" s="288">
        <v>43969</v>
      </c>
      <c r="B3" s="268">
        <v>17554252</v>
      </c>
      <c r="C3" s="268">
        <v>13</v>
      </c>
      <c r="D3" s="268">
        <v>7</v>
      </c>
      <c r="E3" s="268">
        <v>3</v>
      </c>
      <c r="F3" s="268">
        <v>1</v>
      </c>
      <c r="G3" s="268">
        <v>2</v>
      </c>
      <c r="H3" s="268">
        <v>0</v>
      </c>
      <c r="I3" s="268">
        <v>0</v>
      </c>
      <c r="J3" s="268">
        <v>0</v>
      </c>
      <c r="L3" s="288">
        <v>43969</v>
      </c>
      <c r="M3" s="268" t="s">
        <v>142</v>
      </c>
      <c r="N3" s="268">
        <v>1</v>
      </c>
      <c r="O3" s="268">
        <v>0</v>
      </c>
      <c r="Q3" s="296">
        <v>13</v>
      </c>
      <c r="R3" s="297">
        <v>87</v>
      </c>
      <c r="S3" s="299">
        <v>0.2413793103448276</v>
      </c>
      <c r="V3" s="304">
        <f>V2/$AB$2</f>
        <v>0.171875</v>
      </c>
      <c r="W3" s="304">
        <f t="shared" ref="W3:Z3" si="0">W2/$AB$2</f>
        <v>0.125</v>
      </c>
      <c r="X3" s="304">
        <f t="shared" si="0"/>
        <v>0.40625</v>
      </c>
      <c r="Y3" s="304">
        <f t="shared" si="0"/>
        <v>0.25</v>
      </c>
      <c r="Z3" s="304">
        <f t="shared" si="0"/>
        <v>4.6875E-2</v>
      </c>
    </row>
    <row r="4" spans="1:28" x14ac:dyDescent="0.25">
      <c r="A4" s="288">
        <v>43970</v>
      </c>
      <c r="B4" s="268">
        <v>17612232</v>
      </c>
      <c r="C4" s="268">
        <v>13</v>
      </c>
      <c r="D4" s="268">
        <v>5</v>
      </c>
      <c r="E4" s="268">
        <v>1</v>
      </c>
      <c r="F4" s="268">
        <v>0</v>
      </c>
      <c r="G4" s="268">
        <v>0</v>
      </c>
      <c r="H4" s="268">
        <v>1</v>
      </c>
      <c r="I4" s="268">
        <v>0</v>
      </c>
      <c r="J4" s="268">
        <v>0</v>
      </c>
      <c r="L4" s="288">
        <v>43969</v>
      </c>
      <c r="M4" s="268" t="s">
        <v>135</v>
      </c>
      <c r="N4" s="268">
        <v>0</v>
      </c>
      <c r="O4" s="268">
        <v>2</v>
      </c>
      <c r="Q4" s="296">
        <v>14</v>
      </c>
      <c r="R4" s="297">
        <v>55</v>
      </c>
      <c r="S4" s="299">
        <v>0.29090909090909089</v>
      </c>
    </row>
    <row r="5" spans="1:28" x14ac:dyDescent="0.25">
      <c r="A5" s="288">
        <v>43970</v>
      </c>
      <c r="B5" s="268">
        <v>17669494</v>
      </c>
      <c r="C5" s="268">
        <v>13</v>
      </c>
      <c r="D5" s="268">
        <v>9</v>
      </c>
      <c r="E5" s="268">
        <v>3</v>
      </c>
      <c r="F5" s="268">
        <v>0</v>
      </c>
      <c r="G5" s="268">
        <v>0</v>
      </c>
      <c r="H5" s="268">
        <v>3</v>
      </c>
      <c r="I5" s="268">
        <v>0</v>
      </c>
      <c r="J5" s="268">
        <v>0</v>
      </c>
      <c r="L5" s="288">
        <v>43969</v>
      </c>
      <c r="M5" s="268" t="s">
        <v>161</v>
      </c>
      <c r="N5" s="268">
        <v>0</v>
      </c>
      <c r="O5" s="268">
        <v>1</v>
      </c>
      <c r="Q5" s="296">
        <v>15</v>
      </c>
      <c r="R5" s="297">
        <v>131</v>
      </c>
      <c r="S5" s="299">
        <v>0.29007633587786258</v>
      </c>
    </row>
    <row r="6" spans="1:28" x14ac:dyDescent="0.25">
      <c r="A6" s="288">
        <v>43971</v>
      </c>
      <c r="B6" s="268">
        <v>17728262</v>
      </c>
      <c r="C6" s="268">
        <v>12</v>
      </c>
      <c r="D6" s="268">
        <v>5</v>
      </c>
      <c r="E6" s="268">
        <v>0</v>
      </c>
      <c r="F6" s="268">
        <v>0</v>
      </c>
      <c r="G6" s="268">
        <v>0</v>
      </c>
      <c r="H6" s="268">
        <v>0</v>
      </c>
      <c r="I6" s="268">
        <v>0</v>
      </c>
      <c r="J6" s="268">
        <v>0</v>
      </c>
      <c r="L6" s="288">
        <v>43970</v>
      </c>
      <c r="M6" s="268" t="s">
        <v>152</v>
      </c>
      <c r="N6" s="268">
        <v>1</v>
      </c>
      <c r="O6" s="268">
        <v>1</v>
      </c>
      <c r="Q6" s="296">
        <v>16</v>
      </c>
      <c r="R6" s="297">
        <v>88</v>
      </c>
      <c r="S6" s="299">
        <v>0.29545454545454547</v>
      </c>
    </row>
    <row r="7" spans="1:28" x14ac:dyDescent="0.25">
      <c r="A7" s="288">
        <v>43972</v>
      </c>
      <c r="B7" s="268">
        <v>17843216</v>
      </c>
      <c r="C7" s="268">
        <v>12</v>
      </c>
      <c r="D7" s="268">
        <v>5</v>
      </c>
      <c r="E7" s="268">
        <v>3</v>
      </c>
      <c r="F7" s="268">
        <v>1</v>
      </c>
      <c r="G7" s="268">
        <v>1</v>
      </c>
      <c r="H7" s="268">
        <v>0</v>
      </c>
      <c r="I7" s="268">
        <v>1</v>
      </c>
      <c r="J7" s="268">
        <v>0</v>
      </c>
      <c r="L7" s="288">
        <v>43970</v>
      </c>
      <c r="M7" s="268" t="s">
        <v>154</v>
      </c>
      <c r="N7" s="268">
        <v>1</v>
      </c>
      <c r="O7" s="268">
        <v>1</v>
      </c>
      <c r="Q7" s="296">
        <v>17</v>
      </c>
      <c r="R7" s="297">
        <v>14</v>
      </c>
      <c r="S7" s="299">
        <v>0.14285714285714285</v>
      </c>
    </row>
    <row r="8" spans="1:28" x14ac:dyDescent="0.25">
      <c r="A8" s="288">
        <v>43976</v>
      </c>
      <c r="B8" s="268">
        <v>17945337</v>
      </c>
      <c r="C8" s="268">
        <v>13</v>
      </c>
      <c r="D8" s="268">
        <v>3</v>
      </c>
      <c r="E8" s="268">
        <v>1</v>
      </c>
      <c r="F8" s="268">
        <v>0</v>
      </c>
      <c r="G8" s="268">
        <v>0</v>
      </c>
      <c r="H8" s="268">
        <v>1</v>
      </c>
      <c r="I8" s="268">
        <v>0</v>
      </c>
      <c r="J8" s="268">
        <v>0</v>
      </c>
      <c r="L8" s="288">
        <v>43972</v>
      </c>
      <c r="M8" s="268" t="s">
        <v>137</v>
      </c>
      <c r="N8" s="268">
        <v>1</v>
      </c>
      <c r="O8" s="268">
        <v>0</v>
      </c>
      <c r="Q8" s="296">
        <v>19</v>
      </c>
      <c r="R8" s="297">
        <v>84</v>
      </c>
      <c r="S8" s="299">
        <v>0.26190476190476192</v>
      </c>
    </row>
    <row r="9" spans="1:28" x14ac:dyDescent="0.25">
      <c r="A9" s="288">
        <v>43977</v>
      </c>
      <c r="B9" s="268">
        <v>18067489</v>
      </c>
      <c r="C9" s="268">
        <v>13</v>
      </c>
      <c r="D9" s="268">
        <v>4</v>
      </c>
      <c r="E9" s="268">
        <v>1</v>
      </c>
      <c r="F9" s="268">
        <v>0</v>
      </c>
      <c r="G9" s="268">
        <v>0</v>
      </c>
      <c r="H9" s="268">
        <v>0</v>
      </c>
      <c r="I9" s="268">
        <v>1</v>
      </c>
      <c r="J9" s="268">
        <v>0</v>
      </c>
      <c r="L9" s="288">
        <v>43972</v>
      </c>
      <c r="M9" s="268" t="s">
        <v>144</v>
      </c>
      <c r="N9" s="268">
        <v>0</v>
      </c>
      <c r="O9" s="268">
        <v>1</v>
      </c>
      <c r="Q9" s="305" t="s">
        <v>192</v>
      </c>
      <c r="R9" s="306">
        <v>469</v>
      </c>
      <c r="S9" s="308">
        <v>0.27292110874200426</v>
      </c>
    </row>
    <row r="10" spans="1:28" x14ac:dyDescent="0.25">
      <c r="A10" s="288">
        <v>43978</v>
      </c>
      <c r="B10" s="268">
        <v>18083815</v>
      </c>
      <c r="C10" s="268">
        <v>13</v>
      </c>
      <c r="D10" s="268">
        <v>9</v>
      </c>
      <c r="E10" s="268">
        <v>0</v>
      </c>
      <c r="F10" s="268">
        <v>0</v>
      </c>
      <c r="G10" s="268">
        <v>0</v>
      </c>
      <c r="H10" s="268">
        <v>0</v>
      </c>
      <c r="I10" s="268">
        <v>0</v>
      </c>
      <c r="J10" s="268">
        <v>0</v>
      </c>
      <c r="L10" s="288">
        <v>43972</v>
      </c>
      <c r="M10" s="268" t="s">
        <v>160</v>
      </c>
      <c r="N10" s="268">
        <v>0</v>
      </c>
      <c r="O10" s="268">
        <v>1</v>
      </c>
    </row>
    <row r="11" spans="1:28" x14ac:dyDescent="0.25">
      <c r="A11" s="288">
        <v>43978</v>
      </c>
      <c r="B11" s="268">
        <v>18102369</v>
      </c>
      <c r="C11" s="268">
        <v>13</v>
      </c>
      <c r="D11" s="268">
        <v>7</v>
      </c>
      <c r="E11" s="268">
        <v>1</v>
      </c>
      <c r="F11" s="268">
        <v>0</v>
      </c>
      <c r="G11" s="268">
        <v>0</v>
      </c>
      <c r="H11" s="268">
        <v>1</v>
      </c>
      <c r="I11" s="268">
        <v>0</v>
      </c>
      <c r="J11" s="268">
        <v>0</v>
      </c>
      <c r="L11" s="288">
        <v>43976</v>
      </c>
      <c r="M11" s="268" t="s">
        <v>152</v>
      </c>
      <c r="N11" s="268">
        <v>0</v>
      </c>
      <c r="O11" s="268">
        <v>1</v>
      </c>
    </row>
    <row r="12" spans="1:28" x14ac:dyDescent="0.25">
      <c r="A12" s="288">
        <v>43978</v>
      </c>
      <c r="B12" s="268">
        <v>18116746</v>
      </c>
      <c r="C12" s="268">
        <v>14</v>
      </c>
      <c r="D12" s="268">
        <v>10</v>
      </c>
      <c r="E12" s="268">
        <v>2</v>
      </c>
      <c r="F12" s="268">
        <v>0</v>
      </c>
      <c r="G12" s="268">
        <v>1</v>
      </c>
      <c r="H12" s="268">
        <v>0</v>
      </c>
      <c r="I12" s="268">
        <v>1</v>
      </c>
      <c r="J12" s="268">
        <v>0</v>
      </c>
      <c r="L12" s="288">
        <v>43977</v>
      </c>
      <c r="M12" s="268" t="s">
        <v>148</v>
      </c>
      <c r="N12" s="268">
        <v>0</v>
      </c>
      <c r="O12" s="268">
        <v>1</v>
      </c>
    </row>
    <row r="13" spans="1:28" x14ac:dyDescent="0.25">
      <c r="A13" s="288">
        <v>43979</v>
      </c>
      <c r="B13" s="268">
        <v>18200256</v>
      </c>
      <c r="C13" s="268">
        <v>14</v>
      </c>
      <c r="D13" s="268">
        <v>9</v>
      </c>
      <c r="E13" s="268">
        <v>2</v>
      </c>
      <c r="F13" s="268">
        <v>0</v>
      </c>
      <c r="G13" s="268">
        <v>0</v>
      </c>
      <c r="H13" s="268">
        <v>2</v>
      </c>
      <c r="I13" s="268">
        <v>0</v>
      </c>
      <c r="J13" s="268">
        <v>0</v>
      </c>
      <c r="L13" s="288">
        <v>43978</v>
      </c>
      <c r="M13" s="268" t="s">
        <v>144</v>
      </c>
      <c r="N13" s="268">
        <v>1</v>
      </c>
      <c r="O13" s="268">
        <v>0</v>
      </c>
    </row>
    <row r="14" spans="1:28" x14ac:dyDescent="0.25">
      <c r="A14" s="288">
        <v>43979</v>
      </c>
      <c r="B14" s="268">
        <v>18216545</v>
      </c>
      <c r="C14" s="268">
        <v>13</v>
      </c>
      <c r="D14" s="268">
        <v>9</v>
      </c>
      <c r="E14" s="268">
        <v>2</v>
      </c>
      <c r="F14" s="268">
        <v>0</v>
      </c>
      <c r="G14" s="268">
        <v>1</v>
      </c>
      <c r="H14" s="268">
        <v>1</v>
      </c>
      <c r="I14" s="268">
        <v>0</v>
      </c>
      <c r="J14" s="268">
        <v>0</v>
      </c>
      <c r="L14" s="288">
        <v>43978</v>
      </c>
      <c r="M14" s="268" t="s">
        <v>154</v>
      </c>
      <c r="N14" s="268">
        <v>1</v>
      </c>
      <c r="O14" s="268">
        <v>0</v>
      </c>
    </row>
    <row r="15" spans="1:28" x14ac:dyDescent="0.25">
      <c r="A15" s="288">
        <v>43979</v>
      </c>
      <c r="B15" s="268">
        <v>18286656</v>
      </c>
      <c r="C15" s="268">
        <v>13</v>
      </c>
      <c r="D15" s="268">
        <v>7</v>
      </c>
      <c r="E15" s="268">
        <v>2</v>
      </c>
      <c r="F15" s="268">
        <v>1</v>
      </c>
      <c r="G15" s="268">
        <v>0</v>
      </c>
      <c r="H15" s="268">
        <v>1</v>
      </c>
      <c r="I15" s="268">
        <v>0</v>
      </c>
      <c r="J15" s="268">
        <v>0</v>
      </c>
      <c r="L15" s="288">
        <v>43978</v>
      </c>
      <c r="M15" s="268" t="s">
        <v>160</v>
      </c>
      <c r="N15" s="268">
        <v>1</v>
      </c>
      <c r="O15" s="268">
        <v>0</v>
      </c>
      <c r="Q15" s="303" t="s">
        <v>84</v>
      </c>
      <c r="R15" s="289" t="s">
        <v>483</v>
      </c>
      <c r="S15" s="290" t="s">
        <v>484</v>
      </c>
      <c r="T15" s="291" t="s">
        <v>485</v>
      </c>
      <c r="V15" s="267" t="str">
        <f>PLANTILLA!D4</f>
        <v>D. Gehmacher</v>
      </c>
      <c r="W15" s="88">
        <f ca="1">PLANTILLA!AH4</f>
        <v>5.9585503831964655</v>
      </c>
    </row>
    <row r="16" spans="1:28" x14ac:dyDescent="0.25">
      <c r="A16" s="288">
        <v>43982</v>
      </c>
      <c r="B16" s="268">
        <v>18448080</v>
      </c>
      <c r="C16" s="268">
        <v>13</v>
      </c>
      <c r="D16" s="268">
        <v>8</v>
      </c>
      <c r="E16" s="268">
        <v>1</v>
      </c>
      <c r="F16" s="268">
        <v>0</v>
      </c>
      <c r="G16" s="268">
        <v>0</v>
      </c>
      <c r="H16" s="268">
        <v>0</v>
      </c>
      <c r="I16" s="268">
        <v>1</v>
      </c>
      <c r="J16" s="268">
        <v>0</v>
      </c>
      <c r="L16" s="288">
        <v>43979</v>
      </c>
      <c r="M16" s="268" t="s">
        <v>152</v>
      </c>
      <c r="N16" s="268">
        <v>1</v>
      </c>
      <c r="O16" s="268">
        <v>1</v>
      </c>
      <c r="Q16" s="292" t="s">
        <v>142</v>
      </c>
      <c r="R16" s="293">
        <v>4</v>
      </c>
      <c r="S16" s="294">
        <v>1</v>
      </c>
      <c r="T16" s="295">
        <v>0.8</v>
      </c>
      <c r="U16" s="151">
        <f ca="1">VLOOKUP(Q16,$V$15:$W$36,2,FALSE)</f>
        <v>17.972901482603401</v>
      </c>
      <c r="V16" s="267" t="str">
        <f>PLANTILLA!D5</f>
        <v>L. Guangwei</v>
      </c>
      <c r="W16" s="88">
        <f ca="1">PLANTILLA!AH5</f>
        <v>17.313513856127543</v>
      </c>
    </row>
    <row r="17" spans="1:23" x14ac:dyDescent="0.25">
      <c r="A17" s="288">
        <v>43990</v>
      </c>
      <c r="B17" s="268">
        <v>662376951</v>
      </c>
      <c r="C17" s="268">
        <v>13</v>
      </c>
      <c r="D17" s="268">
        <v>8</v>
      </c>
      <c r="E17" s="268">
        <v>3</v>
      </c>
      <c r="F17" s="268">
        <v>0</v>
      </c>
      <c r="G17" s="268">
        <v>0</v>
      </c>
      <c r="H17" s="268">
        <v>2</v>
      </c>
      <c r="I17" s="268">
        <v>1</v>
      </c>
      <c r="J17" s="268">
        <v>0</v>
      </c>
      <c r="L17" s="288">
        <v>43979</v>
      </c>
      <c r="M17" s="268" t="s">
        <v>144</v>
      </c>
      <c r="N17" s="268">
        <v>0</v>
      </c>
      <c r="O17" s="268">
        <v>1</v>
      </c>
      <c r="Q17" s="296" t="s">
        <v>160</v>
      </c>
      <c r="R17" s="297">
        <v>3</v>
      </c>
      <c r="S17" s="298">
        <v>1</v>
      </c>
      <c r="T17" s="299">
        <v>0.75</v>
      </c>
      <c r="U17" s="151" t="e">
        <f t="shared" ref="U17:U32" si="1">VLOOKUP(Q17,$V$15:$W$36,2,FALSE)</f>
        <v>#N/A</v>
      </c>
      <c r="V17" s="267" t="e">
        <f>PLANTILLA!#REF!</f>
        <v>#REF!</v>
      </c>
      <c r="W17" s="88" t="e">
        <f>PLANTILLA!#REF!</f>
        <v>#REF!</v>
      </c>
    </row>
    <row r="18" spans="1:23" x14ac:dyDescent="0.25">
      <c r="A18" s="288">
        <v>43997</v>
      </c>
      <c r="B18" s="268">
        <v>662376954</v>
      </c>
      <c r="C18" s="268">
        <v>13</v>
      </c>
      <c r="D18" s="268">
        <v>4</v>
      </c>
      <c r="E18" s="268">
        <v>1</v>
      </c>
      <c r="F18" s="268">
        <v>0</v>
      </c>
      <c r="G18" s="268">
        <v>0</v>
      </c>
      <c r="H18" s="268">
        <v>0</v>
      </c>
      <c r="I18" s="268">
        <v>1</v>
      </c>
      <c r="J18" s="268">
        <v>0</v>
      </c>
      <c r="L18" s="288">
        <v>43979</v>
      </c>
      <c r="M18" s="268" t="s">
        <v>140</v>
      </c>
      <c r="N18" s="268">
        <v>0</v>
      </c>
      <c r="O18" s="268">
        <v>1</v>
      </c>
      <c r="Q18" s="296" t="s">
        <v>154</v>
      </c>
      <c r="R18" s="297">
        <v>9</v>
      </c>
      <c r="S18" s="298">
        <v>5</v>
      </c>
      <c r="T18" s="299">
        <v>0.6428571428571429</v>
      </c>
      <c r="U18" s="151">
        <f t="shared" ca="1" si="1"/>
        <v>20.03658084505485</v>
      </c>
      <c r="V18" s="267" t="str">
        <f>PLANTILLA!D6</f>
        <v>V. Gardner</v>
      </c>
      <c r="W18" s="88">
        <f ca="1">PLANTILLA!AH6</f>
        <v>17.877020349836673</v>
      </c>
    </row>
    <row r="19" spans="1:23" x14ac:dyDescent="0.25">
      <c r="A19" s="288">
        <v>44000</v>
      </c>
      <c r="B19" s="268">
        <v>662839612</v>
      </c>
      <c r="C19" s="268">
        <v>14</v>
      </c>
      <c r="D19" s="268">
        <v>3</v>
      </c>
      <c r="E19" s="268">
        <v>1</v>
      </c>
      <c r="F19" s="268">
        <v>0</v>
      </c>
      <c r="G19" s="268">
        <v>0</v>
      </c>
      <c r="H19" s="268">
        <v>0</v>
      </c>
      <c r="I19" s="268">
        <v>1</v>
      </c>
      <c r="J19" s="268">
        <v>0</v>
      </c>
      <c r="L19" s="288">
        <v>43979</v>
      </c>
      <c r="M19" s="268" t="s">
        <v>146</v>
      </c>
      <c r="N19" s="268">
        <v>1</v>
      </c>
      <c r="O19" s="268">
        <v>1</v>
      </c>
      <c r="Q19" s="296" t="s">
        <v>148</v>
      </c>
      <c r="R19" s="297">
        <v>7</v>
      </c>
      <c r="S19" s="298">
        <v>4</v>
      </c>
      <c r="T19" s="299">
        <v>0.63636363636363635</v>
      </c>
      <c r="U19" s="151">
        <f t="shared" ca="1" si="1"/>
        <v>21.385448765289787</v>
      </c>
      <c r="V19" s="267" t="str">
        <f>PLANTILLA!D7</f>
        <v>S. Embe</v>
      </c>
      <c r="W19" s="88">
        <f ca="1">PLANTILLA!AH7</f>
        <v>17.972901482603401</v>
      </c>
    </row>
    <row r="20" spans="1:23" x14ac:dyDescent="0.25">
      <c r="A20" s="288">
        <v>44004</v>
      </c>
      <c r="B20" s="268">
        <v>662376959</v>
      </c>
      <c r="C20" s="268">
        <v>14</v>
      </c>
      <c r="D20" s="268">
        <v>10</v>
      </c>
      <c r="E20" s="268">
        <v>3</v>
      </c>
      <c r="F20" s="268">
        <v>0</v>
      </c>
      <c r="G20" s="268">
        <v>0</v>
      </c>
      <c r="H20" s="268">
        <v>1</v>
      </c>
      <c r="I20" s="268">
        <v>1</v>
      </c>
      <c r="J20" s="268">
        <v>1</v>
      </c>
      <c r="L20" s="288">
        <v>43982</v>
      </c>
      <c r="M20" s="268" t="s">
        <v>148</v>
      </c>
      <c r="N20" s="268">
        <v>1</v>
      </c>
      <c r="O20" s="268">
        <v>0</v>
      </c>
      <c r="Q20" s="296" t="s">
        <v>137</v>
      </c>
      <c r="R20" s="297">
        <v>3</v>
      </c>
      <c r="S20" s="298">
        <v>2</v>
      </c>
      <c r="T20" s="299">
        <v>0.6</v>
      </c>
      <c r="U20" s="151">
        <f t="shared" ca="1" si="1"/>
        <v>14.523982484224332</v>
      </c>
      <c r="V20" s="267" t="str">
        <f>PLANTILLA!D8</f>
        <v>S. Swärdborn</v>
      </c>
      <c r="W20" s="88">
        <f ca="1">PLANTILLA!AH8</f>
        <v>16.278527810891102</v>
      </c>
    </row>
    <row r="21" spans="1:23" x14ac:dyDescent="0.25">
      <c r="A21" s="288">
        <v>44005</v>
      </c>
      <c r="B21" s="268">
        <v>18799271</v>
      </c>
      <c r="C21" s="268">
        <v>15</v>
      </c>
      <c r="D21" s="268">
        <v>6</v>
      </c>
      <c r="E21" s="268">
        <v>1</v>
      </c>
      <c r="F21" s="268">
        <v>0</v>
      </c>
      <c r="G21" s="268">
        <v>0</v>
      </c>
      <c r="H21" s="268">
        <v>0</v>
      </c>
      <c r="I21" s="268">
        <v>0</v>
      </c>
      <c r="J21" s="268">
        <v>1</v>
      </c>
      <c r="L21" s="288">
        <v>43990</v>
      </c>
      <c r="M21" s="268" t="s">
        <v>159</v>
      </c>
      <c r="N21" s="268">
        <v>0</v>
      </c>
      <c r="O21" s="268">
        <v>1</v>
      </c>
      <c r="Q21" s="296" t="s">
        <v>144</v>
      </c>
      <c r="R21" s="297">
        <v>3</v>
      </c>
      <c r="S21" s="298">
        <v>2</v>
      </c>
      <c r="T21" s="299">
        <v>0.6</v>
      </c>
      <c r="U21" s="151">
        <f t="shared" ca="1" si="1"/>
        <v>12.971682353490184</v>
      </c>
      <c r="V21" s="267" t="str">
        <f>PLANTILLA!D9</f>
        <v>A. Grimaud</v>
      </c>
      <c r="W21" s="88">
        <f ca="1">PLANTILLA!AH9</f>
        <v>14.523982484224332</v>
      </c>
    </row>
    <row r="22" spans="1:23" x14ac:dyDescent="0.25">
      <c r="A22" s="288">
        <v>44007</v>
      </c>
      <c r="B22" s="268">
        <v>18799286</v>
      </c>
      <c r="C22" s="268">
        <v>14</v>
      </c>
      <c r="D22" s="268">
        <v>7</v>
      </c>
      <c r="E22" s="268">
        <v>3</v>
      </c>
      <c r="F22" s="268">
        <v>0</v>
      </c>
      <c r="G22" s="268">
        <v>0</v>
      </c>
      <c r="H22" s="268">
        <v>0</v>
      </c>
      <c r="I22" s="268">
        <v>3</v>
      </c>
      <c r="J22" s="268">
        <v>0</v>
      </c>
      <c r="L22" s="288">
        <v>43990</v>
      </c>
      <c r="M22" s="268" t="s">
        <v>154</v>
      </c>
      <c r="N22" s="268">
        <v>0</v>
      </c>
      <c r="O22" s="268">
        <v>1</v>
      </c>
      <c r="Q22" s="296" t="s">
        <v>159</v>
      </c>
      <c r="R22" s="297">
        <v>9</v>
      </c>
      <c r="S22" s="298">
        <v>7</v>
      </c>
      <c r="T22" s="299">
        <v>0.5625</v>
      </c>
      <c r="U22" s="151" t="e">
        <f t="shared" si="1"/>
        <v>#N/A</v>
      </c>
      <c r="V22" s="267" t="str">
        <f>PLANTILLA!D10</f>
        <v>E. Deus</v>
      </c>
      <c r="W22" s="88">
        <f ca="1">PLANTILLA!AH10</f>
        <v>12.971682353490184</v>
      </c>
    </row>
    <row r="23" spans="1:23" x14ac:dyDescent="0.25">
      <c r="A23" s="288">
        <v>44010</v>
      </c>
      <c r="B23" s="268">
        <v>18799288</v>
      </c>
      <c r="C23" s="268">
        <v>15</v>
      </c>
      <c r="D23" s="268">
        <v>6</v>
      </c>
      <c r="E23" s="268">
        <v>2</v>
      </c>
      <c r="F23" s="268">
        <v>1</v>
      </c>
      <c r="G23" s="268">
        <v>0</v>
      </c>
      <c r="H23" s="268">
        <v>1</v>
      </c>
      <c r="I23" s="268">
        <v>0</v>
      </c>
      <c r="J23" s="268">
        <v>0</v>
      </c>
      <c r="L23" s="288">
        <v>43990</v>
      </c>
      <c r="M23" s="268" t="s">
        <v>148</v>
      </c>
      <c r="N23" s="268">
        <v>0</v>
      </c>
      <c r="O23" s="268">
        <v>1</v>
      </c>
      <c r="Q23" s="296" t="s">
        <v>146</v>
      </c>
      <c r="R23" s="297">
        <v>5</v>
      </c>
      <c r="S23" s="298">
        <v>4</v>
      </c>
      <c r="T23" s="299">
        <v>0.55555555555555558</v>
      </c>
      <c r="U23" s="151">
        <f t="shared" ca="1" si="1"/>
        <v>18.632984437035994</v>
      </c>
      <c r="V23" s="267" t="str">
        <f>PLANTILLA!D11</f>
        <v>M.A. Balbinot</v>
      </c>
      <c r="W23" s="88">
        <f ca="1">PLANTILLA!AH11</f>
        <v>18.507455773800878</v>
      </c>
    </row>
    <row r="24" spans="1:23" x14ac:dyDescent="0.25">
      <c r="A24" s="288">
        <v>44011</v>
      </c>
      <c r="B24" s="268">
        <v>662376963</v>
      </c>
      <c r="C24" s="268">
        <v>15</v>
      </c>
      <c r="D24" s="268">
        <v>4</v>
      </c>
      <c r="E24" s="268">
        <v>0</v>
      </c>
      <c r="F24" s="268">
        <v>0</v>
      </c>
      <c r="G24" s="268">
        <v>0</v>
      </c>
      <c r="H24" s="268">
        <v>0</v>
      </c>
      <c r="I24" s="268">
        <v>0</v>
      </c>
      <c r="J24" s="268">
        <v>0</v>
      </c>
      <c r="L24" s="288">
        <v>43997</v>
      </c>
      <c r="M24" s="268" t="s">
        <v>146</v>
      </c>
      <c r="N24" s="268">
        <v>1</v>
      </c>
      <c r="O24" s="268">
        <v>0</v>
      </c>
      <c r="Q24" s="296" t="s">
        <v>152</v>
      </c>
      <c r="R24" s="297">
        <v>12</v>
      </c>
      <c r="S24" s="298">
        <v>10</v>
      </c>
      <c r="T24" s="299">
        <v>0.54545454545454541</v>
      </c>
      <c r="U24" s="151">
        <f t="shared" ca="1" si="1"/>
        <v>16.843319256045241</v>
      </c>
      <c r="V24" s="267" t="str">
        <f>PLANTILLA!D12</f>
        <v>P. Tuderek</v>
      </c>
      <c r="W24" s="88">
        <f ca="1">PLANTILLA!AH12</f>
        <v>20.03658084505485</v>
      </c>
    </row>
    <row r="25" spans="1:23" x14ac:dyDescent="0.25">
      <c r="A25" s="288">
        <v>44012</v>
      </c>
      <c r="B25" s="268">
        <v>18799301</v>
      </c>
      <c r="C25" s="268">
        <v>15</v>
      </c>
      <c r="D25" s="268">
        <v>7</v>
      </c>
      <c r="E25" s="268">
        <v>3</v>
      </c>
      <c r="F25" s="268">
        <v>0</v>
      </c>
      <c r="G25" s="268">
        <v>0</v>
      </c>
      <c r="H25" s="268">
        <v>3</v>
      </c>
      <c r="I25" s="268">
        <v>0</v>
      </c>
      <c r="J25" s="268">
        <v>0</v>
      </c>
      <c r="L25" s="288">
        <v>44000</v>
      </c>
      <c r="M25" s="268" t="s">
        <v>152</v>
      </c>
      <c r="N25" s="268">
        <v>0</v>
      </c>
      <c r="O25" s="268">
        <v>1</v>
      </c>
      <c r="Q25" s="296" t="s">
        <v>150</v>
      </c>
      <c r="R25" s="297">
        <v>4</v>
      </c>
      <c r="S25" s="298">
        <v>4</v>
      </c>
      <c r="T25" s="299">
        <v>0.5</v>
      </c>
      <c r="U25" s="151">
        <f t="shared" ca="1" si="1"/>
        <v>19.568564502852976</v>
      </c>
      <c r="V25" s="267" t="str">
        <f>PLANTILLA!D13</f>
        <v>R. Forsyth</v>
      </c>
      <c r="W25" s="88">
        <f ca="1">PLANTILLA!AH13</f>
        <v>15.883637288979813</v>
      </c>
    </row>
    <row r="26" spans="1:23" x14ac:dyDescent="0.25">
      <c r="A26" s="288">
        <v>44014</v>
      </c>
      <c r="B26" s="268">
        <v>663085087</v>
      </c>
      <c r="C26" s="268">
        <v>15</v>
      </c>
      <c r="D26" s="268">
        <v>10</v>
      </c>
      <c r="E26" s="268">
        <v>4</v>
      </c>
      <c r="F26" s="268">
        <v>1</v>
      </c>
      <c r="G26" s="268">
        <v>2</v>
      </c>
      <c r="H26" s="268">
        <v>1</v>
      </c>
      <c r="I26" s="268">
        <v>0</v>
      </c>
      <c r="J26" s="268">
        <v>0</v>
      </c>
      <c r="L26" s="288">
        <v>44004</v>
      </c>
      <c r="M26" s="268" t="s">
        <v>156</v>
      </c>
      <c r="N26" s="268">
        <v>1</v>
      </c>
      <c r="O26" s="268">
        <v>0</v>
      </c>
      <c r="Q26" s="296" t="s">
        <v>133</v>
      </c>
      <c r="R26" s="297">
        <v>3</v>
      </c>
      <c r="S26" s="298">
        <v>3</v>
      </c>
      <c r="T26" s="299">
        <v>0.5</v>
      </c>
      <c r="U26" s="151" t="e">
        <f t="shared" si="1"/>
        <v>#N/A</v>
      </c>
      <c r="V26" s="267" t="str">
        <f>PLANTILLA!D14</f>
        <v>Dusty Ware</v>
      </c>
      <c r="W26" s="88">
        <f ca="1">PLANTILLA!AH14</f>
        <v>15.658732956779987</v>
      </c>
    </row>
    <row r="27" spans="1:23" x14ac:dyDescent="0.25">
      <c r="A27" s="288">
        <v>44014</v>
      </c>
      <c r="B27" s="268">
        <v>18799305</v>
      </c>
      <c r="C27" s="268">
        <v>14</v>
      </c>
      <c r="D27" s="268">
        <v>8</v>
      </c>
      <c r="E27" s="268">
        <v>2</v>
      </c>
      <c r="F27" s="268">
        <v>0</v>
      </c>
      <c r="G27" s="268">
        <v>0</v>
      </c>
      <c r="H27" s="268">
        <v>0</v>
      </c>
      <c r="I27" s="268">
        <v>1</v>
      </c>
      <c r="J27" s="268">
        <v>1</v>
      </c>
      <c r="L27" s="288">
        <v>44004</v>
      </c>
      <c r="M27" s="268" t="s">
        <v>160</v>
      </c>
      <c r="N27" s="268">
        <v>1</v>
      </c>
      <c r="O27" s="268">
        <v>0</v>
      </c>
      <c r="Q27" s="296" t="s">
        <v>156</v>
      </c>
      <c r="R27" s="297">
        <v>2</v>
      </c>
      <c r="S27" s="298">
        <v>2</v>
      </c>
      <c r="T27" s="299">
        <v>0.5</v>
      </c>
      <c r="U27" s="151">
        <f t="shared" ca="1" si="1"/>
        <v>15.883637288979813</v>
      </c>
      <c r="V27" s="267" t="str">
        <f>PLANTILLA!D15</f>
        <v>S. Gencel</v>
      </c>
      <c r="W27" s="88">
        <f ca="1">PLANTILLA!AH15</f>
        <v>15.802073542307504</v>
      </c>
    </row>
    <row r="28" spans="1:23" x14ac:dyDescent="0.25">
      <c r="A28" s="288">
        <v>44017</v>
      </c>
      <c r="B28" s="268">
        <v>18799314</v>
      </c>
      <c r="C28" s="268">
        <v>15</v>
      </c>
      <c r="D28" s="268">
        <v>5</v>
      </c>
      <c r="E28" s="268">
        <v>1</v>
      </c>
      <c r="F28" s="268">
        <v>0</v>
      </c>
      <c r="G28" s="268">
        <v>0</v>
      </c>
      <c r="H28" s="268">
        <v>1</v>
      </c>
      <c r="I28" s="268">
        <v>0</v>
      </c>
      <c r="J28" s="268">
        <v>0</v>
      </c>
      <c r="L28" s="288">
        <v>44004</v>
      </c>
      <c r="M28" s="268" t="s">
        <v>146</v>
      </c>
      <c r="N28" s="268">
        <v>0</v>
      </c>
      <c r="O28" s="268">
        <v>1</v>
      </c>
      <c r="Q28" s="296" t="s">
        <v>135</v>
      </c>
      <c r="R28" s="297">
        <v>2</v>
      </c>
      <c r="S28" s="298">
        <v>3</v>
      </c>
      <c r="T28" s="299">
        <v>0.4</v>
      </c>
      <c r="U28" s="151">
        <f t="shared" ca="1" si="1"/>
        <v>16.278527810891102</v>
      </c>
      <c r="V28" s="267" t="str">
        <f>PLANTILLA!D16</f>
        <v>I. Conteanu</v>
      </c>
      <c r="W28" s="88">
        <f ca="1">PLANTILLA!AH16</f>
        <v>19.066305040080785</v>
      </c>
    </row>
    <row r="29" spans="1:23" x14ac:dyDescent="0.25">
      <c r="A29" s="288">
        <v>44018</v>
      </c>
      <c r="B29" s="268">
        <v>662376969</v>
      </c>
      <c r="C29" s="268">
        <v>15</v>
      </c>
      <c r="D29" s="268">
        <v>8</v>
      </c>
      <c r="E29" s="268">
        <v>1</v>
      </c>
      <c r="F29" s="268">
        <v>0</v>
      </c>
      <c r="G29" s="268">
        <v>0</v>
      </c>
      <c r="H29" s="268">
        <v>0</v>
      </c>
      <c r="I29" s="268">
        <v>1</v>
      </c>
      <c r="J29" s="268">
        <v>0</v>
      </c>
      <c r="L29" s="288">
        <v>44005</v>
      </c>
      <c r="M29" s="268" t="s">
        <v>131</v>
      </c>
      <c r="N29" s="268">
        <v>0</v>
      </c>
      <c r="O29" s="268">
        <v>1</v>
      </c>
      <c r="Q29" s="296" t="s">
        <v>140</v>
      </c>
      <c r="R29" s="297">
        <v>3</v>
      </c>
      <c r="S29" s="298">
        <v>7</v>
      </c>
      <c r="T29" s="299">
        <v>0.3</v>
      </c>
      <c r="U29" s="151">
        <f t="shared" ca="1" si="1"/>
        <v>17.877020349836673</v>
      </c>
      <c r="V29" s="267" t="str">
        <f>PLANTILLA!D17</f>
        <v>I. Vanags</v>
      </c>
      <c r="W29" s="88">
        <f ca="1">PLANTILLA!AH17</f>
        <v>18.632984437035994</v>
      </c>
    </row>
    <row r="30" spans="1:23" x14ac:dyDescent="0.25">
      <c r="A30" s="288">
        <v>44019</v>
      </c>
      <c r="B30" s="268">
        <v>18799322</v>
      </c>
      <c r="C30" s="268">
        <v>15</v>
      </c>
      <c r="D30" s="268">
        <v>10</v>
      </c>
      <c r="E30" s="268">
        <v>3</v>
      </c>
      <c r="F30" s="268">
        <v>1</v>
      </c>
      <c r="G30" s="268">
        <v>0</v>
      </c>
      <c r="H30" s="268">
        <v>1</v>
      </c>
      <c r="I30" s="268">
        <v>1</v>
      </c>
      <c r="J30" s="268">
        <v>0</v>
      </c>
      <c r="L30" s="288">
        <v>44007</v>
      </c>
      <c r="M30" s="268" t="s">
        <v>152</v>
      </c>
      <c r="N30" s="268">
        <v>2</v>
      </c>
      <c r="O30" s="268">
        <v>0</v>
      </c>
      <c r="Q30" s="296" t="s">
        <v>131</v>
      </c>
      <c r="R30" s="297">
        <v>0</v>
      </c>
      <c r="S30" s="298">
        <v>1</v>
      </c>
      <c r="T30" s="299">
        <v>0</v>
      </c>
      <c r="U30" s="151" t="e">
        <f t="shared" si="1"/>
        <v>#N/A</v>
      </c>
      <c r="V30" s="267" t="str">
        <f>PLANTILLA!D18</f>
        <v>I. Stone</v>
      </c>
      <c r="W30" s="88">
        <f ca="1">PLANTILLA!AH18</f>
        <v>21.385448765289787</v>
      </c>
    </row>
    <row r="31" spans="1:23" x14ac:dyDescent="0.25">
      <c r="A31" s="288">
        <v>44021</v>
      </c>
      <c r="B31" s="268">
        <v>663163558</v>
      </c>
      <c r="C31" s="268">
        <v>14</v>
      </c>
      <c r="D31" s="268">
        <v>8</v>
      </c>
      <c r="E31" s="268">
        <v>3</v>
      </c>
      <c r="F31" s="268">
        <v>1</v>
      </c>
      <c r="G31" s="268">
        <v>1</v>
      </c>
      <c r="H31" s="268">
        <v>1</v>
      </c>
      <c r="I31" s="268">
        <v>0</v>
      </c>
      <c r="J31" s="268">
        <v>0</v>
      </c>
      <c r="L31" s="288">
        <v>44007</v>
      </c>
      <c r="M31" s="268" t="s">
        <v>154</v>
      </c>
      <c r="N31" s="268">
        <v>1</v>
      </c>
      <c r="O31" s="268">
        <v>0</v>
      </c>
      <c r="Q31" s="296" t="s">
        <v>542</v>
      </c>
      <c r="R31" s="297">
        <v>0</v>
      </c>
      <c r="S31" s="298">
        <v>2</v>
      </c>
      <c r="T31" s="299">
        <v>0</v>
      </c>
      <c r="U31" s="151" t="e">
        <f t="shared" si="1"/>
        <v>#N/A</v>
      </c>
      <c r="V31" s="267" t="str">
        <f>PLANTILLA!D19</f>
        <v>G. Piscaer</v>
      </c>
      <c r="W31" s="88">
        <f ca="1">PLANTILLA!AH19</f>
        <v>19.568564502852976</v>
      </c>
    </row>
    <row r="32" spans="1:23" x14ac:dyDescent="0.25">
      <c r="A32" s="288">
        <v>44021</v>
      </c>
      <c r="B32" s="268">
        <v>18799331</v>
      </c>
      <c r="C32" s="268">
        <v>15</v>
      </c>
      <c r="D32" s="268">
        <v>10</v>
      </c>
      <c r="E32" s="268">
        <v>3</v>
      </c>
      <c r="F32" s="268">
        <v>1</v>
      </c>
      <c r="G32" s="268">
        <v>0</v>
      </c>
      <c r="H32" s="268">
        <v>1</v>
      </c>
      <c r="I32" s="268">
        <v>0</v>
      </c>
      <c r="J32" s="268">
        <v>1</v>
      </c>
      <c r="L32" s="288">
        <v>44010</v>
      </c>
      <c r="M32" s="268" t="s">
        <v>137</v>
      </c>
      <c r="N32" s="268">
        <v>1</v>
      </c>
      <c r="O32" s="268">
        <v>0</v>
      </c>
      <c r="Q32" s="296" t="s">
        <v>161</v>
      </c>
      <c r="R32" s="297">
        <v>0</v>
      </c>
      <c r="S32" s="298">
        <v>1</v>
      </c>
      <c r="T32" s="299">
        <v>0</v>
      </c>
      <c r="U32" s="151" t="e">
        <f t="shared" si="1"/>
        <v>#N/A</v>
      </c>
      <c r="V32" s="267" t="str">
        <f>PLANTILLA!D20</f>
        <v>M. Bondarewski</v>
      </c>
      <c r="W32" s="88">
        <f ca="1">PLANTILLA!AH20</f>
        <v>16.843319256045241</v>
      </c>
    </row>
    <row r="33" spans="1:23" x14ac:dyDescent="0.25">
      <c r="A33" s="288">
        <v>44024</v>
      </c>
      <c r="B33" s="268">
        <v>18799339</v>
      </c>
      <c r="C33" s="268">
        <v>15</v>
      </c>
      <c r="D33" s="268">
        <v>10</v>
      </c>
      <c r="E33" s="268">
        <v>2</v>
      </c>
      <c r="F33" s="268">
        <v>1</v>
      </c>
      <c r="G33" s="268">
        <v>0</v>
      </c>
      <c r="H33" s="268">
        <v>0</v>
      </c>
      <c r="I33" s="268">
        <v>1</v>
      </c>
      <c r="J33" s="268">
        <v>0</v>
      </c>
      <c r="L33" s="288">
        <v>44010</v>
      </c>
      <c r="M33" s="268" t="s">
        <v>152</v>
      </c>
      <c r="N33" s="268">
        <v>1</v>
      </c>
      <c r="O33" s="268">
        <v>0</v>
      </c>
      <c r="Q33" s="305" t="s">
        <v>192</v>
      </c>
      <c r="R33" s="306">
        <v>69</v>
      </c>
      <c r="S33" s="307">
        <v>59</v>
      </c>
      <c r="T33" s="308">
        <v>0.5390625</v>
      </c>
      <c r="V33" s="267">
        <f>PLANTILLA!D21</f>
        <v>0</v>
      </c>
      <c r="W33" s="88">
        <f>PLANTILLA!AH21</f>
        <v>0</v>
      </c>
    </row>
    <row r="34" spans="1:23" x14ac:dyDescent="0.25">
      <c r="A34" s="288">
        <v>44025</v>
      </c>
      <c r="B34" s="268">
        <v>662376971</v>
      </c>
      <c r="C34" s="268">
        <v>15</v>
      </c>
      <c r="D34" s="268">
        <v>7</v>
      </c>
      <c r="E34" s="268">
        <v>4</v>
      </c>
      <c r="F34" s="268">
        <v>0</v>
      </c>
      <c r="G34" s="268">
        <v>0</v>
      </c>
      <c r="H34" s="268">
        <v>2</v>
      </c>
      <c r="I34" s="268">
        <v>2</v>
      </c>
      <c r="J34" s="268">
        <v>0</v>
      </c>
      <c r="L34" s="288">
        <v>44012</v>
      </c>
      <c r="M34" s="268" t="s">
        <v>152</v>
      </c>
      <c r="N34" s="268">
        <v>1</v>
      </c>
      <c r="O34" s="268">
        <v>0</v>
      </c>
      <c r="V34" s="267">
        <f>PLANTILLA!D22</f>
        <v>0</v>
      </c>
      <c r="W34" s="88">
        <f>PLANTILLA!AH22</f>
        <v>0</v>
      </c>
    </row>
    <row r="35" spans="1:23" x14ac:dyDescent="0.25">
      <c r="A35" s="288">
        <v>44026</v>
      </c>
      <c r="B35" s="268">
        <v>18799345</v>
      </c>
      <c r="C35" s="268">
        <v>15</v>
      </c>
      <c r="D35" s="268">
        <v>10</v>
      </c>
      <c r="E35" s="268">
        <v>2</v>
      </c>
      <c r="F35" s="268">
        <v>1</v>
      </c>
      <c r="G35" s="268">
        <v>0</v>
      </c>
      <c r="H35" s="268">
        <v>0</v>
      </c>
      <c r="I35" s="268">
        <v>1</v>
      </c>
      <c r="J35" s="268">
        <v>0</v>
      </c>
      <c r="L35" s="288">
        <v>44012</v>
      </c>
      <c r="M35" s="268" t="s">
        <v>159</v>
      </c>
      <c r="N35" s="268">
        <v>1</v>
      </c>
      <c r="O35" s="268">
        <v>0</v>
      </c>
      <c r="V35" s="267">
        <f>PLANTILLA!D23</f>
        <v>0</v>
      </c>
      <c r="W35" s="88">
        <f>PLANTILLA!AH23</f>
        <v>0</v>
      </c>
    </row>
    <row r="36" spans="1:23" x14ac:dyDescent="0.25">
      <c r="A36" s="288">
        <v>44028</v>
      </c>
      <c r="B36" s="268">
        <v>663238565</v>
      </c>
      <c r="C36" s="268">
        <v>15</v>
      </c>
      <c r="D36" s="268">
        <v>9</v>
      </c>
      <c r="E36" s="268">
        <v>3</v>
      </c>
      <c r="F36" s="268">
        <v>0</v>
      </c>
      <c r="G36" s="268">
        <v>1</v>
      </c>
      <c r="H36" s="268">
        <v>1</v>
      </c>
      <c r="I36" s="268">
        <v>1</v>
      </c>
      <c r="J36" s="268">
        <v>0</v>
      </c>
      <c r="L36" s="288">
        <v>44012</v>
      </c>
      <c r="M36" s="268" t="s">
        <v>146</v>
      </c>
      <c r="N36" s="268">
        <v>0</v>
      </c>
      <c r="O36" s="268">
        <v>1</v>
      </c>
      <c r="V36" s="267">
        <f>PLANTILLA!D24</f>
        <v>0</v>
      </c>
      <c r="W36" s="88">
        <f>PLANTILLA!AH24</f>
        <v>0</v>
      </c>
    </row>
    <row r="37" spans="1:23" x14ac:dyDescent="0.25">
      <c r="A37" s="288">
        <v>44028</v>
      </c>
      <c r="B37" s="268">
        <v>18799355</v>
      </c>
      <c r="C37" s="268">
        <v>16</v>
      </c>
      <c r="D37" s="268">
        <v>10</v>
      </c>
      <c r="E37" s="268">
        <v>2</v>
      </c>
      <c r="F37" s="268">
        <v>0</v>
      </c>
      <c r="G37" s="268">
        <v>0</v>
      </c>
      <c r="H37" s="268">
        <v>2</v>
      </c>
      <c r="I37" s="268">
        <v>0</v>
      </c>
      <c r="J37" s="268">
        <v>0</v>
      </c>
      <c r="L37" s="288">
        <v>44014</v>
      </c>
      <c r="M37" s="268" t="s">
        <v>144</v>
      </c>
      <c r="N37" s="268">
        <v>1</v>
      </c>
      <c r="O37" s="268">
        <v>0</v>
      </c>
    </row>
    <row r="38" spans="1:23" x14ac:dyDescent="0.25">
      <c r="A38" s="288">
        <v>44031</v>
      </c>
      <c r="B38" s="268">
        <v>18799359</v>
      </c>
      <c r="C38" s="268">
        <v>15</v>
      </c>
      <c r="D38" s="268">
        <v>7</v>
      </c>
      <c r="E38" s="268">
        <v>2</v>
      </c>
      <c r="F38" s="268">
        <v>2</v>
      </c>
      <c r="G38" s="268">
        <v>0</v>
      </c>
      <c r="H38" s="268">
        <v>0</v>
      </c>
      <c r="I38" s="268">
        <v>0</v>
      </c>
      <c r="J38" s="268">
        <v>0</v>
      </c>
      <c r="L38" s="288">
        <v>44014</v>
      </c>
      <c r="M38" s="268" t="s">
        <v>140</v>
      </c>
      <c r="N38" s="268">
        <v>0</v>
      </c>
      <c r="O38" s="268">
        <v>1</v>
      </c>
    </row>
    <row r="39" spans="1:23" x14ac:dyDescent="0.25">
      <c r="A39" s="288">
        <v>44033</v>
      </c>
      <c r="B39" s="268">
        <v>18799373</v>
      </c>
      <c r="C39" s="268">
        <v>15</v>
      </c>
      <c r="D39" s="268">
        <v>10</v>
      </c>
      <c r="E39" s="268">
        <v>4</v>
      </c>
      <c r="F39" s="268">
        <v>2</v>
      </c>
      <c r="G39" s="268">
        <v>1</v>
      </c>
      <c r="H39" s="268">
        <v>0</v>
      </c>
      <c r="I39" s="268">
        <v>1</v>
      </c>
      <c r="J39" s="268">
        <v>0</v>
      </c>
      <c r="L39" s="288">
        <v>44014</v>
      </c>
      <c r="M39" s="268" t="s">
        <v>159</v>
      </c>
      <c r="N39" s="268">
        <v>0</v>
      </c>
      <c r="O39" s="268">
        <v>1</v>
      </c>
    </row>
    <row r="40" spans="1:23" x14ac:dyDescent="0.25">
      <c r="A40" s="288">
        <v>44035</v>
      </c>
      <c r="B40" s="268">
        <v>663312307</v>
      </c>
      <c r="C40" s="268">
        <v>15</v>
      </c>
      <c r="D40" s="268">
        <v>7</v>
      </c>
      <c r="E40" s="268">
        <v>2</v>
      </c>
      <c r="F40" s="268">
        <v>0</v>
      </c>
      <c r="G40" s="268">
        <v>0</v>
      </c>
      <c r="H40" s="268">
        <v>1</v>
      </c>
      <c r="I40" s="268">
        <v>1</v>
      </c>
      <c r="J40" s="268">
        <v>0</v>
      </c>
      <c r="L40" s="288">
        <v>44014</v>
      </c>
      <c r="M40" s="268" t="s">
        <v>160</v>
      </c>
      <c r="N40" s="268">
        <v>1</v>
      </c>
      <c r="O40" s="268">
        <v>0</v>
      </c>
    </row>
    <row r="41" spans="1:23" x14ac:dyDescent="0.25">
      <c r="A41" s="288">
        <v>44035</v>
      </c>
      <c r="B41" s="268">
        <v>18799375</v>
      </c>
      <c r="C41" s="268">
        <v>16</v>
      </c>
      <c r="D41" s="268">
        <v>6</v>
      </c>
      <c r="E41" s="268">
        <v>1</v>
      </c>
      <c r="F41" s="268">
        <v>0</v>
      </c>
      <c r="G41" s="268">
        <v>0</v>
      </c>
      <c r="H41" s="268">
        <v>0</v>
      </c>
      <c r="I41" s="268">
        <v>0</v>
      </c>
      <c r="J41" s="268">
        <v>1</v>
      </c>
      <c r="L41" s="288">
        <v>44014</v>
      </c>
      <c r="M41" s="268" t="s">
        <v>135</v>
      </c>
      <c r="N41" s="268">
        <v>1</v>
      </c>
      <c r="O41" s="268">
        <v>0</v>
      </c>
    </row>
    <row r="42" spans="1:23" x14ac:dyDescent="0.25">
      <c r="A42" s="288">
        <v>44038</v>
      </c>
      <c r="B42" s="268">
        <v>18799390</v>
      </c>
      <c r="C42" s="268">
        <v>16</v>
      </c>
      <c r="D42" s="268">
        <v>7</v>
      </c>
      <c r="E42" s="268">
        <v>2</v>
      </c>
      <c r="F42" s="268">
        <v>1</v>
      </c>
      <c r="G42" s="268">
        <v>0</v>
      </c>
      <c r="H42" s="268">
        <v>1</v>
      </c>
      <c r="I42" s="268">
        <v>0</v>
      </c>
      <c r="J42" s="268">
        <v>0</v>
      </c>
      <c r="L42" s="288">
        <v>44014</v>
      </c>
      <c r="M42" s="268" t="s">
        <v>146</v>
      </c>
      <c r="N42" s="268">
        <v>0</v>
      </c>
      <c r="O42" s="268">
        <v>1</v>
      </c>
    </row>
    <row r="43" spans="1:23" x14ac:dyDescent="0.25">
      <c r="A43" s="288">
        <v>44040</v>
      </c>
      <c r="B43" s="268">
        <v>18799400</v>
      </c>
      <c r="C43" s="268">
        <v>15</v>
      </c>
      <c r="D43" s="268">
        <v>5</v>
      </c>
      <c r="E43" s="268">
        <v>1</v>
      </c>
      <c r="F43" s="268">
        <v>0</v>
      </c>
      <c r="G43" s="268">
        <v>1</v>
      </c>
      <c r="H43" s="268">
        <v>0</v>
      </c>
      <c r="I43" s="268">
        <v>0</v>
      </c>
      <c r="J43" s="268">
        <v>0</v>
      </c>
      <c r="L43" s="288">
        <v>44017</v>
      </c>
      <c r="M43" s="268" t="s">
        <v>156</v>
      </c>
      <c r="N43" s="268">
        <v>0</v>
      </c>
      <c r="O43" s="268">
        <v>1</v>
      </c>
    </row>
    <row r="44" spans="1:23" x14ac:dyDescent="0.25">
      <c r="A44" s="288">
        <v>44042</v>
      </c>
      <c r="B44" s="268">
        <v>663388126</v>
      </c>
      <c r="C44" s="268">
        <v>16</v>
      </c>
      <c r="D44" s="268">
        <v>8</v>
      </c>
      <c r="E44" s="268">
        <v>2</v>
      </c>
      <c r="F44" s="268">
        <v>0</v>
      </c>
      <c r="G44" s="268">
        <v>0</v>
      </c>
      <c r="H44" s="268">
        <v>2</v>
      </c>
      <c r="I44" s="268">
        <v>0</v>
      </c>
      <c r="J44" s="268">
        <v>0</v>
      </c>
      <c r="L44" s="288">
        <v>44018</v>
      </c>
      <c r="M44" s="268" t="s">
        <v>159</v>
      </c>
      <c r="N44" s="268">
        <v>1</v>
      </c>
      <c r="O44" s="268">
        <v>0</v>
      </c>
    </row>
    <row r="45" spans="1:23" x14ac:dyDescent="0.25">
      <c r="A45" s="288">
        <v>44042</v>
      </c>
      <c r="B45" s="268">
        <v>18799398</v>
      </c>
      <c r="C45" s="268">
        <v>16</v>
      </c>
      <c r="D45" s="268">
        <v>7</v>
      </c>
      <c r="E45" s="268">
        <v>2</v>
      </c>
      <c r="F45" s="268">
        <v>0</v>
      </c>
      <c r="G45" s="268">
        <v>0</v>
      </c>
      <c r="H45" s="268">
        <v>1</v>
      </c>
      <c r="I45" s="268">
        <v>1</v>
      </c>
      <c r="J45" s="268">
        <v>0</v>
      </c>
      <c r="L45" s="288">
        <v>44019</v>
      </c>
      <c r="M45" s="268" t="s">
        <v>159</v>
      </c>
      <c r="N45" s="268">
        <v>1</v>
      </c>
      <c r="O45" s="268">
        <v>0</v>
      </c>
    </row>
    <row r="46" spans="1:23" x14ac:dyDescent="0.25">
      <c r="A46" s="288">
        <v>44047</v>
      </c>
      <c r="B46" s="268">
        <v>18799416</v>
      </c>
      <c r="C46" s="268">
        <v>16</v>
      </c>
      <c r="D46" s="268">
        <v>8</v>
      </c>
      <c r="E46" s="268">
        <v>3</v>
      </c>
      <c r="F46" s="268">
        <v>1</v>
      </c>
      <c r="G46" s="268">
        <v>0</v>
      </c>
      <c r="H46" s="268">
        <v>1</v>
      </c>
      <c r="I46" s="268">
        <v>1</v>
      </c>
      <c r="J46" s="268">
        <v>0</v>
      </c>
      <c r="L46" s="288">
        <v>44019</v>
      </c>
      <c r="M46" s="268" t="s">
        <v>133</v>
      </c>
      <c r="N46" s="268">
        <v>1</v>
      </c>
      <c r="O46" s="268">
        <v>1</v>
      </c>
    </row>
    <row r="47" spans="1:23" x14ac:dyDescent="0.25">
      <c r="A47" s="288">
        <v>44049</v>
      </c>
      <c r="B47" s="268">
        <v>663465755</v>
      </c>
      <c r="C47" s="268">
        <v>16</v>
      </c>
      <c r="D47" s="268">
        <v>8</v>
      </c>
      <c r="E47" s="268">
        <v>2</v>
      </c>
      <c r="F47" s="268">
        <v>0</v>
      </c>
      <c r="G47" s="268">
        <v>1</v>
      </c>
      <c r="H47" s="268">
        <v>0</v>
      </c>
      <c r="I47" s="268">
        <v>1</v>
      </c>
      <c r="J47" s="268">
        <v>0</v>
      </c>
      <c r="L47" s="288">
        <v>44019</v>
      </c>
      <c r="M47" s="268" t="s">
        <v>146</v>
      </c>
      <c r="N47" s="268">
        <v>1</v>
      </c>
      <c r="O47" s="268">
        <v>0</v>
      </c>
    </row>
    <row r="48" spans="1:23" x14ac:dyDescent="0.25">
      <c r="A48" s="288">
        <v>44052</v>
      </c>
      <c r="B48" s="268">
        <v>18799434</v>
      </c>
      <c r="C48" s="268">
        <v>16</v>
      </c>
      <c r="D48" s="268">
        <v>9</v>
      </c>
      <c r="E48" s="268">
        <v>2</v>
      </c>
      <c r="F48" s="268">
        <v>0</v>
      </c>
      <c r="G48" s="268">
        <v>1</v>
      </c>
      <c r="H48" s="268">
        <v>1</v>
      </c>
      <c r="I48" s="268">
        <v>0</v>
      </c>
      <c r="J48" s="268">
        <v>0</v>
      </c>
      <c r="L48" s="288">
        <v>44021</v>
      </c>
      <c r="M48" s="268" t="s">
        <v>137</v>
      </c>
      <c r="N48" s="268">
        <v>0</v>
      </c>
      <c r="O48" s="268">
        <v>1</v>
      </c>
    </row>
    <row r="49" spans="1:15" x14ac:dyDescent="0.25">
      <c r="A49" s="288">
        <v>44053</v>
      </c>
      <c r="B49" s="268">
        <v>662376987</v>
      </c>
      <c r="C49" s="268">
        <v>16</v>
      </c>
      <c r="D49" s="268">
        <v>6</v>
      </c>
      <c r="E49" s="268">
        <v>2</v>
      </c>
      <c r="F49" s="268">
        <v>1</v>
      </c>
      <c r="G49" s="268">
        <v>0</v>
      </c>
      <c r="H49" s="268">
        <v>0</v>
      </c>
      <c r="I49" s="268">
        <v>1</v>
      </c>
      <c r="J49" s="268">
        <v>0</v>
      </c>
      <c r="L49" s="288">
        <v>44021</v>
      </c>
      <c r="M49" s="268" t="s">
        <v>140</v>
      </c>
      <c r="N49" s="268">
        <v>0</v>
      </c>
      <c r="O49" s="268">
        <v>1</v>
      </c>
    </row>
    <row r="50" spans="1:15" x14ac:dyDescent="0.25">
      <c r="A50" s="288">
        <v>44054</v>
      </c>
      <c r="B50" s="268">
        <v>18799443</v>
      </c>
      <c r="C50" s="268">
        <v>17</v>
      </c>
      <c r="D50" s="268">
        <v>10</v>
      </c>
      <c r="E50" s="268">
        <v>2</v>
      </c>
      <c r="F50" s="268">
        <v>0</v>
      </c>
      <c r="G50" s="268">
        <v>0</v>
      </c>
      <c r="H50" s="268">
        <v>1</v>
      </c>
      <c r="I50" s="268">
        <v>1</v>
      </c>
      <c r="J50" s="268">
        <v>0</v>
      </c>
      <c r="L50" s="288">
        <v>44021</v>
      </c>
      <c r="M50" s="268" t="s">
        <v>159</v>
      </c>
      <c r="N50" s="268">
        <v>1</v>
      </c>
      <c r="O50" s="268">
        <v>0</v>
      </c>
    </row>
    <row r="51" spans="1:15" x14ac:dyDescent="0.25">
      <c r="A51" s="288">
        <v>44056</v>
      </c>
      <c r="B51" s="268">
        <v>663544263</v>
      </c>
      <c r="C51" s="268">
        <v>17</v>
      </c>
      <c r="D51" s="268">
        <v>4</v>
      </c>
      <c r="E51" s="268">
        <v>0</v>
      </c>
      <c r="F51" s="268">
        <v>0</v>
      </c>
      <c r="G51" s="268">
        <v>0</v>
      </c>
      <c r="H51" s="268">
        <v>0</v>
      </c>
      <c r="I51" s="268">
        <v>0</v>
      </c>
      <c r="J51" s="268">
        <v>0</v>
      </c>
      <c r="L51" s="288">
        <v>44021</v>
      </c>
      <c r="M51" s="268" t="s">
        <v>150</v>
      </c>
      <c r="N51" s="268">
        <v>0</v>
      </c>
      <c r="O51" s="268">
        <v>1</v>
      </c>
    </row>
    <row r="52" spans="1:15" x14ac:dyDescent="0.25">
      <c r="A52" s="288">
        <v>44056</v>
      </c>
      <c r="B52" s="268">
        <v>18799451</v>
      </c>
      <c r="C52" s="268">
        <v>16</v>
      </c>
      <c r="D52" s="268">
        <v>9</v>
      </c>
      <c r="E52" s="268">
        <v>4</v>
      </c>
      <c r="F52" s="268">
        <v>0</v>
      </c>
      <c r="G52" s="268">
        <v>0</v>
      </c>
      <c r="H52" s="268">
        <v>2</v>
      </c>
      <c r="I52" s="268">
        <v>2</v>
      </c>
      <c r="J52" s="268">
        <v>0</v>
      </c>
      <c r="L52" s="288">
        <v>44021</v>
      </c>
      <c r="M52" s="268" t="s">
        <v>142</v>
      </c>
      <c r="N52" s="268">
        <v>1</v>
      </c>
      <c r="O52" s="268">
        <v>0</v>
      </c>
    </row>
    <row r="53" spans="1:15" x14ac:dyDescent="0.25">
      <c r="A53" s="288">
        <v>44059</v>
      </c>
      <c r="B53" s="268">
        <v>18799458</v>
      </c>
      <c r="C53" s="268">
        <v>16</v>
      </c>
      <c r="D53" s="268">
        <v>10</v>
      </c>
      <c r="E53" s="268">
        <v>4</v>
      </c>
      <c r="F53" s="268">
        <v>1</v>
      </c>
      <c r="G53" s="268">
        <v>1</v>
      </c>
      <c r="H53" s="268">
        <v>1</v>
      </c>
      <c r="I53" s="268">
        <v>1</v>
      </c>
      <c r="J53" s="268">
        <v>0</v>
      </c>
      <c r="L53" s="288">
        <v>44021</v>
      </c>
      <c r="M53" s="268" t="s">
        <v>148</v>
      </c>
      <c r="N53" s="268">
        <v>1</v>
      </c>
      <c r="O53" s="268">
        <v>0</v>
      </c>
    </row>
    <row r="54" spans="1:15" x14ac:dyDescent="0.25">
      <c r="A54" s="288">
        <v>44308</v>
      </c>
      <c r="B54" s="268">
        <v>21910085</v>
      </c>
      <c r="C54" s="268">
        <v>19</v>
      </c>
      <c r="D54" s="268">
        <v>7</v>
      </c>
      <c r="E54" s="268">
        <v>3</v>
      </c>
      <c r="F54" s="268">
        <v>1</v>
      </c>
      <c r="G54" s="268">
        <v>0</v>
      </c>
      <c r="H54" s="268">
        <v>2</v>
      </c>
      <c r="I54" s="268">
        <v>0</v>
      </c>
      <c r="J54" s="268">
        <v>0</v>
      </c>
      <c r="L54" s="288">
        <v>44024</v>
      </c>
      <c r="M54" s="268" t="s">
        <v>140</v>
      </c>
      <c r="N54" s="268">
        <v>1</v>
      </c>
      <c r="O54" s="268">
        <v>1</v>
      </c>
    </row>
    <row r="55" spans="1:15" x14ac:dyDescent="0.25">
      <c r="A55" s="288">
        <v>44307</v>
      </c>
      <c r="B55" s="268">
        <v>2185486</v>
      </c>
      <c r="C55" s="268">
        <v>19</v>
      </c>
      <c r="D55" s="268">
        <v>9</v>
      </c>
      <c r="E55" s="268">
        <v>2</v>
      </c>
      <c r="F55" s="268">
        <v>0</v>
      </c>
      <c r="G55" s="268">
        <v>0</v>
      </c>
      <c r="H55" s="268">
        <v>2</v>
      </c>
      <c r="I55" s="268">
        <v>0</v>
      </c>
      <c r="J55" s="268">
        <v>0</v>
      </c>
      <c r="L55" s="288">
        <v>44024</v>
      </c>
      <c r="M55" s="268" t="s">
        <v>148</v>
      </c>
      <c r="N55" s="268">
        <v>1</v>
      </c>
      <c r="O55" s="268">
        <v>0</v>
      </c>
    </row>
    <row r="56" spans="1:15" x14ac:dyDescent="0.25">
      <c r="A56" s="288">
        <v>44307</v>
      </c>
      <c r="B56" s="268">
        <v>21799788</v>
      </c>
      <c r="C56" s="268">
        <v>19</v>
      </c>
      <c r="D56" s="268">
        <v>8</v>
      </c>
      <c r="E56" s="268">
        <v>1</v>
      </c>
      <c r="F56" s="268">
        <v>0</v>
      </c>
      <c r="G56" s="268">
        <v>0</v>
      </c>
      <c r="H56" s="268">
        <v>1</v>
      </c>
      <c r="I56" s="268">
        <v>0</v>
      </c>
      <c r="J56" s="268">
        <v>0</v>
      </c>
      <c r="L56" s="288">
        <v>44025</v>
      </c>
      <c r="M56" s="268" t="s">
        <v>152</v>
      </c>
      <c r="N56" s="268">
        <v>3</v>
      </c>
      <c r="O56" s="268">
        <v>2</v>
      </c>
    </row>
    <row r="57" spans="1:15" x14ac:dyDescent="0.25">
      <c r="A57" s="288">
        <v>44306</v>
      </c>
      <c r="B57" s="268">
        <v>21744694</v>
      </c>
      <c r="C57" s="268">
        <v>19</v>
      </c>
      <c r="D57" s="268">
        <v>4</v>
      </c>
      <c r="E57" s="268">
        <v>0</v>
      </c>
      <c r="F57" s="268">
        <v>0</v>
      </c>
      <c r="G57" s="268">
        <v>0</v>
      </c>
      <c r="H57" s="268">
        <v>0</v>
      </c>
      <c r="I57" s="268">
        <v>0</v>
      </c>
      <c r="J57" s="268">
        <v>0</v>
      </c>
      <c r="L57" s="288">
        <v>44025</v>
      </c>
      <c r="M57" s="268" t="s">
        <v>154</v>
      </c>
      <c r="N57" s="268">
        <v>2</v>
      </c>
      <c r="O57" s="268">
        <v>1</v>
      </c>
    </row>
    <row r="58" spans="1:15" x14ac:dyDescent="0.25">
      <c r="A58" s="288">
        <v>44306</v>
      </c>
      <c r="B58" s="268">
        <v>21689849</v>
      </c>
      <c r="C58" s="268">
        <v>19</v>
      </c>
      <c r="D58" s="268">
        <v>9</v>
      </c>
      <c r="E58" s="268">
        <v>3</v>
      </c>
      <c r="F58" s="268">
        <v>1</v>
      </c>
      <c r="G58" s="268">
        <v>0</v>
      </c>
      <c r="H58" s="268">
        <v>1</v>
      </c>
      <c r="I58" s="268">
        <v>1</v>
      </c>
      <c r="J58" s="268">
        <v>0</v>
      </c>
      <c r="L58" s="288">
        <v>44025</v>
      </c>
      <c r="M58" s="268" t="s">
        <v>150</v>
      </c>
      <c r="N58" s="268">
        <v>1</v>
      </c>
      <c r="O58" s="268">
        <v>1</v>
      </c>
    </row>
    <row r="59" spans="1:15" x14ac:dyDescent="0.25">
      <c r="A59" s="288">
        <v>44305</v>
      </c>
      <c r="B59" s="268">
        <v>21013089</v>
      </c>
      <c r="C59" s="268">
        <v>19</v>
      </c>
      <c r="D59" s="268">
        <v>5</v>
      </c>
      <c r="E59" s="268">
        <v>2</v>
      </c>
      <c r="F59" s="268">
        <v>0</v>
      </c>
      <c r="G59" s="268">
        <v>0</v>
      </c>
      <c r="H59" s="268">
        <v>2</v>
      </c>
      <c r="I59" s="268">
        <v>0</v>
      </c>
      <c r="J59" s="268">
        <v>0</v>
      </c>
      <c r="L59" s="288">
        <v>44025</v>
      </c>
      <c r="M59" s="268" t="s">
        <v>146</v>
      </c>
      <c r="N59" s="268">
        <v>1</v>
      </c>
      <c r="O59" s="268">
        <v>0</v>
      </c>
    </row>
    <row r="60" spans="1:15" x14ac:dyDescent="0.25">
      <c r="A60" s="288">
        <v>44305</v>
      </c>
      <c r="B60" s="268">
        <v>21634050</v>
      </c>
      <c r="C60" s="268">
        <v>19</v>
      </c>
      <c r="D60" s="268">
        <v>5</v>
      </c>
      <c r="E60" s="268">
        <v>2</v>
      </c>
      <c r="F60" s="268">
        <v>0</v>
      </c>
      <c r="G60" s="268">
        <v>1</v>
      </c>
      <c r="H60" s="268">
        <v>0</v>
      </c>
      <c r="I60" s="268">
        <v>1</v>
      </c>
      <c r="J60" s="268">
        <v>0</v>
      </c>
      <c r="L60" s="288">
        <v>44026</v>
      </c>
      <c r="M60" s="268" t="s">
        <v>140</v>
      </c>
      <c r="N60" s="268">
        <v>0</v>
      </c>
      <c r="O60" s="268">
        <v>1</v>
      </c>
    </row>
    <row r="61" spans="1:15" x14ac:dyDescent="0.25">
      <c r="A61" s="288">
        <v>44306</v>
      </c>
      <c r="B61" s="268">
        <v>21689849</v>
      </c>
      <c r="C61" s="268">
        <v>19</v>
      </c>
      <c r="D61" s="268">
        <v>9</v>
      </c>
      <c r="E61" s="268">
        <v>3</v>
      </c>
      <c r="F61" s="268">
        <v>1</v>
      </c>
      <c r="G61" s="268">
        <v>0</v>
      </c>
      <c r="H61" s="268">
        <v>1</v>
      </c>
      <c r="I61" s="268">
        <v>1</v>
      </c>
      <c r="J61" s="268">
        <v>0</v>
      </c>
      <c r="L61" s="288">
        <v>44026</v>
      </c>
      <c r="M61" s="268" t="s">
        <v>148</v>
      </c>
      <c r="N61" s="268">
        <v>1</v>
      </c>
      <c r="O61" s="268">
        <v>1</v>
      </c>
    </row>
    <row r="62" spans="1:15" x14ac:dyDescent="0.25">
      <c r="A62" s="288">
        <v>44306</v>
      </c>
      <c r="B62" s="268">
        <v>21744694</v>
      </c>
      <c r="C62" s="268">
        <v>19</v>
      </c>
      <c r="D62" s="268">
        <v>4</v>
      </c>
      <c r="E62" s="268">
        <v>0</v>
      </c>
      <c r="F62" s="268">
        <v>0</v>
      </c>
      <c r="G62" s="268">
        <v>0</v>
      </c>
      <c r="H62" s="268">
        <v>0</v>
      </c>
      <c r="I62" s="268">
        <v>0</v>
      </c>
      <c r="J62" s="268">
        <v>0</v>
      </c>
      <c r="L62" s="288">
        <v>44028</v>
      </c>
      <c r="M62" s="268" t="s">
        <v>159</v>
      </c>
      <c r="N62" s="268">
        <v>1</v>
      </c>
      <c r="O62" s="268">
        <v>2</v>
      </c>
    </row>
    <row r="63" spans="1:15" x14ac:dyDescent="0.25">
      <c r="A63" s="288">
        <v>44307</v>
      </c>
      <c r="B63" s="268">
        <v>21799788</v>
      </c>
      <c r="C63" s="268">
        <v>19</v>
      </c>
      <c r="D63" s="268">
        <v>8</v>
      </c>
      <c r="E63" s="268">
        <v>1</v>
      </c>
      <c r="F63" s="268">
        <v>0</v>
      </c>
      <c r="G63" s="268">
        <v>0</v>
      </c>
      <c r="H63" s="268">
        <v>1</v>
      </c>
      <c r="I63" s="268">
        <v>0</v>
      </c>
      <c r="J63" s="268">
        <v>0</v>
      </c>
      <c r="L63" s="288">
        <v>44028</v>
      </c>
      <c r="M63" s="268" t="s">
        <v>154</v>
      </c>
      <c r="N63" s="268">
        <v>1</v>
      </c>
      <c r="O63" s="268">
        <v>0</v>
      </c>
    </row>
    <row r="64" spans="1:15" x14ac:dyDescent="0.25">
      <c r="A64" s="288">
        <v>44307</v>
      </c>
      <c r="B64" s="533">
        <v>21854386</v>
      </c>
      <c r="C64" s="268">
        <v>19</v>
      </c>
      <c r="D64" s="268">
        <v>9</v>
      </c>
      <c r="E64" s="268">
        <v>2</v>
      </c>
      <c r="F64" s="268">
        <v>0</v>
      </c>
      <c r="G64" s="268">
        <v>0</v>
      </c>
      <c r="H64" s="268">
        <v>2</v>
      </c>
      <c r="I64" s="268">
        <v>0</v>
      </c>
      <c r="J64" s="268">
        <v>0</v>
      </c>
      <c r="L64" s="288">
        <v>44028</v>
      </c>
      <c r="M64" s="268" t="s">
        <v>135</v>
      </c>
      <c r="N64" s="268">
        <v>1</v>
      </c>
      <c r="O64" s="268">
        <v>0</v>
      </c>
    </row>
    <row r="65" spans="1:15" x14ac:dyDescent="0.25">
      <c r="A65" s="288">
        <v>44308</v>
      </c>
      <c r="B65" s="268">
        <v>21910085</v>
      </c>
      <c r="C65" s="268">
        <v>19</v>
      </c>
      <c r="D65" s="268">
        <v>7</v>
      </c>
      <c r="E65" s="268">
        <v>3</v>
      </c>
      <c r="F65" s="268">
        <v>1</v>
      </c>
      <c r="G65" s="268">
        <v>0</v>
      </c>
      <c r="H65" s="268">
        <v>2</v>
      </c>
      <c r="I65" s="268">
        <v>0</v>
      </c>
      <c r="J65" s="268">
        <v>0</v>
      </c>
      <c r="L65" s="288">
        <v>44031</v>
      </c>
      <c r="M65" s="268" t="s">
        <v>140</v>
      </c>
      <c r="N65" s="268">
        <v>1</v>
      </c>
      <c r="O65" s="268">
        <v>0</v>
      </c>
    </row>
    <row r="66" spans="1:15" x14ac:dyDescent="0.25">
      <c r="L66" s="288">
        <v>44031</v>
      </c>
      <c r="M66" s="268" t="s">
        <v>142</v>
      </c>
      <c r="N66" s="268">
        <v>1</v>
      </c>
      <c r="O66" s="268">
        <v>0</v>
      </c>
    </row>
    <row r="67" spans="1:15" x14ac:dyDescent="0.25">
      <c r="L67" s="288">
        <v>44033</v>
      </c>
      <c r="M67" s="268" t="s">
        <v>137</v>
      </c>
      <c r="N67" s="268">
        <v>1</v>
      </c>
      <c r="O67" s="268">
        <v>0</v>
      </c>
    </row>
    <row r="68" spans="1:15" x14ac:dyDescent="0.25">
      <c r="L68" s="288">
        <v>44033</v>
      </c>
      <c r="M68" s="268" t="s">
        <v>156</v>
      </c>
      <c r="N68" s="268">
        <v>0</v>
      </c>
      <c r="O68" s="268">
        <v>1</v>
      </c>
    </row>
    <row r="69" spans="1:15" x14ac:dyDescent="0.25">
      <c r="L69" s="288">
        <v>44033</v>
      </c>
      <c r="M69" s="268" t="s">
        <v>142</v>
      </c>
      <c r="N69" s="268">
        <v>1</v>
      </c>
      <c r="O69" s="268">
        <v>1</v>
      </c>
    </row>
    <row r="70" spans="1:15" x14ac:dyDescent="0.25">
      <c r="L70" s="288">
        <v>44035</v>
      </c>
      <c r="M70" s="268" t="s">
        <v>159</v>
      </c>
      <c r="N70" s="268">
        <v>1</v>
      </c>
      <c r="O70" s="268">
        <v>0</v>
      </c>
    </row>
    <row r="71" spans="1:15" x14ac:dyDescent="0.25">
      <c r="L71" s="288">
        <v>44035</v>
      </c>
      <c r="M71" s="268" t="s">
        <v>154</v>
      </c>
      <c r="N71" s="268">
        <v>1</v>
      </c>
      <c r="O71" s="268">
        <v>0</v>
      </c>
    </row>
    <row r="72" spans="1:15" x14ac:dyDescent="0.25">
      <c r="L72" s="288">
        <v>44035</v>
      </c>
      <c r="M72" s="268" t="s">
        <v>150</v>
      </c>
      <c r="N72" s="268">
        <v>1</v>
      </c>
      <c r="O72" s="268">
        <v>0</v>
      </c>
    </row>
    <row r="73" spans="1:15" x14ac:dyDescent="0.25">
      <c r="L73" s="288">
        <v>44038</v>
      </c>
      <c r="M73" s="268" t="s">
        <v>152</v>
      </c>
      <c r="N73" s="268">
        <v>0</v>
      </c>
      <c r="O73" s="268">
        <v>1</v>
      </c>
    </row>
    <row r="74" spans="1:15" x14ac:dyDescent="0.25">
      <c r="L74" s="288">
        <v>44038</v>
      </c>
      <c r="M74" s="268" t="s">
        <v>140</v>
      </c>
      <c r="N74" s="268">
        <v>0</v>
      </c>
      <c r="O74" s="268">
        <v>1</v>
      </c>
    </row>
    <row r="75" spans="1:15" x14ac:dyDescent="0.25">
      <c r="L75" s="288">
        <v>44040</v>
      </c>
      <c r="M75" s="268" t="s">
        <v>133</v>
      </c>
      <c r="N75" s="268">
        <v>0</v>
      </c>
      <c r="O75" s="268">
        <v>1</v>
      </c>
    </row>
    <row r="76" spans="1:15" x14ac:dyDescent="0.25">
      <c r="L76" s="288">
        <v>44042</v>
      </c>
      <c r="M76" s="268" t="s">
        <v>152</v>
      </c>
      <c r="N76" s="268">
        <v>0</v>
      </c>
      <c r="O76" s="268">
        <v>1</v>
      </c>
    </row>
    <row r="77" spans="1:15" x14ac:dyDescent="0.25">
      <c r="L77" s="288">
        <v>44042</v>
      </c>
      <c r="M77" s="268" t="s">
        <v>159</v>
      </c>
      <c r="N77" s="268">
        <v>0</v>
      </c>
      <c r="O77" s="268">
        <v>2</v>
      </c>
    </row>
    <row r="78" spans="1:15" x14ac:dyDescent="0.25">
      <c r="L78" s="288">
        <v>44042</v>
      </c>
      <c r="M78" s="268" t="s">
        <v>148</v>
      </c>
      <c r="N78" s="268">
        <v>0</v>
      </c>
      <c r="O78" s="268">
        <v>1</v>
      </c>
    </row>
    <row r="79" spans="1:15" x14ac:dyDescent="0.25">
      <c r="L79" s="288">
        <v>44047</v>
      </c>
      <c r="M79" s="268" t="s">
        <v>140</v>
      </c>
      <c r="N79" s="268">
        <v>1</v>
      </c>
      <c r="O79" s="268">
        <v>0</v>
      </c>
    </row>
    <row r="80" spans="1:15" x14ac:dyDescent="0.25">
      <c r="L80" s="288">
        <v>44047</v>
      </c>
      <c r="M80" s="268" t="s">
        <v>159</v>
      </c>
      <c r="N80" s="268">
        <v>1</v>
      </c>
      <c r="O80" s="268">
        <v>0</v>
      </c>
    </row>
    <row r="81" spans="12:15" x14ac:dyDescent="0.25">
      <c r="L81" s="288">
        <v>44047</v>
      </c>
      <c r="M81" s="268" t="s">
        <v>154</v>
      </c>
      <c r="N81" s="268">
        <v>0</v>
      </c>
      <c r="O81" s="268">
        <v>1</v>
      </c>
    </row>
    <row r="82" spans="12:15" x14ac:dyDescent="0.25">
      <c r="L82" s="288">
        <v>44049</v>
      </c>
      <c r="M82" s="268" t="s">
        <v>148</v>
      </c>
      <c r="N82" s="268">
        <v>1</v>
      </c>
      <c r="O82" s="268">
        <v>0</v>
      </c>
    </row>
    <row r="83" spans="12:15" x14ac:dyDescent="0.25">
      <c r="L83" s="288">
        <v>44049</v>
      </c>
      <c r="M83" s="268" t="s">
        <v>133</v>
      </c>
      <c r="N83" s="268">
        <v>0</v>
      </c>
      <c r="O83" s="268">
        <v>1</v>
      </c>
    </row>
    <row r="84" spans="12:15" x14ac:dyDescent="0.25">
      <c r="L84" s="288">
        <v>44053</v>
      </c>
      <c r="M84" s="340" t="s">
        <v>150</v>
      </c>
      <c r="N84" s="268">
        <v>2</v>
      </c>
      <c r="O84" s="268">
        <v>1</v>
      </c>
    </row>
    <row r="85" spans="12:15" x14ac:dyDescent="0.25">
      <c r="L85" s="288">
        <v>44053</v>
      </c>
      <c r="M85" s="340" t="s">
        <v>135</v>
      </c>
      <c r="N85" s="268">
        <v>0</v>
      </c>
      <c r="O85" s="268">
        <v>1</v>
      </c>
    </row>
    <row r="86" spans="12:15" x14ac:dyDescent="0.25">
      <c r="L86" s="288">
        <v>44052</v>
      </c>
      <c r="M86" s="340" t="s">
        <v>133</v>
      </c>
      <c r="N86" s="268">
        <v>1</v>
      </c>
      <c r="O86" s="268">
        <v>0</v>
      </c>
    </row>
    <row r="87" spans="12:15" x14ac:dyDescent="0.25">
      <c r="L87" s="288">
        <v>44052</v>
      </c>
      <c r="M87" s="340" t="s">
        <v>159</v>
      </c>
      <c r="N87" s="268">
        <v>1</v>
      </c>
      <c r="O87" s="268">
        <v>0</v>
      </c>
    </row>
    <row r="88" spans="12:15" x14ac:dyDescent="0.25">
      <c r="L88" s="288">
        <v>44054</v>
      </c>
      <c r="M88" s="340" t="s">
        <v>148</v>
      </c>
      <c r="N88" s="268">
        <v>1</v>
      </c>
      <c r="O88" s="268">
        <v>0</v>
      </c>
    </row>
    <row r="89" spans="12:15" x14ac:dyDescent="0.25">
      <c r="L89" s="288">
        <v>44054</v>
      </c>
      <c r="M89" s="340" t="s">
        <v>152</v>
      </c>
      <c r="N89" s="268">
        <v>0</v>
      </c>
      <c r="O89" s="268">
        <v>1</v>
      </c>
    </row>
    <row r="90" spans="12:15" x14ac:dyDescent="0.25">
      <c r="L90" s="288">
        <v>44056</v>
      </c>
      <c r="M90" s="340" t="s">
        <v>148</v>
      </c>
      <c r="N90" s="340">
        <v>1</v>
      </c>
      <c r="O90" s="340">
        <v>0</v>
      </c>
    </row>
    <row r="91" spans="12:15" x14ac:dyDescent="0.25">
      <c r="L91" s="288">
        <v>44056</v>
      </c>
      <c r="M91" s="340" t="s">
        <v>154</v>
      </c>
      <c r="N91" s="340">
        <v>1</v>
      </c>
      <c r="O91" s="340">
        <v>0</v>
      </c>
    </row>
    <row r="92" spans="12:15" x14ac:dyDescent="0.25">
      <c r="L92" s="288">
        <v>44056</v>
      </c>
      <c r="M92" s="340" t="s">
        <v>159</v>
      </c>
      <c r="N92" s="268">
        <v>0</v>
      </c>
      <c r="O92" s="268">
        <v>1</v>
      </c>
    </row>
    <row r="93" spans="12:15" x14ac:dyDescent="0.25">
      <c r="L93" s="288">
        <v>44056</v>
      </c>
      <c r="M93" s="340" t="s">
        <v>146</v>
      </c>
      <c r="N93" s="340">
        <v>1</v>
      </c>
      <c r="O93" s="340">
        <v>0</v>
      </c>
    </row>
    <row r="94" spans="12:15" x14ac:dyDescent="0.25">
      <c r="L94" s="288">
        <v>44059</v>
      </c>
      <c r="M94" s="340" t="s">
        <v>154</v>
      </c>
      <c r="N94" s="340">
        <v>1</v>
      </c>
      <c r="O94" s="340">
        <v>0</v>
      </c>
    </row>
    <row r="95" spans="12:15" x14ac:dyDescent="0.25">
      <c r="L95" s="288">
        <v>44059</v>
      </c>
      <c r="M95" s="340" t="s">
        <v>159</v>
      </c>
      <c r="N95" s="340">
        <v>1</v>
      </c>
      <c r="O95" s="340">
        <v>0</v>
      </c>
    </row>
    <row r="96" spans="12:15" x14ac:dyDescent="0.25">
      <c r="L96" s="288">
        <v>44059</v>
      </c>
      <c r="M96" s="340" t="s">
        <v>137</v>
      </c>
      <c r="N96" s="340">
        <v>0</v>
      </c>
      <c r="O96" s="340">
        <v>1</v>
      </c>
    </row>
    <row r="97" spans="12:15" x14ac:dyDescent="0.25">
      <c r="L97" s="288">
        <v>44059</v>
      </c>
      <c r="M97" s="340" t="s">
        <v>156</v>
      </c>
      <c r="N97" s="340">
        <v>1</v>
      </c>
      <c r="O97" s="340">
        <v>0</v>
      </c>
    </row>
    <row r="98" spans="12:15" x14ac:dyDescent="0.25">
      <c r="L98" s="288">
        <v>44308</v>
      </c>
      <c r="M98" s="268" t="s">
        <v>542</v>
      </c>
      <c r="N98" s="268">
        <v>0</v>
      </c>
      <c r="O98" s="268">
        <v>1</v>
      </c>
    </row>
    <row r="99" spans="12:15" x14ac:dyDescent="0.25">
      <c r="L99" s="288">
        <v>44306</v>
      </c>
      <c r="M99" s="533" t="s">
        <v>542</v>
      </c>
      <c r="N99" s="533">
        <v>0</v>
      </c>
      <c r="O99" s="533">
        <v>1</v>
      </c>
    </row>
    <row r="100" spans="12:15" x14ac:dyDescent="0.25">
      <c r="L100" s="288">
        <v>44306</v>
      </c>
      <c r="M100" s="533" t="s">
        <v>150</v>
      </c>
      <c r="N100" s="533">
        <v>0</v>
      </c>
      <c r="O100" s="533">
        <v>1</v>
      </c>
    </row>
    <row r="101" spans="12:15" x14ac:dyDescent="0.25">
      <c r="L101" s="288">
        <v>44306</v>
      </c>
      <c r="M101" s="533" t="s">
        <v>140</v>
      </c>
      <c r="N101" s="533">
        <v>0</v>
      </c>
      <c r="O101" s="533">
        <v>1</v>
      </c>
    </row>
    <row r="102" spans="12:15" x14ac:dyDescent="0.25">
      <c r="L102" s="288">
        <v>44307</v>
      </c>
      <c r="M102" s="533" t="s">
        <v>152</v>
      </c>
      <c r="N102" s="533">
        <v>1</v>
      </c>
      <c r="O102" s="533">
        <v>0</v>
      </c>
    </row>
    <row r="103" spans="12:15" x14ac:dyDescent="0.25">
      <c r="L103" s="288">
        <v>44307</v>
      </c>
      <c r="M103" s="533" t="s">
        <v>152</v>
      </c>
      <c r="N103" s="533">
        <v>1</v>
      </c>
      <c r="O103" s="533">
        <v>0</v>
      </c>
    </row>
    <row r="104" spans="12:15" x14ac:dyDescent="0.25">
      <c r="L104" s="288">
        <v>44307</v>
      </c>
      <c r="M104" s="533" t="s">
        <v>154</v>
      </c>
      <c r="N104" s="533">
        <v>0</v>
      </c>
      <c r="O104" s="533">
        <v>1</v>
      </c>
    </row>
    <row r="105" spans="12:15" x14ac:dyDescent="0.25">
      <c r="L105" s="288">
        <v>44308</v>
      </c>
      <c r="M105" s="533" t="s">
        <v>152</v>
      </c>
      <c r="N105" s="268">
        <v>1</v>
      </c>
      <c r="O105" s="268">
        <v>1</v>
      </c>
    </row>
    <row r="106" spans="12:15" x14ac:dyDescent="0.25">
      <c r="L106" s="288">
        <v>44308</v>
      </c>
      <c r="M106" s="533" t="s">
        <v>133</v>
      </c>
      <c r="N106" s="268">
        <v>1</v>
      </c>
      <c r="O106" s="268">
        <v>0</v>
      </c>
    </row>
  </sheetData>
  <conditionalFormatting sqref="W15:W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E4DFEC"/>
  </sheetPr>
  <dimension ref="A1:Z28"/>
  <sheetViews>
    <sheetView workbookViewId="0">
      <selection activeCell="J17" sqref="J17"/>
    </sheetView>
  </sheetViews>
  <sheetFormatPr baseColWidth="10" defaultColWidth="11.42578125" defaultRowHeight="15" x14ac:dyDescent="0.25"/>
  <cols>
    <col min="1" max="1" width="24" customWidth="1"/>
    <col min="2" max="8" width="6.5703125" customWidth="1"/>
    <col min="9" max="10" width="7.7109375" customWidth="1"/>
    <col min="12" max="12" width="32.7109375" customWidth="1"/>
    <col min="14" max="14" width="7.7109375" customWidth="1"/>
    <col min="15" max="15" width="23.28515625" customWidth="1"/>
    <col min="16" max="17" width="6.5703125" customWidth="1"/>
    <col min="18" max="18" width="7.42578125" customWidth="1"/>
    <col min="19" max="19" width="4.5703125" customWidth="1"/>
    <col min="21" max="21" width="7.7109375" customWidth="1"/>
    <col min="22" max="22" width="21.7109375" style="52" customWidth="1"/>
    <col min="23" max="24" width="5.5703125" customWidth="1"/>
    <col min="25" max="26" width="4.5703125" customWidth="1"/>
  </cols>
  <sheetData>
    <row r="1" spans="1:26" x14ac:dyDescent="0.25">
      <c r="A1" s="73">
        <v>41900</v>
      </c>
      <c r="E1" s="99" t="s">
        <v>277</v>
      </c>
      <c r="F1" s="100" t="s">
        <v>278</v>
      </c>
      <c r="G1" s="8"/>
      <c r="H1" s="8"/>
      <c r="I1" s="101" t="s">
        <v>277</v>
      </c>
      <c r="J1" s="102" t="s">
        <v>278</v>
      </c>
      <c r="P1" s="99" t="s">
        <v>277</v>
      </c>
      <c r="Q1" s="100" t="s">
        <v>278</v>
      </c>
      <c r="R1" s="99"/>
      <c r="S1" s="100"/>
      <c r="W1" s="99" t="s">
        <v>277</v>
      </c>
      <c r="X1" s="100" t="s">
        <v>278</v>
      </c>
      <c r="Y1" s="99"/>
      <c r="Z1" s="100"/>
    </row>
    <row r="2" spans="1:26" x14ac:dyDescent="0.25">
      <c r="A2" s="98" t="s">
        <v>84</v>
      </c>
      <c r="B2" s="98" t="s">
        <v>282</v>
      </c>
      <c r="C2" s="98" t="s">
        <v>283</v>
      </c>
      <c r="D2" s="98" t="s">
        <v>107</v>
      </c>
      <c r="E2" s="99" t="s">
        <v>89</v>
      </c>
      <c r="F2" s="100" t="s">
        <v>89</v>
      </c>
      <c r="G2" s="8" t="s">
        <v>88</v>
      </c>
      <c r="H2" s="8" t="s">
        <v>88</v>
      </c>
      <c r="I2" s="101" t="s">
        <v>184</v>
      </c>
      <c r="J2" s="102" t="s">
        <v>184</v>
      </c>
      <c r="P2" s="99" t="s">
        <v>89</v>
      </c>
      <c r="Q2" s="100" t="s">
        <v>89</v>
      </c>
      <c r="R2" s="99" t="s">
        <v>88</v>
      </c>
      <c r="S2" s="100" t="s">
        <v>88</v>
      </c>
      <c r="W2" s="99" t="s">
        <v>89</v>
      </c>
      <c r="X2" s="100" t="s">
        <v>89</v>
      </c>
      <c r="Y2" s="99" t="s">
        <v>88</v>
      </c>
      <c r="Z2" s="100" t="s">
        <v>88</v>
      </c>
    </row>
    <row r="3" spans="1:26" x14ac:dyDescent="0.25">
      <c r="A3" s="3" t="str">
        <f>PLANTILLA!D4</f>
        <v>D. Gehmacher</v>
      </c>
      <c r="B3">
        <f>PLANTILLA!E4</f>
        <v>41</v>
      </c>
      <c r="C3">
        <f>PLANTILLA!H4</f>
        <v>6</v>
      </c>
      <c r="D3" s="71">
        <f>PLANTILLA!I4</f>
        <v>26</v>
      </c>
      <c r="E3" s="103">
        <f t="shared" ref="E3:E4" si="0">D3</f>
        <v>26</v>
      </c>
      <c r="F3" s="103">
        <f t="shared" ref="F3:F4" si="1">E3+0.1</f>
        <v>26.1</v>
      </c>
      <c r="G3" s="103">
        <f t="shared" ref="G3:G4" si="2">C3</f>
        <v>6</v>
      </c>
      <c r="H3" s="103">
        <f t="shared" ref="H3:H4" si="3">G3+0.99</f>
        <v>6.99</v>
      </c>
      <c r="I3" s="107">
        <f t="shared" ref="I3:I4" si="4">G3*G3*E3</f>
        <v>936</v>
      </c>
      <c r="J3" s="107">
        <f t="shared" ref="J3:J4" si="5">H3*H3*F3</f>
        <v>1275.2486100000001</v>
      </c>
      <c r="K3" s="104"/>
      <c r="N3" s="3" t="s">
        <v>184</v>
      </c>
      <c r="O3" t="str">
        <f>A3</f>
        <v>D. Gehmacher</v>
      </c>
      <c r="P3" s="105">
        <f>E3</f>
        <v>26</v>
      </c>
      <c r="Q3" s="105">
        <f>F3</f>
        <v>26.1</v>
      </c>
      <c r="R3" s="105">
        <f>G3</f>
        <v>6</v>
      </c>
      <c r="S3" s="105">
        <f>H3</f>
        <v>6.99</v>
      </c>
      <c r="U3" s="3" t="s">
        <v>184</v>
      </c>
      <c r="V3" s="52" t="str">
        <f t="shared" ref="V3:V13" si="6">O3</f>
        <v>D. Gehmacher</v>
      </c>
      <c r="W3" s="105">
        <f t="shared" ref="W3:W13" si="7">P3</f>
        <v>26</v>
      </c>
      <c r="X3" s="105">
        <f t="shared" ref="X3:X13" si="8">Q3</f>
        <v>26.1</v>
      </c>
      <c r="Y3" s="105">
        <f t="shared" ref="Y3:Y13" si="9">R3</f>
        <v>6</v>
      </c>
      <c r="Z3" s="105">
        <f t="shared" ref="Z3:Z13" si="10">S3</f>
        <v>6.99</v>
      </c>
    </row>
    <row r="4" spans="1:26" x14ac:dyDescent="0.25">
      <c r="A4" s="3" t="str">
        <f>PLANTILLA!D5</f>
        <v>L. Guangwei</v>
      </c>
      <c r="B4">
        <f>PLANTILLA!E5</f>
        <v>26</v>
      </c>
      <c r="C4">
        <f>PLANTILLA!H5</f>
        <v>0</v>
      </c>
      <c r="D4" s="71">
        <f>PLANTILLA!I5</f>
        <v>6.5</v>
      </c>
      <c r="E4" s="103">
        <f t="shared" si="0"/>
        <v>6.5</v>
      </c>
      <c r="F4" s="103">
        <f t="shared" si="1"/>
        <v>6.6</v>
      </c>
      <c r="G4" s="103">
        <f t="shared" si="2"/>
        <v>0</v>
      </c>
      <c r="H4" s="103">
        <f t="shared" si="3"/>
        <v>0.99</v>
      </c>
      <c r="I4" s="107">
        <f t="shared" si="4"/>
        <v>0</v>
      </c>
      <c r="J4" s="107">
        <f t="shared" si="5"/>
        <v>6.4686599999999999</v>
      </c>
      <c r="K4" s="104"/>
      <c r="O4" t="str">
        <f>A7</f>
        <v>S. Swärdborn</v>
      </c>
      <c r="P4" s="105">
        <f>E7</f>
        <v>6.5</v>
      </c>
      <c r="Q4" s="105">
        <f>F7</f>
        <v>6.6</v>
      </c>
      <c r="R4" s="105">
        <f>G7</f>
        <v>2</v>
      </c>
      <c r="S4" s="105">
        <f>H7</f>
        <v>2.99</v>
      </c>
      <c r="V4" s="52" t="str">
        <f t="shared" si="6"/>
        <v>S. Swärdborn</v>
      </c>
      <c r="W4" s="105">
        <f t="shared" si="7"/>
        <v>6.5</v>
      </c>
      <c r="X4" s="105">
        <f t="shared" si="8"/>
        <v>6.6</v>
      </c>
      <c r="Y4" s="105">
        <f t="shared" si="9"/>
        <v>2</v>
      </c>
      <c r="Z4" s="105">
        <f t="shared" si="10"/>
        <v>2.99</v>
      </c>
    </row>
    <row r="5" spans="1:26" x14ac:dyDescent="0.25">
      <c r="A5" s="3" t="str">
        <f>PLANTILLA!D6</f>
        <v>V. Gardner</v>
      </c>
      <c r="B5">
        <f>PLANTILLA!E6</f>
        <v>25</v>
      </c>
      <c r="C5">
        <f>PLANTILLA!H6</f>
        <v>3</v>
      </c>
      <c r="D5" s="71">
        <f>PLANTILLA!I6</f>
        <v>6</v>
      </c>
      <c r="E5" s="103">
        <f t="shared" ref="E5:E28" si="11">D5</f>
        <v>6</v>
      </c>
      <c r="F5" s="103">
        <f t="shared" ref="F5:F28" si="12">E5+0.1</f>
        <v>6.1</v>
      </c>
      <c r="G5" s="103">
        <f t="shared" ref="G5:G28" si="13">C5</f>
        <v>3</v>
      </c>
      <c r="H5" s="103">
        <f t="shared" ref="H5:H28" si="14">G5+0.99</f>
        <v>3.99</v>
      </c>
      <c r="I5" s="107">
        <f t="shared" ref="I5:I28" si="15">G5*G5*E5</f>
        <v>54</v>
      </c>
      <c r="J5" s="107">
        <f t="shared" ref="J5:J28" si="16">H5*H5*F5</f>
        <v>97.112610000000004</v>
      </c>
      <c r="K5" s="104"/>
      <c r="O5" t="str">
        <f>A14</f>
        <v>S. Gencel</v>
      </c>
      <c r="P5" s="105">
        <f>E14</f>
        <v>7</v>
      </c>
      <c r="Q5" s="105">
        <f>F14</f>
        <v>7.1</v>
      </c>
      <c r="R5" s="105">
        <f>G14</f>
        <v>1</v>
      </c>
      <c r="S5" s="105">
        <f>H14</f>
        <v>1.99</v>
      </c>
      <c r="V5" s="52" t="str">
        <f t="shared" si="6"/>
        <v>S. Gencel</v>
      </c>
      <c r="W5" s="105">
        <f t="shared" si="7"/>
        <v>7</v>
      </c>
      <c r="X5" s="105">
        <f t="shared" si="8"/>
        <v>7.1</v>
      </c>
      <c r="Y5" s="105">
        <f t="shared" si="9"/>
        <v>1</v>
      </c>
      <c r="Z5" s="105">
        <f t="shared" si="10"/>
        <v>1.99</v>
      </c>
    </row>
    <row r="6" spans="1:26" x14ac:dyDescent="0.25">
      <c r="A6" s="3" t="str">
        <f>PLANTILLA!D7</f>
        <v>S. Embe</v>
      </c>
      <c r="B6">
        <f>PLANTILLA!E7</f>
        <v>26</v>
      </c>
      <c r="C6">
        <f>PLANTILLA!H7</f>
        <v>3</v>
      </c>
      <c r="D6" s="71">
        <f>PLANTILLA!I7</f>
        <v>5</v>
      </c>
      <c r="E6" s="103">
        <f t="shared" si="11"/>
        <v>5</v>
      </c>
      <c r="F6" s="103">
        <f t="shared" si="12"/>
        <v>5.0999999999999996</v>
      </c>
      <c r="G6" s="103">
        <f t="shared" si="13"/>
        <v>3</v>
      </c>
      <c r="H6" s="103">
        <f t="shared" si="14"/>
        <v>3.99</v>
      </c>
      <c r="I6" s="107">
        <f t="shared" si="15"/>
        <v>45</v>
      </c>
      <c r="J6" s="107">
        <f t="shared" si="16"/>
        <v>81.192509999999999</v>
      </c>
      <c r="K6" s="104"/>
      <c r="O6" t="str">
        <f>A5</f>
        <v>V. Gardner</v>
      </c>
      <c r="P6" s="105">
        <f t="shared" ref="P6:S7" si="17">E5</f>
        <v>6</v>
      </c>
      <c r="Q6" s="105">
        <f t="shared" si="17"/>
        <v>6.1</v>
      </c>
      <c r="R6" s="105">
        <f t="shared" si="17"/>
        <v>3</v>
      </c>
      <c r="S6" s="105">
        <f t="shared" si="17"/>
        <v>3.99</v>
      </c>
      <c r="V6" s="52" t="str">
        <f t="shared" si="6"/>
        <v>V. Gardner</v>
      </c>
      <c r="W6" s="105">
        <f t="shared" si="7"/>
        <v>6</v>
      </c>
      <c r="X6" s="105">
        <f t="shared" si="8"/>
        <v>6.1</v>
      </c>
      <c r="Y6" s="105">
        <f t="shared" si="9"/>
        <v>3</v>
      </c>
      <c r="Z6" s="105">
        <f t="shared" si="10"/>
        <v>3.99</v>
      </c>
    </row>
    <row r="7" spans="1:26" x14ac:dyDescent="0.25">
      <c r="A7" s="3" t="str">
        <f>PLANTILLA!D8</f>
        <v>S. Swärdborn</v>
      </c>
      <c r="B7">
        <f>PLANTILLA!E8</f>
        <v>25</v>
      </c>
      <c r="C7">
        <f>PLANTILLA!H8</f>
        <v>2</v>
      </c>
      <c r="D7" s="71">
        <f>PLANTILLA!I8</f>
        <v>6.5</v>
      </c>
      <c r="E7" s="103">
        <f t="shared" si="11"/>
        <v>6.5</v>
      </c>
      <c r="F7" s="103">
        <f t="shared" si="12"/>
        <v>6.6</v>
      </c>
      <c r="G7" s="103">
        <f t="shared" si="13"/>
        <v>2</v>
      </c>
      <c r="H7" s="103">
        <f t="shared" si="14"/>
        <v>2.99</v>
      </c>
      <c r="I7" s="107">
        <f t="shared" si="15"/>
        <v>26</v>
      </c>
      <c r="J7" s="107">
        <f t="shared" si="16"/>
        <v>59.004660000000001</v>
      </c>
      <c r="K7" s="104"/>
      <c r="O7" t="str">
        <f>A6</f>
        <v>S. Embe</v>
      </c>
      <c r="P7" s="105">
        <f t="shared" si="17"/>
        <v>5</v>
      </c>
      <c r="Q7" s="105">
        <f t="shared" si="17"/>
        <v>5.0999999999999996</v>
      </c>
      <c r="R7" s="105">
        <f t="shared" si="17"/>
        <v>3</v>
      </c>
      <c r="S7" s="105">
        <f t="shared" si="17"/>
        <v>3.99</v>
      </c>
      <c r="V7" s="52" t="str">
        <f t="shared" si="6"/>
        <v>S. Embe</v>
      </c>
      <c r="W7" s="105">
        <f t="shared" si="7"/>
        <v>5</v>
      </c>
      <c r="X7" s="105">
        <f t="shared" si="8"/>
        <v>5.0999999999999996</v>
      </c>
      <c r="Y7" s="105">
        <f t="shared" si="9"/>
        <v>3</v>
      </c>
      <c r="Z7" s="105">
        <f t="shared" si="10"/>
        <v>3.99</v>
      </c>
    </row>
    <row r="8" spans="1:26" x14ac:dyDescent="0.25">
      <c r="A8" s="3" t="str">
        <f>PLANTILLA!D9</f>
        <v>A. Grimaud</v>
      </c>
      <c r="B8">
        <f>PLANTILLA!E9</f>
        <v>25</v>
      </c>
      <c r="C8">
        <f>PLANTILLA!H9</f>
        <v>2</v>
      </c>
      <c r="D8" s="71">
        <f>PLANTILLA!I9</f>
        <v>6.9</v>
      </c>
      <c r="E8" s="103">
        <f t="shared" si="11"/>
        <v>6.9</v>
      </c>
      <c r="F8" s="103">
        <f t="shared" si="12"/>
        <v>7</v>
      </c>
      <c r="G8" s="103">
        <f t="shared" si="13"/>
        <v>2</v>
      </c>
      <c r="H8" s="103">
        <f t="shared" si="14"/>
        <v>2.99</v>
      </c>
      <c r="I8" s="107">
        <f t="shared" si="15"/>
        <v>27.6</v>
      </c>
      <c r="J8" s="107">
        <f t="shared" si="16"/>
        <v>62.580700000000007</v>
      </c>
      <c r="K8" s="104"/>
      <c r="O8" t="str">
        <f>A12</f>
        <v>R. Forsyth</v>
      </c>
      <c r="P8" s="105">
        <f>E12</f>
        <v>6.2</v>
      </c>
      <c r="Q8" s="105">
        <f>F12</f>
        <v>6.3</v>
      </c>
      <c r="R8" s="105">
        <f>G12</f>
        <v>4</v>
      </c>
      <c r="S8" s="105">
        <f>H12</f>
        <v>4.99</v>
      </c>
      <c r="V8" s="52" t="str">
        <f t="shared" si="6"/>
        <v>R. Forsyth</v>
      </c>
      <c r="W8" s="105">
        <f t="shared" si="7"/>
        <v>6.2</v>
      </c>
      <c r="X8" s="105">
        <f t="shared" si="8"/>
        <v>6.3</v>
      </c>
      <c r="Y8" s="105">
        <f t="shared" si="9"/>
        <v>4</v>
      </c>
      <c r="Z8" s="105">
        <f t="shared" si="10"/>
        <v>4.99</v>
      </c>
    </row>
    <row r="9" spans="1:26" x14ac:dyDescent="0.25">
      <c r="A9" s="3" t="str">
        <f>PLANTILLA!D10</f>
        <v>E. Deus</v>
      </c>
      <c r="B9">
        <f>PLANTILLA!E10</f>
        <v>25</v>
      </c>
      <c r="C9">
        <f>PLANTILLA!H10</f>
        <v>3</v>
      </c>
      <c r="D9" s="71">
        <f>PLANTILLA!I10</f>
        <v>5.6</v>
      </c>
      <c r="E9" s="103">
        <f t="shared" si="11"/>
        <v>5.6</v>
      </c>
      <c r="F9" s="103">
        <f t="shared" si="12"/>
        <v>5.6999999999999993</v>
      </c>
      <c r="G9" s="103">
        <f t="shared" si="13"/>
        <v>3</v>
      </c>
      <c r="H9" s="103">
        <f t="shared" si="14"/>
        <v>3.99</v>
      </c>
      <c r="I9" s="107">
        <f t="shared" si="15"/>
        <v>50.4</v>
      </c>
      <c r="J9" s="107">
        <f t="shared" si="16"/>
        <v>90.744569999999996</v>
      </c>
      <c r="K9" s="104"/>
      <c r="O9" t="str">
        <f>A15</f>
        <v>I. Conteanu</v>
      </c>
      <c r="P9" s="105">
        <f>E15</f>
        <v>8.9</v>
      </c>
      <c r="Q9" s="105">
        <f>F15</f>
        <v>9</v>
      </c>
      <c r="R9" s="105">
        <f>G15</f>
        <v>0</v>
      </c>
      <c r="S9" s="105">
        <f>H15</f>
        <v>0.99</v>
      </c>
      <c r="V9" s="52" t="str">
        <f t="shared" si="6"/>
        <v>I. Conteanu</v>
      </c>
      <c r="W9" s="105">
        <f t="shared" si="7"/>
        <v>8.9</v>
      </c>
      <c r="X9" s="105">
        <f t="shared" si="8"/>
        <v>9</v>
      </c>
      <c r="Y9" s="105">
        <f t="shared" si="9"/>
        <v>0</v>
      </c>
      <c r="Z9" s="105">
        <f t="shared" si="10"/>
        <v>0.99</v>
      </c>
    </row>
    <row r="10" spans="1:26" x14ac:dyDescent="0.25">
      <c r="A10" s="3" t="str">
        <f>PLANTILLA!D11</f>
        <v>M.A. Balbinot</v>
      </c>
      <c r="B10">
        <f>PLANTILLA!E11</f>
        <v>29</v>
      </c>
      <c r="C10">
        <f>PLANTILLA!H11</f>
        <v>4</v>
      </c>
      <c r="D10" s="71">
        <f>PLANTILLA!I11</f>
        <v>8.9</v>
      </c>
      <c r="E10" s="103">
        <f t="shared" si="11"/>
        <v>8.9</v>
      </c>
      <c r="F10" s="103">
        <f t="shared" si="12"/>
        <v>9</v>
      </c>
      <c r="G10" s="103">
        <f t="shared" si="13"/>
        <v>4</v>
      </c>
      <c r="H10" s="103">
        <f t="shared" si="14"/>
        <v>4.99</v>
      </c>
      <c r="I10" s="107">
        <f t="shared" si="15"/>
        <v>142.4</v>
      </c>
      <c r="J10" s="107">
        <f t="shared" si="16"/>
        <v>224.10090000000002</v>
      </c>
      <c r="K10" s="104"/>
      <c r="O10" t="str">
        <f>A13</f>
        <v>Dusty Ware</v>
      </c>
      <c r="P10" s="105">
        <f>E13</f>
        <v>6.6</v>
      </c>
      <c r="Q10" s="105">
        <f>F13</f>
        <v>6.6999999999999993</v>
      </c>
      <c r="R10" s="105">
        <f>G13</f>
        <v>4</v>
      </c>
      <c r="S10" s="105">
        <f>H13</f>
        <v>4.99</v>
      </c>
      <c r="V10" s="52" t="str">
        <f t="shared" si="6"/>
        <v>Dusty Ware</v>
      </c>
      <c r="W10" s="105">
        <f t="shared" si="7"/>
        <v>6.6</v>
      </c>
      <c r="X10" s="105">
        <f t="shared" si="8"/>
        <v>6.6999999999999993</v>
      </c>
      <c r="Y10" s="105">
        <f t="shared" si="9"/>
        <v>4</v>
      </c>
      <c r="Z10" s="105">
        <f t="shared" si="10"/>
        <v>4.99</v>
      </c>
    </row>
    <row r="11" spans="1:26" x14ac:dyDescent="0.25">
      <c r="A11" s="3" t="str">
        <f>PLANTILLA!D12</f>
        <v>P. Tuderek</v>
      </c>
      <c r="B11">
        <f>PLANTILLA!E12</f>
        <v>25</v>
      </c>
      <c r="C11">
        <f>PLANTILLA!H12</f>
        <v>4</v>
      </c>
      <c r="D11" s="71">
        <f>PLANTILLA!I12</f>
        <v>5.2</v>
      </c>
      <c r="E11" s="103">
        <f t="shared" si="11"/>
        <v>5.2</v>
      </c>
      <c r="F11" s="103">
        <f t="shared" si="12"/>
        <v>5.3</v>
      </c>
      <c r="G11" s="103">
        <f t="shared" si="13"/>
        <v>4</v>
      </c>
      <c r="H11" s="103">
        <f t="shared" si="14"/>
        <v>4.99</v>
      </c>
      <c r="I11" s="107">
        <f t="shared" si="15"/>
        <v>83.2</v>
      </c>
      <c r="J11" s="107">
        <f t="shared" si="16"/>
        <v>131.97053</v>
      </c>
      <c r="K11" s="104"/>
      <c r="O11" t="str">
        <f>A10</f>
        <v>M.A. Balbinot</v>
      </c>
      <c r="P11" s="105">
        <f>E10</f>
        <v>8.9</v>
      </c>
      <c r="Q11" s="105">
        <f>F10</f>
        <v>9</v>
      </c>
      <c r="R11" s="105">
        <f>G10</f>
        <v>4</v>
      </c>
      <c r="S11" s="105">
        <f>H10</f>
        <v>4.99</v>
      </c>
      <c r="V11" s="52" t="str">
        <f t="shared" si="6"/>
        <v>M.A. Balbinot</v>
      </c>
      <c r="W11" s="105">
        <f t="shared" si="7"/>
        <v>8.9</v>
      </c>
      <c r="X11" s="105">
        <f t="shared" si="8"/>
        <v>9</v>
      </c>
      <c r="Y11" s="105">
        <f t="shared" si="9"/>
        <v>4</v>
      </c>
      <c r="Z11" s="105">
        <f t="shared" si="10"/>
        <v>4.99</v>
      </c>
    </row>
    <row r="12" spans="1:26" x14ac:dyDescent="0.25">
      <c r="A12" s="3" t="str">
        <f>PLANTILLA!D13</f>
        <v>R. Forsyth</v>
      </c>
      <c r="B12">
        <f>PLANTILLA!E13</f>
        <v>26</v>
      </c>
      <c r="C12">
        <f>PLANTILLA!H13</f>
        <v>4</v>
      </c>
      <c r="D12" s="71">
        <f>PLANTILLA!I13</f>
        <v>6.2</v>
      </c>
      <c r="E12" s="103">
        <f t="shared" si="11"/>
        <v>6.2</v>
      </c>
      <c r="F12" s="103">
        <f t="shared" si="12"/>
        <v>6.3</v>
      </c>
      <c r="G12" s="103">
        <f t="shared" si="13"/>
        <v>4</v>
      </c>
      <c r="H12" s="103">
        <f t="shared" si="14"/>
        <v>4.99</v>
      </c>
      <c r="I12" s="107">
        <f t="shared" si="15"/>
        <v>99.2</v>
      </c>
      <c r="J12" s="107">
        <f t="shared" si="16"/>
        <v>156.87063000000001</v>
      </c>
      <c r="K12" s="104"/>
      <c r="O12">
        <f>A20</f>
        <v>0</v>
      </c>
      <c r="P12" s="105">
        <f>E20</f>
        <v>0</v>
      </c>
      <c r="Q12" s="105">
        <f>F20</f>
        <v>0.1</v>
      </c>
      <c r="R12" s="105">
        <f>G20</f>
        <v>0</v>
      </c>
      <c r="S12" s="105">
        <f>H20</f>
        <v>0.99</v>
      </c>
      <c r="V12" s="52">
        <f t="shared" si="6"/>
        <v>0</v>
      </c>
      <c r="W12" s="105">
        <f t="shared" si="7"/>
        <v>0</v>
      </c>
      <c r="X12" s="105">
        <f t="shared" si="8"/>
        <v>0.1</v>
      </c>
      <c r="Y12" s="105">
        <f t="shared" si="9"/>
        <v>0</v>
      </c>
      <c r="Z12" s="105">
        <f t="shared" si="10"/>
        <v>0.99</v>
      </c>
    </row>
    <row r="13" spans="1:26" x14ac:dyDescent="0.25">
      <c r="A13" s="3" t="str">
        <f>PLANTILLA!D14</f>
        <v>Dusty Ware</v>
      </c>
      <c r="B13">
        <f>PLANTILLA!E14</f>
        <v>26</v>
      </c>
      <c r="C13">
        <f>PLANTILLA!H14</f>
        <v>4</v>
      </c>
      <c r="D13" s="71">
        <f>PLANTILLA!I14</f>
        <v>6.6</v>
      </c>
      <c r="E13" s="103">
        <f t="shared" si="11"/>
        <v>6.6</v>
      </c>
      <c r="F13" s="103">
        <f t="shared" si="12"/>
        <v>6.6999999999999993</v>
      </c>
      <c r="G13" s="103">
        <f t="shared" si="13"/>
        <v>4</v>
      </c>
      <c r="H13" s="103">
        <f t="shared" si="14"/>
        <v>4.99</v>
      </c>
      <c r="I13" s="107">
        <f t="shared" si="15"/>
        <v>105.6</v>
      </c>
      <c r="J13" s="107">
        <f t="shared" si="16"/>
        <v>166.83067</v>
      </c>
      <c r="K13" s="104"/>
      <c r="O13" t="str">
        <f>A19</f>
        <v>M. Bondarewski</v>
      </c>
      <c r="P13" s="105">
        <f>E19</f>
        <v>6.3</v>
      </c>
      <c r="Q13" s="105">
        <f>F19</f>
        <v>6.3999999999999995</v>
      </c>
      <c r="R13" s="105">
        <f>G19</f>
        <v>1</v>
      </c>
      <c r="S13" s="105">
        <f>H19</f>
        <v>1.99</v>
      </c>
      <c r="V13" s="52" t="str">
        <f t="shared" si="6"/>
        <v>M. Bondarewski</v>
      </c>
      <c r="W13" s="105">
        <f t="shared" si="7"/>
        <v>6.3</v>
      </c>
      <c r="X13" s="105">
        <f t="shared" si="8"/>
        <v>6.3999999999999995</v>
      </c>
      <c r="Y13" s="105">
        <f t="shared" si="9"/>
        <v>1</v>
      </c>
      <c r="Z13" s="105">
        <f t="shared" si="10"/>
        <v>1.99</v>
      </c>
    </row>
    <row r="14" spans="1:26" x14ac:dyDescent="0.25">
      <c r="A14" s="3" t="str">
        <f>PLANTILLA!D15</f>
        <v>S. Gencel</v>
      </c>
      <c r="B14">
        <f>PLANTILLA!E15</f>
        <v>29</v>
      </c>
      <c r="C14">
        <f>PLANTILLA!H15</f>
        <v>1</v>
      </c>
      <c r="D14" s="71">
        <f>PLANTILLA!I15</f>
        <v>7</v>
      </c>
      <c r="E14" s="103">
        <f t="shared" si="11"/>
        <v>7</v>
      </c>
      <c r="F14" s="103">
        <f t="shared" si="12"/>
        <v>7.1</v>
      </c>
      <c r="G14" s="103">
        <f t="shared" si="13"/>
        <v>1</v>
      </c>
      <c r="H14" s="103">
        <f t="shared" si="14"/>
        <v>1.99</v>
      </c>
      <c r="I14" s="107">
        <f t="shared" si="15"/>
        <v>7</v>
      </c>
      <c r="J14" s="107">
        <f t="shared" si="16"/>
        <v>28.116710000000001</v>
      </c>
      <c r="K14" s="104"/>
      <c r="P14" s="47">
        <f>SUM(P4:P13)/10</f>
        <v>6.14</v>
      </c>
      <c r="Q14" s="47">
        <f>SUM(Q4:Q13)/10</f>
        <v>6.24</v>
      </c>
      <c r="R14" s="47"/>
      <c r="S14" s="47"/>
      <c r="W14" s="47">
        <f>SUM(W4:W13)/10</f>
        <v>6.14</v>
      </c>
      <c r="X14" s="47">
        <f>SUM(X4:X13)/10</f>
        <v>6.24</v>
      </c>
      <c r="Y14" s="47"/>
      <c r="Z14" s="47"/>
    </row>
    <row r="15" spans="1:26" x14ac:dyDescent="0.25">
      <c r="A15" s="3" t="str">
        <f>PLANTILLA!D16</f>
        <v>I. Conteanu</v>
      </c>
      <c r="B15">
        <f>PLANTILLA!E16</f>
        <v>30</v>
      </c>
      <c r="C15">
        <f>PLANTILLA!H16</f>
        <v>0</v>
      </c>
      <c r="D15" s="71">
        <f>PLANTILLA!I16</f>
        <v>8.9</v>
      </c>
      <c r="E15" s="103">
        <f t="shared" si="11"/>
        <v>8.9</v>
      </c>
      <c r="F15" s="103">
        <f t="shared" si="12"/>
        <v>9</v>
      </c>
      <c r="G15" s="103">
        <f t="shared" si="13"/>
        <v>0</v>
      </c>
      <c r="H15" s="103">
        <f t="shared" si="14"/>
        <v>0.99</v>
      </c>
      <c r="I15" s="107">
        <f t="shared" si="15"/>
        <v>0</v>
      </c>
      <c r="J15" s="107">
        <f t="shared" si="16"/>
        <v>8.8209</v>
      </c>
      <c r="K15" s="104"/>
    </row>
    <row r="16" spans="1:26" x14ac:dyDescent="0.25">
      <c r="A16" s="3" t="str">
        <f>PLANTILLA!D17</f>
        <v>I. Vanags</v>
      </c>
      <c r="B16">
        <f>PLANTILLA!E17</f>
        <v>25</v>
      </c>
      <c r="C16">
        <f>PLANTILLA!H17</f>
        <v>4</v>
      </c>
      <c r="D16" s="71">
        <f>PLANTILLA!I17</f>
        <v>5.0999999999999996</v>
      </c>
      <c r="E16" s="103">
        <f t="shared" si="11"/>
        <v>5.0999999999999996</v>
      </c>
      <c r="F16" s="103">
        <f t="shared" si="12"/>
        <v>5.1999999999999993</v>
      </c>
      <c r="G16" s="103">
        <f t="shared" si="13"/>
        <v>4</v>
      </c>
      <c r="H16" s="103">
        <f t="shared" si="14"/>
        <v>4.99</v>
      </c>
      <c r="I16" s="107">
        <f t="shared" si="15"/>
        <v>81.599999999999994</v>
      </c>
      <c r="J16" s="107">
        <f t="shared" si="16"/>
        <v>129.48051999999998</v>
      </c>
      <c r="K16" s="104"/>
      <c r="L16" s="53" t="s">
        <v>284</v>
      </c>
      <c r="O16" t="s">
        <v>285</v>
      </c>
      <c r="P16" s="71">
        <f>SUM(P3:P13)</f>
        <v>87.4</v>
      </c>
      <c r="Q16" s="71">
        <f>SUM(Q3:Q13)</f>
        <v>88.500000000000014</v>
      </c>
      <c r="R16" s="71"/>
      <c r="V16" s="52" t="s">
        <v>285</v>
      </c>
      <c r="W16" s="71">
        <f>SUM(W3:W13)</f>
        <v>87.4</v>
      </c>
      <c r="X16" s="71">
        <f>SUM(X3:X13)</f>
        <v>88.500000000000014</v>
      </c>
      <c r="Y16" s="71"/>
    </row>
    <row r="17" spans="1:25" x14ac:dyDescent="0.25">
      <c r="A17" s="3" t="str">
        <f>PLANTILLA!D18</f>
        <v>I. Stone</v>
      </c>
      <c r="B17">
        <f>PLANTILLA!E18</f>
        <v>25</v>
      </c>
      <c r="C17">
        <f>PLANTILLA!H18</f>
        <v>6</v>
      </c>
      <c r="D17" s="71">
        <f>PLANTILLA!I18</f>
        <v>6.3</v>
      </c>
      <c r="E17" s="103">
        <f t="shared" si="11"/>
        <v>6.3</v>
      </c>
      <c r="F17" s="103">
        <f t="shared" si="12"/>
        <v>6.3999999999999995</v>
      </c>
      <c r="G17" s="103">
        <f t="shared" si="13"/>
        <v>6</v>
      </c>
      <c r="H17" s="103">
        <f t="shared" si="14"/>
        <v>6.99</v>
      </c>
      <c r="I17" s="107">
        <f t="shared" si="15"/>
        <v>226.79999999999998</v>
      </c>
      <c r="J17" s="107">
        <f t="shared" si="16"/>
        <v>312.70463999999998</v>
      </c>
      <c r="K17" s="104"/>
      <c r="O17" s="90" t="s">
        <v>286</v>
      </c>
      <c r="P17" s="47">
        <f>P16/16.5</f>
        <v>5.2969696969696969</v>
      </c>
      <c r="Q17" s="47">
        <f>Q16/16.5</f>
        <v>5.3636363636363642</v>
      </c>
      <c r="R17" s="47"/>
      <c r="V17" s="52" t="s">
        <v>287</v>
      </c>
      <c r="W17" s="47">
        <f>W16/17</f>
        <v>5.1411764705882357</v>
      </c>
      <c r="X17" s="47">
        <f>X16/17</f>
        <v>5.2058823529411775</v>
      </c>
      <c r="Y17" s="47"/>
    </row>
    <row r="18" spans="1:25" x14ac:dyDescent="0.25">
      <c r="A18" s="3" t="str">
        <f>PLANTILLA!D19</f>
        <v>G. Piscaer</v>
      </c>
      <c r="B18">
        <f>PLANTILLA!E19</f>
        <v>25</v>
      </c>
      <c r="C18">
        <f>PLANTILLA!H19</f>
        <v>1</v>
      </c>
      <c r="D18" s="71">
        <f>PLANTILLA!I19</f>
        <v>6.2</v>
      </c>
      <c r="E18" s="103">
        <f t="shared" si="11"/>
        <v>6.2</v>
      </c>
      <c r="F18" s="103">
        <f t="shared" si="12"/>
        <v>6.3</v>
      </c>
      <c r="G18" s="103">
        <f t="shared" si="13"/>
        <v>1</v>
      </c>
      <c r="H18" s="103">
        <f t="shared" si="14"/>
        <v>1.99</v>
      </c>
      <c r="I18" s="107">
        <f t="shared" si="15"/>
        <v>6.2</v>
      </c>
      <c r="J18" s="107">
        <f t="shared" si="16"/>
        <v>24.948630000000001</v>
      </c>
      <c r="K18" s="104"/>
      <c r="L18" s="53" t="s">
        <v>288</v>
      </c>
      <c r="O18" t="s">
        <v>289</v>
      </c>
      <c r="P18" s="71">
        <f>R3^2</f>
        <v>36</v>
      </c>
      <c r="Q18" s="71">
        <f>S3^2</f>
        <v>48.860100000000003</v>
      </c>
      <c r="R18" s="71"/>
      <c r="V18" s="52" t="s">
        <v>289</v>
      </c>
      <c r="W18" s="71">
        <f>Y3^2</f>
        <v>36</v>
      </c>
      <c r="X18" s="71">
        <f>Z3^2</f>
        <v>48.860100000000003</v>
      </c>
      <c r="Y18" s="71"/>
    </row>
    <row r="19" spans="1:25" x14ac:dyDescent="0.25">
      <c r="A19" s="3" t="str">
        <f>PLANTILLA!D20</f>
        <v>M. Bondarewski</v>
      </c>
      <c r="B19">
        <f>PLANTILLA!E20</f>
        <v>25</v>
      </c>
      <c r="C19">
        <f>PLANTILLA!H20</f>
        <v>1</v>
      </c>
      <c r="D19" s="71">
        <f>PLANTILLA!I20</f>
        <v>6.3</v>
      </c>
      <c r="E19" s="103">
        <f t="shared" si="11"/>
        <v>6.3</v>
      </c>
      <c r="F19" s="103">
        <f t="shared" si="12"/>
        <v>6.3999999999999995</v>
      </c>
      <c r="G19" s="103">
        <f t="shared" si="13"/>
        <v>1</v>
      </c>
      <c r="H19" s="103">
        <f t="shared" si="14"/>
        <v>1.99</v>
      </c>
      <c r="I19" s="107">
        <f t="shared" si="15"/>
        <v>6.3</v>
      </c>
      <c r="J19" s="107">
        <f t="shared" si="16"/>
        <v>25.344639999999998</v>
      </c>
      <c r="K19" s="104"/>
      <c r="L19" s="53" t="s">
        <v>290</v>
      </c>
      <c r="O19" t="s">
        <v>291</v>
      </c>
      <c r="P19" s="71">
        <f>P18*P3</f>
        <v>936</v>
      </c>
      <c r="Q19" s="71">
        <f>Q18*Q3</f>
        <v>1275.2486100000001</v>
      </c>
      <c r="R19" s="71"/>
      <c r="V19" s="52" t="s">
        <v>291</v>
      </c>
      <c r="W19" s="71">
        <f>W18*W3</f>
        <v>936</v>
      </c>
      <c r="X19" s="71">
        <f>X18*X3</f>
        <v>1275.2486100000001</v>
      </c>
      <c r="Y19" s="71"/>
    </row>
    <row r="20" spans="1:25" x14ac:dyDescent="0.25">
      <c r="A20" s="3">
        <f>PLANTILLA!D21</f>
        <v>0</v>
      </c>
      <c r="B20">
        <f>PLANTILLA!E21</f>
        <v>0</v>
      </c>
      <c r="C20">
        <f>PLANTILLA!H21</f>
        <v>0</v>
      </c>
      <c r="D20" s="71">
        <f>PLANTILLA!I21</f>
        <v>0</v>
      </c>
      <c r="E20" s="103">
        <f t="shared" si="11"/>
        <v>0</v>
      </c>
      <c r="F20" s="103">
        <f t="shared" si="12"/>
        <v>0.1</v>
      </c>
      <c r="G20" s="103">
        <f t="shared" si="13"/>
        <v>0</v>
      </c>
      <c r="H20" s="103">
        <f t="shared" si="14"/>
        <v>0.99</v>
      </c>
      <c r="I20" s="107">
        <f t="shared" si="15"/>
        <v>0</v>
      </c>
      <c r="J20" s="107">
        <f t="shared" si="16"/>
        <v>9.801E-2</v>
      </c>
      <c r="K20" s="104"/>
      <c r="L20" s="53" t="s">
        <v>292</v>
      </c>
      <c r="O20" s="90" t="s">
        <v>293</v>
      </c>
      <c r="P20" s="47">
        <f>(P19^(2/3))/27</f>
        <v>3.5439435997132303</v>
      </c>
      <c r="Q20" s="47">
        <f>(Q19^(2/3))/27</f>
        <v>4.3554477528921245</v>
      </c>
      <c r="R20" s="47"/>
      <c r="V20" s="52" t="s">
        <v>294</v>
      </c>
      <c r="W20" s="47">
        <f>(W19^(2/3))/30</f>
        <v>3.1895492397419072</v>
      </c>
      <c r="X20" s="47">
        <f>(X19^(2/3))/30</f>
        <v>3.9199029776029115</v>
      </c>
      <c r="Y20" s="47"/>
    </row>
    <row r="21" spans="1:25" x14ac:dyDescent="0.25">
      <c r="A21" s="3">
        <f>PLANTILLA!D22</f>
        <v>0</v>
      </c>
      <c r="B21">
        <f>PLANTILLA!E22</f>
        <v>0</v>
      </c>
      <c r="C21">
        <f>PLANTILLA!H22</f>
        <v>0</v>
      </c>
      <c r="D21" s="71">
        <f>PLANTILLA!I22</f>
        <v>0</v>
      </c>
      <c r="E21" s="103">
        <f t="shared" si="11"/>
        <v>0</v>
      </c>
      <c r="F21" s="103">
        <f t="shared" si="12"/>
        <v>0.1</v>
      </c>
      <c r="G21" s="103">
        <f t="shared" si="13"/>
        <v>0</v>
      </c>
      <c r="H21" s="103">
        <f t="shared" si="14"/>
        <v>0.99</v>
      </c>
      <c r="I21" s="107">
        <f t="shared" si="15"/>
        <v>0</v>
      </c>
      <c r="J21" s="107">
        <f t="shared" si="16"/>
        <v>9.801E-2</v>
      </c>
      <c r="K21" s="104"/>
      <c r="L21" s="53" t="s">
        <v>295</v>
      </c>
      <c r="O21" s="52" t="s">
        <v>192</v>
      </c>
      <c r="P21" s="230">
        <f>P17+P20</f>
        <v>8.8409132966829276</v>
      </c>
      <c r="Q21" s="230">
        <f>Q17+Q20</f>
        <v>9.7190841165284887</v>
      </c>
      <c r="V21" s="52" t="s">
        <v>192</v>
      </c>
      <c r="W21" s="230">
        <f>W17+W20</f>
        <v>8.3307257103301424</v>
      </c>
      <c r="X21" s="230">
        <f>X17+X20</f>
        <v>9.1257853305440886</v>
      </c>
    </row>
    <row r="22" spans="1:25" x14ac:dyDescent="0.25">
      <c r="A22" s="3">
        <f>PLANTILLA!D23</f>
        <v>0</v>
      </c>
      <c r="B22">
        <f>PLANTILLA!E23</f>
        <v>0</v>
      </c>
      <c r="C22">
        <f>PLANTILLA!H23</f>
        <v>0</v>
      </c>
      <c r="D22" s="71">
        <f>PLANTILLA!I23</f>
        <v>0</v>
      </c>
      <c r="E22" s="103">
        <f t="shared" si="11"/>
        <v>0</v>
      </c>
      <c r="F22" s="103">
        <f t="shared" si="12"/>
        <v>0.1</v>
      </c>
      <c r="G22" s="103">
        <f t="shared" si="13"/>
        <v>0</v>
      </c>
      <c r="H22" s="103">
        <f t="shared" si="14"/>
        <v>0.99</v>
      </c>
      <c r="I22" s="107">
        <f t="shared" si="15"/>
        <v>0</v>
      </c>
      <c r="J22" s="107">
        <f t="shared" si="16"/>
        <v>9.801E-2</v>
      </c>
      <c r="K22" s="104"/>
      <c r="L22" t="s">
        <v>296</v>
      </c>
    </row>
    <row r="23" spans="1:25" x14ac:dyDescent="0.25">
      <c r="A23" s="3">
        <f>PLANTILLA!D24</f>
        <v>0</v>
      </c>
      <c r="B23">
        <f>PLANTILLA!E24</f>
        <v>0</v>
      </c>
      <c r="C23">
        <f>PLANTILLA!H24</f>
        <v>0</v>
      </c>
      <c r="D23" s="71">
        <f>PLANTILLA!I24</f>
        <v>0</v>
      </c>
      <c r="E23" s="103">
        <f t="shared" si="11"/>
        <v>0</v>
      </c>
      <c r="F23" s="103">
        <f t="shared" si="12"/>
        <v>0.1</v>
      </c>
      <c r="G23" s="103">
        <f t="shared" si="13"/>
        <v>0</v>
      </c>
      <c r="H23" s="103">
        <f t="shared" si="14"/>
        <v>0.99</v>
      </c>
      <c r="I23" s="107">
        <f t="shared" si="15"/>
        <v>0</v>
      </c>
      <c r="J23" s="107">
        <f t="shared" si="16"/>
        <v>9.801E-2</v>
      </c>
      <c r="K23" s="104"/>
      <c r="O23" s="73">
        <v>42576</v>
      </c>
      <c r="P23">
        <v>6.76</v>
      </c>
      <c r="Q23">
        <v>6.99</v>
      </c>
      <c r="R23" t="s">
        <v>297</v>
      </c>
      <c r="W23" s="47"/>
    </row>
    <row r="24" spans="1:25" x14ac:dyDescent="0.25">
      <c r="A24" s="3">
        <f>PLANTILLA!D25</f>
        <v>0</v>
      </c>
      <c r="B24">
        <f>PLANTILLA!E25</f>
        <v>0</v>
      </c>
      <c r="C24">
        <f>PLANTILLA!H25</f>
        <v>0</v>
      </c>
      <c r="D24" s="71">
        <f>PLANTILLA!I25</f>
        <v>0</v>
      </c>
      <c r="E24" s="103">
        <f t="shared" si="11"/>
        <v>0</v>
      </c>
      <c r="F24" s="103">
        <f t="shared" si="12"/>
        <v>0.1</v>
      </c>
      <c r="G24" s="103">
        <f t="shared" si="13"/>
        <v>0</v>
      </c>
      <c r="H24" s="103">
        <f t="shared" si="14"/>
        <v>0.99</v>
      </c>
      <c r="I24" s="107">
        <f t="shared" si="15"/>
        <v>0</v>
      </c>
      <c r="J24" s="107">
        <f t="shared" si="16"/>
        <v>9.801E-2</v>
      </c>
    </row>
    <row r="25" spans="1:25" x14ac:dyDescent="0.25">
      <c r="A25" s="3">
        <f>PLANTILLA!D26</f>
        <v>0</v>
      </c>
      <c r="B25">
        <f>PLANTILLA!E26</f>
        <v>0</v>
      </c>
      <c r="C25">
        <f>PLANTILLA!H26</f>
        <v>0</v>
      </c>
      <c r="D25" s="71">
        <f>PLANTILLA!I26</f>
        <v>0</v>
      </c>
      <c r="E25" s="103">
        <f t="shared" si="11"/>
        <v>0</v>
      </c>
      <c r="F25" s="103">
        <f t="shared" si="12"/>
        <v>0.1</v>
      </c>
      <c r="G25" s="103">
        <f t="shared" si="13"/>
        <v>0</v>
      </c>
      <c r="H25" s="103">
        <f t="shared" si="14"/>
        <v>0.99</v>
      </c>
      <c r="I25" s="107">
        <f t="shared" si="15"/>
        <v>0</v>
      </c>
      <c r="J25" s="107">
        <f t="shared" si="16"/>
        <v>9.801E-2</v>
      </c>
      <c r="V25"/>
    </row>
    <row r="26" spans="1:25" x14ac:dyDescent="0.25">
      <c r="A26" s="3">
        <f>PLANTILLA!D27</f>
        <v>0</v>
      </c>
      <c r="B26">
        <f>PLANTILLA!E27</f>
        <v>0</v>
      </c>
      <c r="C26">
        <f>PLANTILLA!H27</f>
        <v>0</v>
      </c>
      <c r="D26" s="71">
        <f>PLANTILLA!I27</f>
        <v>0</v>
      </c>
      <c r="E26" s="103">
        <f t="shared" si="11"/>
        <v>0</v>
      </c>
      <c r="F26" s="103">
        <f t="shared" si="12"/>
        <v>0.1</v>
      </c>
      <c r="G26" s="103">
        <f t="shared" si="13"/>
        <v>0</v>
      </c>
      <c r="H26" s="103">
        <f t="shared" si="14"/>
        <v>0.99</v>
      </c>
      <c r="I26" s="107">
        <f t="shared" si="15"/>
        <v>0</v>
      </c>
      <c r="J26" s="107">
        <f t="shared" si="16"/>
        <v>9.801E-2</v>
      </c>
      <c r="V26"/>
    </row>
    <row r="27" spans="1:25" x14ac:dyDescent="0.25">
      <c r="A27" s="3">
        <f>PLANTILLA!D28</f>
        <v>0</v>
      </c>
      <c r="B27">
        <f>PLANTILLA!E28</f>
        <v>0</v>
      </c>
      <c r="C27">
        <f>PLANTILLA!H28</f>
        <v>0</v>
      </c>
      <c r="D27" s="71">
        <f>PLANTILLA!I28</f>
        <v>0</v>
      </c>
      <c r="E27" s="103">
        <f t="shared" si="11"/>
        <v>0</v>
      </c>
      <c r="F27" s="103">
        <f t="shared" si="12"/>
        <v>0.1</v>
      </c>
      <c r="G27" s="103">
        <f t="shared" si="13"/>
        <v>0</v>
      </c>
      <c r="H27" s="103">
        <f t="shared" si="14"/>
        <v>0.99</v>
      </c>
      <c r="I27" s="107">
        <f t="shared" si="15"/>
        <v>0</v>
      </c>
      <c r="J27" s="107">
        <f t="shared" si="16"/>
        <v>9.801E-2</v>
      </c>
      <c r="V27"/>
    </row>
    <row r="28" spans="1:25" x14ac:dyDescent="0.25">
      <c r="A28" s="3">
        <f>PLANTILLA!D29</f>
        <v>0</v>
      </c>
      <c r="B28">
        <f>PLANTILLA!E29</f>
        <v>0</v>
      </c>
      <c r="C28">
        <f>PLANTILLA!H29</f>
        <v>0</v>
      </c>
      <c r="D28" s="71">
        <f>PLANTILLA!I29</f>
        <v>0</v>
      </c>
      <c r="E28" s="103">
        <f t="shared" si="11"/>
        <v>0</v>
      </c>
      <c r="F28" s="103">
        <f t="shared" si="12"/>
        <v>0.1</v>
      </c>
      <c r="G28" s="103">
        <f t="shared" si="13"/>
        <v>0</v>
      </c>
      <c r="H28" s="103">
        <f t="shared" si="14"/>
        <v>0.99</v>
      </c>
      <c r="I28" s="107">
        <f t="shared" si="15"/>
        <v>0</v>
      </c>
      <c r="J28" s="107">
        <f t="shared" si="16"/>
        <v>9.801E-2</v>
      </c>
    </row>
  </sheetData>
  <conditionalFormatting sqref="I3:J28">
    <cfRule type="cellIs" dxfId="20" priority="1" operator="between">
      <formula>70</formula>
      <formula>100</formula>
    </cfRule>
  </conditionalFormatting>
  <conditionalFormatting sqref="I3:J28">
    <cfRule type="cellIs" dxfId="19" priority="2" operator="greaterThan">
      <formula>100</formula>
    </cfRule>
  </conditionalFormatting>
  <pageMargins left="0.7" right="0.7" top="0.75" bottom="0.75" header="0.3" footer="0.3"/>
  <pageSetup paperSize="9" fitToWidth="0"/>
  <drawing r:id="rId1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E4DFEC"/>
  </sheetPr>
  <dimension ref="A1:V45"/>
  <sheetViews>
    <sheetView workbookViewId="0">
      <selection activeCell="P4" sqref="P4"/>
    </sheetView>
  </sheetViews>
  <sheetFormatPr baseColWidth="10" defaultColWidth="11.42578125" defaultRowHeight="15" x14ac:dyDescent="0.25"/>
  <cols>
    <col min="1" max="1" width="17.140625" customWidth="1"/>
    <col min="2" max="3" width="17.7109375" customWidth="1"/>
    <col min="4" max="4" width="22.42578125" customWidth="1"/>
    <col min="5" max="5" width="5.5703125" customWidth="1"/>
    <col min="6" max="6" width="4.5703125" customWidth="1"/>
    <col min="7" max="7" width="3.7109375" customWidth="1"/>
    <col min="8" max="8" width="4.5703125" customWidth="1"/>
    <col min="9" max="9" width="5.28515625" customWidth="1"/>
    <col min="10" max="10" width="5.85546875" customWidth="1"/>
    <col min="11" max="11" width="6" customWidth="1"/>
    <col min="12" max="12" width="5" customWidth="1"/>
    <col min="13" max="13" width="13.42578125" style="57" customWidth="1"/>
    <col min="14" max="14" width="21.5703125" style="57" customWidth="1"/>
    <col min="15" max="15" width="14" style="57" customWidth="1"/>
    <col min="16" max="16" width="13" style="57" customWidth="1"/>
    <col min="17" max="17" width="10.42578125" style="57" customWidth="1"/>
    <col min="18" max="18" width="10.28515625" style="57" customWidth="1"/>
    <col min="19" max="19" width="21" style="57" customWidth="1"/>
    <col min="20" max="20" width="12" style="57" customWidth="1"/>
    <col min="21" max="21" width="16.85546875" style="57" customWidth="1"/>
    <col min="22" max="22" width="16.7109375" customWidth="1"/>
  </cols>
  <sheetData>
    <row r="1" spans="1:22" x14ac:dyDescent="0.25">
      <c r="A1" s="79" t="s">
        <v>82</v>
      </c>
      <c r="B1" s="79" t="s">
        <v>83</v>
      </c>
      <c r="C1" s="80" t="s">
        <v>298</v>
      </c>
      <c r="D1" s="81" t="s">
        <v>84</v>
      </c>
      <c r="E1" s="79" t="s">
        <v>85</v>
      </c>
      <c r="F1" s="79" t="s">
        <v>87</v>
      </c>
      <c r="G1" s="79" t="s">
        <v>88</v>
      </c>
      <c r="H1" s="79" t="s">
        <v>89</v>
      </c>
      <c r="I1" s="82" t="s">
        <v>299</v>
      </c>
      <c r="J1" s="82" t="s">
        <v>300</v>
      </c>
      <c r="K1" s="79" t="s">
        <v>100</v>
      </c>
      <c r="L1" s="79" t="s">
        <v>102</v>
      </c>
      <c r="M1" s="121" t="s">
        <v>301</v>
      </c>
      <c r="N1" s="121" t="s">
        <v>302</v>
      </c>
      <c r="O1" s="121" t="s">
        <v>303</v>
      </c>
      <c r="P1" s="121" t="s">
        <v>304</v>
      </c>
      <c r="Q1" s="121" t="s">
        <v>305</v>
      </c>
      <c r="R1" s="121" t="s">
        <v>306</v>
      </c>
      <c r="S1" s="121" t="s">
        <v>307</v>
      </c>
      <c r="T1" s="121" t="s">
        <v>308</v>
      </c>
      <c r="U1" s="121" t="s">
        <v>309</v>
      </c>
      <c r="V1" s="121" t="s">
        <v>310</v>
      </c>
    </row>
    <row r="2" spans="1:22" x14ac:dyDescent="0.25">
      <c r="A2" s="78"/>
      <c r="B2" s="78" t="s">
        <v>311</v>
      </c>
      <c r="C2" s="78"/>
      <c r="D2" s="75" t="s">
        <v>312</v>
      </c>
      <c r="E2" s="54">
        <v>42</v>
      </c>
      <c r="F2" s="70" t="s">
        <v>134</v>
      </c>
      <c r="G2" s="108">
        <v>3</v>
      </c>
      <c r="H2" s="56">
        <v>16.004000000000001</v>
      </c>
      <c r="I2" s="83">
        <f>(G2)*(G2)*(H2)</f>
        <v>144.036</v>
      </c>
      <c r="J2" s="83">
        <f>(G2+1)*(G2+1)*H2</f>
        <v>256.06400000000002</v>
      </c>
      <c r="K2" s="76">
        <v>0</v>
      </c>
      <c r="L2" s="76">
        <v>300</v>
      </c>
      <c r="M2" s="122">
        <v>41576</v>
      </c>
      <c r="N2" s="122">
        <v>41731</v>
      </c>
      <c r="O2" s="122">
        <v>42305</v>
      </c>
      <c r="P2" s="59">
        <v>772000</v>
      </c>
      <c r="Q2" s="59">
        <f>((N2-M2)/7)*L2</f>
        <v>6642.8571428571431</v>
      </c>
      <c r="R2" s="59">
        <f ca="1">((TODAY()-N2)/7)*L2</f>
        <v>115157.14285714286</v>
      </c>
      <c r="S2" s="59">
        <v>2068800</v>
      </c>
      <c r="T2" s="59">
        <f ca="1">S2+Q2+P2+R2</f>
        <v>2962600</v>
      </c>
      <c r="U2" s="63">
        <f ca="1">T2/((O2-N2)/112)</f>
        <v>578068.29268292687</v>
      </c>
      <c r="V2" s="48">
        <f>(O2-N2)/112</f>
        <v>5.125</v>
      </c>
    </row>
    <row r="3" spans="1:22" x14ac:dyDescent="0.25">
      <c r="A3" s="79" t="s">
        <v>82</v>
      </c>
      <c r="B3" s="79" t="s">
        <v>83</v>
      </c>
      <c r="C3" s="80" t="s">
        <v>298</v>
      </c>
      <c r="D3" s="81" t="s">
        <v>84</v>
      </c>
      <c r="E3" s="79" t="s">
        <v>85</v>
      </c>
      <c r="F3" s="79" t="s">
        <v>87</v>
      </c>
      <c r="G3" s="79" t="s">
        <v>88</v>
      </c>
      <c r="H3" s="79" t="s">
        <v>89</v>
      </c>
      <c r="I3" s="82" t="s">
        <v>299</v>
      </c>
      <c r="J3" s="82" t="s">
        <v>300</v>
      </c>
      <c r="K3" s="79" t="s">
        <v>100</v>
      </c>
      <c r="L3" s="79" t="s">
        <v>102</v>
      </c>
      <c r="M3" s="121" t="s">
        <v>301</v>
      </c>
      <c r="N3" s="121" t="s">
        <v>302</v>
      </c>
      <c r="O3" s="121" t="s">
        <v>303</v>
      </c>
      <c r="P3" s="121" t="s">
        <v>304</v>
      </c>
      <c r="Q3" s="121" t="s">
        <v>305</v>
      </c>
      <c r="R3" s="121" t="s">
        <v>306</v>
      </c>
      <c r="S3" s="121" t="s">
        <v>307</v>
      </c>
      <c r="T3" s="121" t="s">
        <v>308</v>
      </c>
      <c r="U3" s="121" t="s">
        <v>309</v>
      </c>
      <c r="V3" s="121" t="s">
        <v>310</v>
      </c>
    </row>
    <row r="4" spans="1:22" x14ac:dyDescent="0.25">
      <c r="A4" s="78"/>
      <c r="B4" s="78" t="s">
        <v>311</v>
      </c>
      <c r="C4" s="78"/>
      <c r="D4" s="75" t="s">
        <v>313</v>
      </c>
      <c r="E4" s="54">
        <v>44</v>
      </c>
      <c r="F4" s="70" t="s">
        <v>134</v>
      </c>
      <c r="G4" s="108">
        <v>5</v>
      </c>
      <c r="H4" s="56">
        <v>16.109000000000002</v>
      </c>
      <c r="I4" s="83">
        <f>(G4)*(G4)*(H4)</f>
        <v>402.72500000000002</v>
      </c>
      <c r="J4" s="83">
        <f>(G4+1)*(G4+1)*H4</f>
        <v>579.92400000000009</v>
      </c>
      <c r="K4" s="76">
        <v>0</v>
      </c>
      <c r="L4" s="76">
        <v>300</v>
      </c>
      <c r="M4" s="122">
        <v>41976</v>
      </c>
      <c r="N4" s="122">
        <v>42305</v>
      </c>
      <c r="O4" s="122">
        <v>42908</v>
      </c>
      <c r="P4" s="59">
        <v>1052640</v>
      </c>
      <c r="Q4" s="59">
        <f>((N4-M4)/7)*L4</f>
        <v>14100</v>
      </c>
      <c r="R4" s="59">
        <f ca="1">((TODAY()-N4)/7)*L4</f>
        <v>90557.142857142855</v>
      </c>
      <c r="S4" s="59">
        <v>2059800</v>
      </c>
      <c r="T4" s="59">
        <f>S4+Q4+P4</f>
        <v>3126540</v>
      </c>
      <c r="U4" s="63">
        <f>T4/((O4-N4)/112)</f>
        <v>580717.21393034828</v>
      </c>
      <c r="V4" s="48">
        <f ca="1">(A7-N4)/112</f>
        <v>18.866071428571427</v>
      </c>
    </row>
    <row r="5" spans="1:22" x14ac:dyDescent="0.25">
      <c r="O5" s="204"/>
    </row>
    <row r="7" spans="1:22" x14ac:dyDescent="0.25">
      <c r="A7" s="51">
        <f ca="1">TODAY()</f>
        <v>44418</v>
      </c>
    </row>
    <row r="8" spans="1:22" x14ac:dyDescent="0.25">
      <c r="A8" s="51">
        <v>41757</v>
      </c>
    </row>
    <row r="9" spans="1:22" x14ac:dyDescent="0.25">
      <c r="A9" s="52">
        <f ca="1">A7-A8</f>
        <v>2661</v>
      </c>
    </row>
    <row r="10" spans="1:22" x14ac:dyDescent="0.25">
      <c r="A10" s="120">
        <f ca="1">A9/112</f>
        <v>23.758928571428573</v>
      </c>
    </row>
    <row r="12" spans="1:22" x14ac:dyDescent="0.25">
      <c r="A12" s="79" t="s">
        <v>82</v>
      </c>
      <c r="B12" s="79" t="s">
        <v>83</v>
      </c>
      <c r="C12" s="80" t="s">
        <v>298</v>
      </c>
      <c r="D12" s="81" t="s">
        <v>84</v>
      </c>
      <c r="E12" s="79" t="s">
        <v>85</v>
      </c>
      <c r="F12" s="79" t="s">
        <v>87</v>
      </c>
      <c r="G12" s="79" t="s">
        <v>88</v>
      </c>
      <c r="H12" s="79" t="s">
        <v>89</v>
      </c>
      <c r="I12" s="82" t="s">
        <v>299</v>
      </c>
      <c r="J12" s="82" t="s">
        <v>300</v>
      </c>
      <c r="K12" s="79" t="s">
        <v>100</v>
      </c>
      <c r="L12" s="79" t="s">
        <v>102</v>
      </c>
      <c r="M12" s="121" t="s">
        <v>301</v>
      </c>
      <c r="N12" s="121" t="s">
        <v>302</v>
      </c>
      <c r="O12" s="121" t="s">
        <v>303</v>
      </c>
      <c r="P12" s="121" t="s">
        <v>304</v>
      </c>
      <c r="Q12" s="121" t="s">
        <v>305</v>
      </c>
      <c r="R12" s="121" t="s">
        <v>306</v>
      </c>
      <c r="S12" s="121" t="s">
        <v>307</v>
      </c>
      <c r="T12" s="121" t="s">
        <v>308</v>
      </c>
      <c r="U12" s="121" t="s">
        <v>309</v>
      </c>
      <c r="V12" s="121" t="s">
        <v>310</v>
      </c>
    </row>
    <row r="13" spans="1:22" x14ac:dyDescent="0.25">
      <c r="D13" s="75" t="s">
        <v>314</v>
      </c>
      <c r="E13" s="54">
        <v>39</v>
      </c>
      <c r="F13" s="70"/>
      <c r="G13" s="108">
        <v>6</v>
      </c>
      <c r="H13" s="56">
        <v>13</v>
      </c>
      <c r="I13" s="83">
        <f>(G13)*(G13)*(H13)</f>
        <v>468</v>
      </c>
      <c r="J13" s="83">
        <f>(G13+1)*(G13+1)*H13</f>
        <v>637</v>
      </c>
      <c r="K13" s="76">
        <v>1130</v>
      </c>
      <c r="L13" s="76">
        <v>864</v>
      </c>
      <c r="M13" s="122">
        <v>42628</v>
      </c>
      <c r="N13" s="122">
        <f>O4</f>
        <v>42908</v>
      </c>
      <c r="O13" s="122">
        <f ca="1">TODAY()</f>
        <v>44418</v>
      </c>
      <c r="P13" s="206">
        <v>1800000</v>
      </c>
      <c r="Q13" s="59">
        <v>372</v>
      </c>
      <c r="R13" s="59">
        <f ca="1">((TODAY()-N13)/7)*L13</f>
        <v>186377.14285714287</v>
      </c>
      <c r="S13" s="206">
        <v>2553000</v>
      </c>
      <c r="T13" s="59">
        <f>S13+Q13+P13</f>
        <v>4353372</v>
      </c>
      <c r="U13" s="63">
        <f ca="1">T13/((O13-N13)/112)</f>
        <v>322899.11523178808</v>
      </c>
      <c r="V13" s="48">
        <v>7</v>
      </c>
    </row>
    <row r="17" spans="1:22" ht="18" x14ac:dyDescent="0.25">
      <c r="A17" s="195">
        <v>42908</v>
      </c>
      <c r="B17" s="73"/>
      <c r="C17">
        <v>112</v>
      </c>
      <c r="D17">
        <v>0</v>
      </c>
    </row>
    <row r="18" spans="1:22" x14ac:dyDescent="0.25">
      <c r="A18" s="73">
        <f ca="1">TODAY()</f>
        <v>44418</v>
      </c>
      <c r="B18" s="73"/>
      <c r="C18">
        <v>400</v>
      </c>
      <c r="D18">
        <v>1</v>
      </c>
    </row>
    <row r="19" spans="1:22" x14ac:dyDescent="0.25">
      <c r="A19">
        <f ca="1">A18-A17</f>
        <v>1510</v>
      </c>
      <c r="C19">
        <f>C18-C17</f>
        <v>288</v>
      </c>
      <c r="D19" s="196">
        <f ca="1">(A19-C17)/C19</f>
        <v>4.854166666666667</v>
      </c>
    </row>
    <row r="20" spans="1:22" x14ac:dyDescent="0.25">
      <c r="D20" t="s">
        <v>315</v>
      </c>
    </row>
    <row r="24" spans="1:22" x14ac:dyDescent="0.25">
      <c r="A24" s="79" t="s">
        <v>82</v>
      </c>
      <c r="B24" s="79" t="s">
        <v>83</v>
      </c>
      <c r="C24" s="80" t="s">
        <v>298</v>
      </c>
      <c r="D24" s="81" t="s">
        <v>84</v>
      </c>
      <c r="E24" s="79" t="s">
        <v>85</v>
      </c>
      <c r="F24" s="79" t="s">
        <v>87</v>
      </c>
      <c r="G24" s="79" t="s">
        <v>88</v>
      </c>
      <c r="H24" s="79" t="s">
        <v>89</v>
      </c>
      <c r="I24" s="82" t="s">
        <v>299</v>
      </c>
      <c r="J24" s="82" t="s">
        <v>300</v>
      </c>
      <c r="K24" s="79" t="s">
        <v>100</v>
      </c>
      <c r="L24" s="79" t="s">
        <v>102</v>
      </c>
      <c r="M24" s="121" t="s">
        <v>301</v>
      </c>
      <c r="N24" s="121" t="s">
        <v>302</v>
      </c>
      <c r="O24" s="121" t="s">
        <v>303</v>
      </c>
      <c r="P24" s="121" t="s">
        <v>304</v>
      </c>
      <c r="Q24" s="121" t="s">
        <v>305</v>
      </c>
      <c r="R24" s="121" t="s">
        <v>306</v>
      </c>
      <c r="S24" s="121" t="s">
        <v>307</v>
      </c>
      <c r="T24" s="121" t="s">
        <v>308</v>
      </c>
      <c r="U24" s="121" t="s">
        <v>309</v>
      </c>
      <c r="V24" s="121" t="s">
        <v>310</v>
      </c>
    </row>
    <row r="28" spans="1:22" ht="19.5" x14ac:dyDescent="0.25">
      <c r="A28" s="555" t="s">
        <v>316</v>
      </c>
      <c r="B28" s="555"/>
      <c r="C28" s="555"/>
      <c r="D28" s="555"/>
    </row>
    <row r="29" spans="1:22" x14ac:dyDescent="0.25">
      <c r="A29" s="556" t="s">
        <v>317</v>
      </c>
      <c r="B29" s="557" t="s">
        <v>318</v>
      </c>
      <c r="C29" s="557" t="s">
        <v>319</v>
      </c>
      <c r="D29" s="557" t="s">
        <v>320</v>
      </c>
    </row>
    <row r="30" spans="1:22" x14ac:dyDescent="0.25">
      <c r="A30" s="556"/>
      <c r="B30" s="557"/>
      <c r="C30" s="557"/>
      <c r="D30" s="557"/>
    </row>
    <row r="31" spans="1:22" x14ac:dyDescent="0.25">
      <c r="A31" s="60" t="s">
        <v>318</v>
      </c>
      <c r="B31" s="61" t="s">
        <v>321</v>
      </c>
      <c r="C31" s="61" t="s">
        <v>322</v>
      </c>
      <c r="D31" s="61" t="s">
        <v>322</v>
      </c>
    </row>
    <row r="32" spans="1:22" x14ac:dyDescent="0.25">
      <c r="A32" s="205" t="s">
        <v>319</v>
      </c>
      <c r="B32" s="62" t="s">
        <v>323</v>
      </c>
      <c r="C32" s="62" t="s">
        <v>324</v>
      </c>
      <c r="D32" s="62" t="s">
        <v>322</v>
      </c>
    </row>
    <row r="33" spans="1:4" x14ac:dyDescent="0.25">
      <c r="A33" s="60" t="s">
        <v>320</v>
      </c>
      <c r="B33" s="61" t="s">
        <v>325</v>
      </c>
      <c r="C33" s="61" t="s">
        <v>326</v>
      </c>
      <c r="D33" s="61" t="s">
        <v>327</v>
      </c>
    </row>
    <row r="34" spans="1:4" x14ac:dyDescent="0.25">
      <c r="A34" s="205" t="s">
        <v>328</v>
      </c>
      <c r="B34" s="62" t="s">
        <v>329</v>
      </c>
      <c r="C34" s="62" t="s">
        <v>330</v>
      </c>
      <c r="D34" s="62" t="s">
        <v>331</v>
      </c>
    </row>
    <row r="35" spans="1:4" x14ac:dyDescent="0.25">
      <c r="A35" s="60" t="s">
        <v>332</v>
      </c>
      <c r="B35" s="61" t="s">
        <v>333</v>
      </c>
      <c r="C35" s="61" t="s">
        <v>334</v>
      </c>
      <c r="D35" s="61" t="s">
        <v>335</v>
      </c>
    </row>
    <row r="36" spans="1:4" x14ac:dyDescent="0.25">
      <c r="A36" s="205" t="s">
        <v>336</v>
      </c>
      <c r="B36" s="62" t="s">
        <v>337</v>
      </c>
      <c r="C36" s="62" t="s">
        <v>338</v>
      </c>
      <c r="D36" s="62" t="s">
        <v>339</v>
      </c>
    </row>
    <row r="37" spans="1:4" x14ac:dyDescent="0.25">
      <c r="A37" s="60" t="s">
        <v>340</v>
      </c>
      <c r="B37" s="61" t="s">
        <v>341</v>
      </c>
      <c r="C37" s="61" t="s">
        <v>342</v>
      </c>
      <c r="D37" s="61" t="s">
        <v>343</v>
      </c>
    </row>
    <row r="38" spans="1:4" x14ac:dyDescent="0.25">
      <c r="A38" s="205" t="s">
        <v>344</v>
      </c>
      <c r="B38" s="62" t="s">
        <v>345</v>
      </c>
      <c r="C38" s="62" t="s">
        <v>346</v>
      </c>
      <c r="D38" s="62" t="s">
        <v>347</v>
      </c>
    </row>
    <row r="39" spans="1:4" x14ac:dyDescent="0.25">
      <c r="A39" s="60" t="s">
        <v>348</v>
      </c>
      <c r="B39" s="61" t="s">
        <v>349</v>
      </c>
      <c r="C39" s="61" t="s">
        <v>350</v>
      </c>
      <c r="D39" s="61" t="s">
        <v>351</v>
      </c>
    </row>
    <row r="40" spans="1:4" x14ac:dyDescent="0.25">
      <c r="A40" s="205" t="s">
        <v>352</v>
      </c>
      <c r="B40" s="62" t="s">
        <v>353</v>
      </c>
      <c r="C40" s="62" t="s">
        <v>354</v>
      </c>
      <c r="D40" s="62" t="s">
        <v>355</v>
      </c>
    </row>
    <row r="41" spans="1:4" x14ac:dyDescent="0.25">
      <c r="A41" s="60" t="s">
        <v>356</v>
      </c>
      <c r="B41" s="61" t="s">
        <v>357</v>
      </c>
      <c r="C41" s="61" t="s">
        <v>358</v>
      </c>
      <c r="D41" s="61" t="s">
        <v>359</v>
      </c>
    </row>
    <row r="42" spans="1:4" x14ac:dyDescent="0.25">
      <c r="A42" s="205" t="s">
        <v>360</v>
      </c>
      <c r="B42" s="62" t="s">
        <v>361</v>
      </c>
      <c r="C42" s="62" t="s">
        <v>362</v>
      </c>
      <c r="D42" s="62" t="s">
        <v>363</v>
      </c>
    </row>
    <row r="43" spans="1:4" x14ac:dyDescent="0.25">
      <c r="A43" s="60" t="s">
        <v>364</v>
      </c>
      <c r="B43" s="61" t="s">
        <v>365</v>
      </c>
      <c r="C43" s="61" t="s">
        <v>366</v>
      </c>
      <c r="D43" s="61" t="s">
        <v>367</v>
      </c>
    </row>
    <row r="44" spans="1:4" x14ac:dyDescent="0.25">
      <c r="A44" s="205" t="s">
        <v>368</v>
      </c>
      <c r="B44" s="62" t="s">
        <v>369</v>
      </c>
      <c r="C44" s="62" t="s">
        <v>370</v>
      </c>
      <c r="D44" s="62" t="s">
        <v>371</v>
      </c>
    </row>
    <row r="45" spans="1:4" x14ac:dyDescent="0.25">
      <c r="A45" s="60" t="s">
        <v>372</v>
      </c>
      <c r="B45" s="61" t="s">
        <v>373</v>
      </c>
      <c r="C45" s="61" t="s">
        <v>374</v>
      </c>
      <c r="D45" s="61" t="s">
        <v>375</v>
      </c>
    </row>
  </sheetData>
  <mergeCells count="5">
    <mergeCell ref="A28:D28"/>
    <mergeCell ref="A29:A30"/>
    <mergeCell ref="B29:B30"/>
    <mergeCell ref="C29:C30"/>
    <mergeCell ref="D29:D30"/>
  </mergeCells>
  <conditionalFormatting sqref="M4:O4">
    <cfRule type="colorScale" priority="1">
      <colorScale>
        <cfvo type="min"/>
        <cfvo type="max"/>
        <color rgb="FFFFEF9C"/>
        <color rgb="FFFF7128"/>
      </colorScale>
    </cfRule>
  </conditionalFormatting>
  <conditionalFormatting sqref="C4">
    <cfRule type="colorScale" priority="2">
      <colorScale>
        <cfvo type="min"/>
        <cfvo type="max"/>
        <color rgb="FFFFEF9C"/>
        <color rgb="FF63BE7B"/>
      </colorScale>
    </cfRule>
  </conditionalFormatting>
  <conditionalFormatting sqref="L4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{7B2E120E-95D3-A388-E0D2-EB58677BD115}</x14:id>
        </ext>
      </extLst>
    </cfRule>
  </conditionalFormatting>
  <conditionalFormatting sqref="K4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{0FAB6D97-9738-449C-FA91-E947F0398647}</x14:id>
        </ext>
      </extLst>
    </cfRule>
  </conditionalFormatting>
  <conditionalFormatting sqref="C2">
    <cfRule type="colorScale" priority="5">
      <colorScale>
        <cfvo type="min"/>
        <cfvo type="max"/>
        <color rgb="FFFFEF9C"/>
        <color rgb="FF63BE7B"/>
      </colorScale>
    </cfRule>
  </conditionalFormatting>
  <conditionalFormatting sqref="L2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{64548BBD-AC24-B4C1-E251-9C30C2874967}</x14:id>
        </ext>
      </extLst>
    </cfRule>
  </conditionalFormatting>
  <conditionalFormatting sqref="K2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{259CDE62-511F-AFB7-8EC9-D01462A2A56D}</x14:id>
        </ext>
      </extLst>
    </cfRule>
  </conditionalFormatting>
  <conditionalFormatting sqref="M2:O2">
    <cfRule type="colorScale" priority="8">
      <colorScale>
        <cfvo type="min"/>
        <cfvo type="max"/>
        <color rgb="FFFFEF9C"/>
        <color rgb="FFFF7128"/>
      </colorScale>
    </cfRule>
  </conditionalFormatting>
  <conditionalFormatting sqref="L13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{1F4114F6-32BC-2D65-6C6C-1F291CD95F4B}</x14:id>
        </ext>
      </extLst>
    </cfRule>
  </conditionalFormatting>
  <conditionalFormatting sqref="K13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{77E5CBD7-FEE0-E887-C615-D95CD96F3F4B}</x14:id>
        </ext>
      </extLst>
    </cfRule>
  </conditionalFormatting>
  <conditionalFormatting sqref="M13:O13">
    <cfRule type="colorScale" priority="11">
      <colorScale>
        <cfvo type="min"/>
        <cfvo type="max"/>
        <color rgb="FFFFEF9C"/>
        <color rgb="FFFF7128"/>
      </colorScale>
    </cfRule>
  </conditionalFormatting>
  <pageMargins left="0.7" right="0.7" top="0.75" bottom="0.75" header="0.3" footer="0.3"/>
  <pageSetup paperSize="9" fitToWidth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B2E120E-95D3-A388-E0D2-EB58677BD115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L4</xm:sqref>
        </x14:conditionalFormatting>
        <x14:conditionalFormatting xmlns:xm="http://schemas.microsoft.com/office/excel/2006/main">
          <x14:cfRule type="dataBar" id="{0FAB6D97-9738-449C-FA91-E947F0398647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K4</xm:sqref>
        </x14:conditionalFormatting>
        <x14:conditionalFormatting xmlns:xm="http://schemas.microsoft.com/office/excel/2006/main">
          <x14:cfRule type="dataBar" id="{64548BBD-AC24-B4C1-E251-9C30C2874967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L2</xm:sqref>
        </x14:conditionalFormatting>
        <x14:conditionalFormatting xmlns:xm="http://schemas.microsoft.com/office/excel/2006/main">
          <x14:cfRule type="dataBar" id="{259CDE62-511F-AFB7-8EC9-D01462A2A56D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K2</xm:sqref>
        </x14:conditionalFormatting>
        <x14:conditionalFormatting xmlns:xm="http://schemas.microsoft.com/office/excel/2006/main">
          <x14:cfRule type="dataBar" id="{1F4114F6-32BC-2D65-6C6C-1F291CD95F4B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L13</xm:sqref>
        </x14:conditionalFormatting>
        <x14:conditionalFormatting xmlns:xm="http://schemas.microsoft.com/office/excel/2006/main">
          <x14:cfRule type="dataBar" id="{77E5CBD7-FEE0-E887-C615-D95CD96F3F4B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K13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ABF8F"/>
  </sheetPr>
  <dimension ref="A1:BA33"/>
  <sheetViews>
    <sheetView workbookViewId="0">
      <pane xSplit="6" ySplit="3" topLeftCell="G4" activePane="bottomRight" state="frozen"/>
      <selection pane="topRight"/>
      <selection pane="bottomLeft"/>
      <selection pane="bottomRight" activeCell="G12" sqref="G12"/>
    </sheetView>
  </sheetViews>
  <sheetFormatPr baseColWidth="10" defaultColWidth="11.42578125" defaultRowHeight="15" x14ac:dyDescent="0.25"/>
  <cols>
    <col min="1" max="1" width="4.7109375" customWidth="1"/>
    <col min="2" max="2" width="5.140625" customWidth="1"/>
    <col min="3" max="3" width="15.140625" style="52" customWidth="1"/>
    <col min="4" max="4" width="5.5703125" customWidth="1"/>
    <col min="5" max="5" width="5" customWidth="1"/>
    <col min="6" max="6" width="4.5703125" style="57" customWidth="1"/>
    <col min="7" max="7" width="3.7109375" style="3" customWidth="1"/>
    <col min="8" max="8" width="4.5703125" customWidth="1"/>
    <col min="9" max="9" width="6.140625" style="46" customWidth="1"/>
    <col min="10" max="13" width="6.140625" customWidth="1"/>
    <col min="14" max="14" width="5" customWidth="1"/>
    <col min="15" max="15" width="6.140625" customWidth="1"/>
    <col min="16" max="16" width="5.5703125" style="57" customWidth="1"/>
    <col min="17" max="17" width="5" style="57" customWidth="1"/>
    <col min="18" max="18" width="4.42578125" style="57" customWidth="1"/>
    <col min="19" max="25" width="5.5703125" style="57" customWidth="1"/>
    <col min="26" max="27" width="4.5703125" customWidth="1"/>
    <col min="28" max="28" width="5.5703125" customWidth="1"/>
    <col min="29" max="32" width="4.5703125" customWidth="1"/>
    <col min="33" max="33" width="3.7109375" customWidth="1"/>
    <col min="34" max="34" width="6.140625" customWidth="1"/>
    <col min="35" max="35" width="15.140625" customWidth="1"/>
    <col min="36" max="37" width="7.85546875" customWidth="1"/>
    <col min="38" max="38" width="7.7109375" customWidth="1"/>
    <col min="39" max="39" width="7.140625" customWidth="1"/>
    <col min="40" max="41" width="6.5703125" customWidth="1"/>
    <col min="42" max="42" width="6.42578125" customWidth="1"/>
    <col min="43" max="44" width="5.85546875" customWidth="1"/>
    <col min="45" max="45" width="5.5703125" customWidth="1"/>
    <col min="46" max="46" width="4.5703125" customWidth="1"/>
    <col min="47" max="47" width="5.5703125" customWidth="1"/>
    <col min="48" max="48" width="11" customWidth="1"/>
    <col min="49" max="49" width="5.85546875" customWidth="1"/>
    <col min="50" max="50" width="12.42578125" customWidth="1"/>
    <col min="51" max="51" width="15.140625" customWidth="1"/>
    <col min="52" max="53" width="9.5703125" customWidth="1"/>
  </cols>
  <sheetData>
    <row r="1" spans="1:53" ht="18.75" x14ac:dyDescent="0.3">
      <c r="P1"/>
      <c r="Q1"/>
      <c r="AH1" s="558" t="s">
        <v>376</v>
      </c>
      <c r="AI1" s="558"/>
      <c r="AJ1" s="558"/>
      <c r="AK1" s="558"/>
      <c r="AL1" s="558"/>
      <c r="AM1" s="558"/>
      <c r="AN1" s="558"/>
      <c r="AO1" s="558"/>
      <c r="AP1" s="558"/>
      <c r="AQ1" s="558"/>
      <c r="AR1" s="558"/>
      <c r="AS1" s="558"/>
      <c r="AT1" s="558"/>
      <c r="AV1" s="133" t="s">
        <v>268</v>
      </c>
      <c r="AW1" s="133" t="s">
        <v>269</v>
      </c>
      <c r="AX1" s="133" t="s">
        <v>377</v>
      </c>
      <c r="AY1" s="134" t="s">
        <v>378</v>
      </c>
      <c r="AZ1" s="57" t="s">
        <v>379</v>
      </c>
      <c r="BA1" s="57" t="s">
        <v>380</v>
      </c>
    </row>
    <row r="2" spans="1:53" s="65" customFormat="1" ht="18.75" x14ac:dyDescent="0.3">
      <c r="C2" s="97">
        <f ca="1">TODAY()</f>
        <v>44418</v>
      </c>
      <c r="D2" s="548">
        <v>41471</v>
      </c>
      <c r="E2" s="548"/>
      <c r="F2" s="548"/>
      <c r="G2" s="66"/>
      <c r="H2" s="66"/>
      <c r="I2" s="86"/>
      <c r="J2" s="66"/>
      <c r="K2" s="66"/>
      <c r="L2" s="66"/>
      <c r="M2" s="66"/>
      <c r="N2" s="66"/>
      <c r="O2" s="66"/>
      <c r="P2" s="116"/>
      <c r="Q2" s="72"/>
      <c r="R2" s="72"/>
      <c r="S2" s="72">
        <v>0</v>
      </c>
      <c r="T2" s="72">
        <v>0</v>
      </c>
      <c r="U2" s="72">
        <v>40</v>
      </c>
      <c r="V2" s="72">
        <v>0</v>
      </c>
      <c r="W2" s="72">
        <v>0</v>
      </c>
      <c r="X2" s="72">
        <v>17</v>
      </c>
      <c r="Y2" s="72">
        <v>0</v>
      </c>
      <c r="AJ2" s="131">
        <f>SUM(AJ4:AJ14)*$AY$3</f>
        <v>0</v>
      </c>
      <c r="AK2" s="131">
        <f>SUM(AK4:AK14)*$AY$3</f>
        <v>0</v>
      </c>
      <c r="AL2" s="131">
        <f>SUM(AL4:AL14)*$AY$2</f>
        <v>0</v>
      </c>
      <c r="AM2" s="131">
        <f>SUM(AM4:AM14)*$AY$4</f>
        <v>0</v>
      </c>
      <c r="AN2" s="131" t="e">
        <f>SUM(AN4:AN14)*$AY$5</f>
        <v>#REF!</v>
      </c>
      <c r="AO2" s="131">
        <f>SUM(AO4:AO14)*$AY$5</f>
        <v>0</v>
      </c>
      <c r="AP2" s="131" t="e">
        <f>SUM(AP4:AP14)*$AY$6</f>
        <v>#REF!</v>
      </c>
      <c r="AQ2" s="132" t="e">
        <f>SUM(AQ4:AQ14)</f>
        <v>#REF!</v>
      </c>
      <c r="AR2" s="132" t="e">
        <f>SUM(AR4:AR14)</f>
        <v>#REF!</v>
      </c>
      <c r="AS2" s="132">
        <f>SUM(AS4:AS14)</f>
        <v>6.453846153846154</v>
      </c>
      <c r="AT2" s="132">
        <f>SUM(AT4:AT14)</f>
        <v>0</v>
      </c>
      <c r="AV2" s="69" t="s">
        <v>270</v>
      </c>
      <c r="AW2" s="135">
        <v>1</v>
      </c>
      <c r="AX2" s="136">
        <v>0.624</v>
      </c>
      <c r="AY2" s="137">
        <v>0.24500000000000002</v>
      </c>
      <c r="AZ2" s="94">
        <f>AY2*10</f>
        <v>2.4500000000000002</v>
      </c>
      <c r="BA2" s="94">
        <f>AY2*15</f>
        <v>3.6750000000000003</v>
      </c>
    </row>
    <row r="3" spans="1:53" ht="18.75" x14ac:dyDescent="0.3">
      <c r="A3" s="79" t="s">
        <v>82</v>
      </c>
      <c r="B3" s="79" t="s">
        <v>83</v>
      </c>
      <c r="C3" s="81" t="s">
        <v>84</v>
      </c>
      <c r="D3" s="79" t="s">
        <v>85</v>
      </c>
      <c r="E3" s="79" t="s">
        <v>86</v>
      </c>
      <c r="F3" s="79" t="s">
        <v>87</v>
      </c>
      <c r="G3" s="79" t="s">
        <v>88</v>
      </c>
      <c r="H3" s="79" t="s">
        <v>89</v>
      </c>
      <c r="I3" s="79" t="s">
        <v>104</v>
      </c>
      <c r="J3" s="79" t="s">
        <v>105</v>
      </c>
      <c r="K3" s="79" t="s">
        <v>106</v>
      </c>
      <c r="L3" s="79" t="s">
        <v>107</v>
      </c>
      <c r="M3" s="79" t="s">
        <v>108</v>
      </c>
      <c r="N3" s="79" t="s">
        <v>109</v>
      </c>
      <c r="O3" s="79" t="s">
        <v>87</v>
      </c>
      <c r="P3" s="118" t="s">
        <v>85</v>
      </c>
      <c r="Q3" s="118" t="s">
        <v>86</v>
      </c>
      <c r="R3" s="117" t="s">
        <v>89</v>
      </c>
      <c r="S3" s="117" t="s">
        <v>104</v>
      </c>
      <c r="T3" s="117" t="s">
        <v>105</v>
      </c>
      <c r="U3" s="117" t="s">
        <v>106</v>
      </c>
      <c r="V3" s="117" t="s">
        <v>107</v>
      </c>
      <c r="W3" s="117" t="s">
        <v>108</v>
      </c>
      <c r="X3" s="117" t="s">
        <v>109</v>
      </c>
      <c r="Y3" s="117" t="s">
        <v>87</v>
      </c>
      <c r="Z3" s="117" t="s">
        <v>104</v>
      </c>
      <c r="AA3" s="117" t="s">
        <v>105</v>
      </c>
      <c r="AB3" s="117" t="s">
        <v>106</v>
      </c>
      <c r="AC3" s="117" t="s">
        <v>107</v>
      </c>
      <c r="AD3" s="117" t="s">
        <v>108</v>
      </c>
      <c r="AE3" s="117" t="s">
        <v>109</v>
      </c>
      <c r="AF3" s="117" t="s">
        <v>87</v>
      </c>
      <c r="AH3" s="559">
        <v>451</v>
      </c>
      <c r="AI3" s="560"/>
      <c r="AJ3" s="92" t="s">
        <v>381</v>
      </c>
      <c r="AK3" s="92" t="s">
        <v>382</v>
      </c>
      <c r="AL3" s="92" t="s">
        <v>383</v>
      </c>
      <c r="AM3" s="92" t="s">
        <v>384</v>
      </c>
      <c r="AN3" s="92" t="s">
        <v>385</v>
      </c>
      <c r="AO3" s="92" t="s">
        <v>386</v>
      </c>
      <c r="AP3" s="92" t="s">
        <v>387</v>
      </c>
      <c r="AQ3" s="92" t="s">
        <v>388</v>
      </c>
      <c r="AR3" s="92" t="s">
        <v>389</v>
      </c>
      <c r="AS3" s="92" t="s">
        <v>261</v>
      </c>
      <c r="AT3" s="92" t="s">
        <v>101</v>
      </c>
      <c r="AV3" s="69" t="s">
        <v>271</v>
      </c>
      <c r="AW3" s="135">
        <v>1</v>
      </c>
      <c r="AX3" s="136">
        <v>1.002</v>
      </c>
      <c r="AY3" s="137">
        <v>0.34000000000000008</v>
      </c>
      <c r="AZ3" s="94">
        <f>AY3*10</f>
        <v>3.4000000000000008</v>
      </c>
      <c r="BA3" s="94">
        <f>AY3*15</f>
        <v>5.1000000000000014</v>
      </c>
    </row>
    <row r="4" spans="1:53" s="65" customFormat="1" ht="18.75" x14ac:dyDescent="0.3">
      <c r="A4" s="4" t="str">
        <f>PLANTILLA!A4</f>
        <v>#69</v>
      </c>
      <c r="B4" s="4" t="str">
        <f>PLANTILLA!B4</f>
        <v>POR</v>
      </c>
      <c r="C4" s="75" t="str">
        <f>PLANTILLA!D4</f>
        <v>D. Gehmacher</v>
      </c>
      <c r="D4" s="54">
        <f>PLANTILLA!E4</f>
        <v>41</v>
      </c>
      <c r="E4" s="55">
        <f ca="1">PLANTILLA!F4</f>
        <v>108</v>
      </c>
      <c r="F4" s="70"/>
      <c r="G4" s="239">
        <f>PLANTILLA!H4</f>
        <v>6</v>
      </c>
      <c r="H4" s="56">
        <f>PLANTILLA!I4</f>
        <v>26</v>
      </c>
      <c r="I4" s="140">
        <f>PLANTILLA!X4</f>
        <v>9.9499999999999993</v>
      </c>
      <c r="J4" s="140">
        <f>PLANTILLA!Y4</f>
        <v>3.95</v>
      </c>
      <c r="K4" s="140">
        <f>PLANTILLA!Z4</f>
        <v>0</v>
      </c>
      <c r="L4" s="140">
        <f>PLANTILLA!AA4</f>
        <v>0</v>
      </c>
      <c r="M4" s="140">
        <f>PLANTILLA!AB4</f>
        <v>0</v>
      </c>
      <c r="N4" s="140">
        <f>PLANTILLA!AC4</f>
        <v>0</v>
      </c>
      <c r="O4" s="140">
        <f>PLANTILLA!AD4</f>
        <v>14.95</v>
      </c>
      <c r="P4" s="69">
        <f t="shared" ref="P4:P5" si="0">D4</f>
        <v>41</v>
      </c>
      <c r="Q4" s="119">
        <f t="shared" ref="Q4:Q5" ca="1" si="1">E4+7</f>
        <v>115</v>
      </c>
      <c r="R4" s="77">
        <f t="shared" ref="R4:R5" si="2">H4+$R$2</f>
        <v>26</v>
      </c>
      <c r="S4" s="155">
        <f t="shared" ref="S4:S5" si="3">I4</f>
        <v>9.9499999999999993</v>
      </c>
      <c r="T4" s="155">
        <f t="shared" ref="T4:T5" si="4">J4</f>
        <v>3.95</v>
      </c>
      <c r="U4" s="155">
        <f t="shared" ref="U4:U5" si="5">K4</f>
        <v>0</v>
      </c>
      <c r="V4" s="155">
        <f t="shared" ref="V4:V5" si="6">L4</f>
        <v>0</v>
      </c>
      <c r="W4" s="155">
        <f t="shared" ref="W4:W5" si="7">M4</f>
        <v>0</v>
      </c>
      <c r="X4" s="155">
        <f t="shared" ref="X4:X5" si="8">N4</f>
        <v>0</v>
      </c>
      <c r="Y4" s="155">
        <f t="shared" ref="Y4:Y5" si="9">O4</f>
        <v>14.95</v>
      </c>
      <c r="Z4" s="124">
        <f t="shared" ref="Z4:Z5" si="10">S4-I4</f>
        <v>0</v>
      </c>
      <c r="AA4" s="124">
        <f t="shared" ref="AA4:AA5" si="11">T4-J4</f>
        <v>0</v>
      </c>
      <c r="AB4" s="124">
        <f t="shared" ref="AB4:AB5" si="12">U4-K4</f>
        <v>0</v>
      </c>
      <c r="AC4" s="124">
        <f t="shared" ref="AC4:AC5" si="13">V4-L4</f>
        <v>0</v>
      </c>
      <c r="AD4" s="124">
        <f t="shared" ref="AD4:AD5" si="14">W4-M4</f>
        <v>0</v>
      </c>
      <c r="AE4" s="124">
        <f t="shared" ref="AE4:AE5" si="15">X4-N4</f>
        <v>0</v>
      </c>
      <c r="AF4" s="124">
        <f t="shared" ref="AF4:AF5" si="16">Y4-O4</f>
        <v>0</v>
      </c>
      <c r="AH4" s="125" t="s">
        <v>14</v>
      </c>
      <c r="AI4" s="84"/>
      <c r="AJ4" s="127">
        <v>0</v>
      </c>
      <c r="AK4" s="127">
        <v>0</v>
      </c>
      <c r="AL4" s="127">
        <v>0</v>
      </c>
      <c r="AM4" s="127">
        <v>0</v>
      </c>
      <c r="AN4" s="127">
        <v>0</v>
      </c>
      <c r="AO4" s="127">
        <v>0</v>
      </c>
      <c r="AP4" s="127">
        <v>0</v>
      </c>
      <c r="AQ4" s="177">
        <v>0</v>
      </c>
      <c r="AR4" s="177">
        <f>0.08*Z4+0.1*AF4</f>
        <v>0</v>
      </c>
      <c r="AS4" s="129">
        <v>0</v>
      </c>
      <c r="AT4" s="129">
        <v>0</v>
      </c>
      <c r="AV4" s="69" t="s">
        <v>272</v>
      </c>
      <c r="AW4" s="135">
        <v>1</v>
      </c>
      <c r="AX4" s="136">
        <v>0.46800000000000008</v>
      </c>
      <c r="AY4" s="137">
        <v>0.125</v>
      </c>
      <c r="AZ4" s="94">
        <f>AY4*10</f>
        <v>1.25</v>
      </c>
      <c r="BA4" s="94">
        <f>AY4*15</f>
        <v>1.875</v>
      </c>
    </row>
    <row r="5" spans="1:53" s="65" customFormat="1" ht="18.75" x14ac:dyDescent="0.3">
      <c r="A5" s="4" t="str">
        <f>PLANTILLA!A5</f>
        <v>#1</v>
      </c>
      <c r="B5" s="4" t="str">
        <f>PLANTILLA!B5</f>
        <v>POR</v>
      </c>
      <c r="C5" s="75" t="str">
        <f>PLANTILLA!D5</f>
        <v>L. Guangwei</v>
      </c>
      <c r="D5" s="54">
        <f>PLANTILLA!E5</f>
        <v>26</v>
      </c>
      <c r="E5" s="55">
        <f ca="1">PLANTILLA!F5</f>
        <v>35</v>
      </c>
      <c r="F5" s="70" t="str">
        <f>PLANTILLA!G5</f>
        <v>IMP</v>
      </c>
      <c r="G5" s="239">
        <f>PLANTILLA!H5</f>
        <v>0</v>
      </c>
      <c r="H5" s="56">
        <f>PLANTILLA!I5</f>
        <v>6.5</v>
      </c>
      <c r="I5" s="140">
        <f>PLANTILLA!X5</f>
        <v>15</v>
      </c>
      <c r="J5" s="140">
        <f>PLANTILLA!Y5</f>
        <v>6.6</v>
      </c>
      <c r="K5" s="140">
        <f>PLANTILLA!Z5</f>
        <v>3</v>
      </c>
      <c r="L5" s="140">
        <f>PLANTILLA!AA5</f>
        <v>1</v>
      </c>
      <c r="M5" s="140">
        <f>PLANTILLA!AB5</f>
        <v>5</v>
      </c>
      <c r="N5" s="140">
        <f>PLANTILLA!AC5</f>
        <v>5</v>
      </c>
      <c r="O5" s="140">
        <f>PLANTILLA!AD5</f>
        <v>21.5</v>
      </c>
      <c r="P5" s="69">
        <f t="shared" si="0"/>
        <v>26</v>
      </c>
      <c r="Q5" s="119">
        <f t="shared" ca="1" si="1"/>
        <v>42</v>
      </c>
      <c r="R5" s="77">
        <f t="shared" si="2"/>
        <v>6.5</v>
      </c>
      <c r="S5" s="155">
        <f t="shared" si="3"/>
        <v>15</v>
      </c>
      <c r="T5" s="155">
        <f t="shared" si="4"/>
        <v>6.6</v>
      </c>
      <c r="U5" s="155">
        <f t="shared" si="5"/>
        <v>3</v>
      </c>
      <c r="V5" s="155">
        <f t="shared" si="6"/>
        <v>1</v>
      </c>
      <c r="W5" s="155">
        <f t="shared" si="7"/>
        <v>5</v>
      </c>
      <c r="X5" s="155">
        <f t="shared" si="8"/>
        <v>5</v>
      </c>
      <c r="Y5" s="155">
        <f t="shared" si="9"/>
        <v>21.5</v>
      </c>
      <c r="Z5" s="124">
        <f t="shared" si="10"/>
        <v>0</v>
      </c>
      <c r="AA5" s="124">
        <f t="shared" si="11"/>
        <v>0</v>
      </c>
      <c r="AB5" s="124">
        <f t="shared" si="12"/>
        <v>0</v>
      </c>
      <c r="AC5" s="124">
        <f t="shared" si="13"/>
        <v>0</v>
      </c>
      <c r="AD5" s="124">
        <f t="shared" si="14"/>
        <v>0</v>
      </c>
      <c r="AE5" s="124">
        <f t="shared" si="15"/>
        <v>0</v>
      </c>
      <c r="AF5" s="124">
        <f t="shared" si="16"/>
        <v>0</v>
      </c>
      <c r="AH5" s="125" t="s">
        <v>169</v>
      </c>
      <c r="AI5" s="84"/>
      <c r="AJ5" s="127">
        <v>0</v>
      </c>
      <c r="AK5" s="127">
        <v>0</v>
      </c>
      <c r="AL5" s="127">
        <v>0</v>
      </c>
      <c r="AM5" s="127">
        <v>0</v>
      </c>
      <c r="AN5" s="127">
        <f>AC19*0.588</f>
        <v>0</v>
      </c>
      <c r="AO5" s="127">
        <v>0</v>
      </c>
      <c r="AP5" s="127">
        <v>0</v>
      </c>
      <c r="AQ5" s="129">
        <f>(0.5*AE19+0.3*AF19)/10</f>
        <v>0</v>
      </c>
      <c r="AR5" s="129">
        <f>(0.4*AA19+0.3*AF19)/10</f>
        <v>0</v>
      </c>
      <c r="AS5" s="129">
        <f>((T19+1)+(W19+1)*2)/8</f>
        <v>1.675</v>
      </c>
      <c r="AT5" s="129">
        <f>((AA19)+(AD19)*2)/8</f>
        <v>0</v>
      </c>
      <c r="AV5" s="69" t="s">
        <v>273</v>
      </c>
      <c r="AW5" s="135">
        <v>1</v>
      </c>
      <c r="AX5" s="136">
        <v>0.877</v>
      </c>
      <c r="AY5" s="137">
        <v>0.25</v>
      </c>
      <c r="AZ5" s="94">
        <f>AY5*10</f>
        <v>2.5</v>
      </c>
      <c r="BA5" s="94">
        <f>AY5*15</f>
        <v>3.75</v>
      </c>
    </row>
    <row r="6" spans="1:53" ht="18.75" x14ac:dyDescent="0.3">
      <c r="A6" s="4" t="str">
        <f>PLANTILLA!A6</f>
        <v>#22</v>
      </c>
      <c r="B6" s="4" t="str">
        <f>PLANTILLA!B6</f>
        <v>LAT</v>
      </c>
      <c r="C6" s="75" t="str">
        <f>PLANTILLA!D6</f>
        <v>V. Gardner</v>
      </c>
      <c r="D6" s="54">
        <f>PLANTILLA!E6</f>
        <v>25</v>
      </c>
      <c r="E6" s="55">
        <f ca="1">PLANTILLA!F6</f>
        <v>76</v>
      </c>
      <c r="F6" s="70"/>
      <c r="G6" s="239">
        <f>PLANTILLA!H6</f>
        <v>3</v>
      </c>
      <c r="H6" s="56">
        <f>PLANTILLA!I6</f>
        <v>6</v>
      </c>
      <c r="I6" s="140">
        <f>PLANTILLA!X6</f>
        <v>0</v>
      </c>
      <c r="J6" s="140">
        <f>PLANTILLA!Y6</f>
        <v>13.583333333333334</v>
      </c>
      <c r="K6" s="140">
        <f>PLANTILLA!Z6</f>
        <v>7.8</v>
      </c>
      <c r="L6" s="140">
        <f>PLANTILLA!AA6</f>
        <v>3</v>
      </c>
      <c r="M6" s="140">
        <f>PLANTILLA!AB6</f>
        <v>5</v>
      </c>
      <c r="N6" s="140">
        <f>PLANTILLA!AC6</f>
        <v>7.166666666666667</v>
      </c>
      <c r="O6" s="140">
        <f>PLANTILLA!AD6</f>
        <v>18.75</v>
      </c>
      <c r="P6" s="69">
        <f t="shared" ref="P6:P27" si="17">D6</f>
        <v>25</v>
      </c>
      <c r="Q6" s="119">
        <f t="shared" ref="Q6:Q27" ca="1" si="18">E6+7</f>
        <v>83</v>
      </c>
      <c r="R6" s="77">
        <f t="shared" ref="R6:R27" si="19">H6+$R$2</f>
        <v>6</v>
      </c>
      <c r="S6" s="155">
        <f t="shared" ref="S6:S27" si="20">I6</f>
        <v>0</v>
      </c>
      <c r="T6" s="155">
        <f t="shared" ref="T6:T27" si="21">J6</f>
        <v>13.583333333333334</v>
      </c>
      <c r="U6" s="155">
        <f t="shared" ref="U6:U27" si="22">K6</f>
        <v>7.8</v>
      </c>
      <c r="V6" s="155">
        <f t="shared" ref="V6:V27" si="23">L6</f>
        <v>3</v>
      </c>
      <c r="W6" s="155">
        <f t="shared" ref="W6:W27" si="24">M6</f>
        <v>5</v>
      </c>
      <c r="X6" s="155">
        <f t="shared" ref="X6:X27" si="25">N6</f>
        <v>7.166666666666667</v>
      </c>
      <c r="Y6" s="155">
        <f t="shared" ref="Y6:Y27" si="26">O6</f>
        <v>18.75</v>
      </c>
      <c r="Z6" s="124">
        <f t="shared" ref="Z6:Z27" si="27">S6-I6</f>
        <v>0</v>
      </c>
      <c r="AA6" s="124">
        <f t="shared" ref="AA6:AA27" si="28">T6-J6</f>
        <v>0</v>
      </c>
      <c r="AB6" s="124">
        <f t="shared" ref="AB6:AB27" si="29">U6-K6</f>
        <v>0</v>
      </c>
      <c r="AC6" s="124">
        <f t="shared" ref="AC6:AC27" si="30">V6-L6</f>
        <v>0</v>
      </c>
      <c r="AD6" s="124">
        <f t="shared" ref="AD6:AD27" si="31">W6-M6</f>
        <v>0</v>
      </c>
      <c r="AE6" s="124">
        <f t="shared" ref="AE6:AE27" si="32">X6-N6</f>
        <v>0</v>
      </c>
      <c r="AF6" s="124">
        <f t="shared" ref="AF6:AF27" si="33">Y6-O6</f>
        <v>0</v>
      </c>
      <c r="AH6" s="126" t="s">
        <v>390</v>
      </c>
      <c r="AI6" s="84"/>
      <c r="AJ6" s="127">
        <v>0</v>
      </c>
      <c r="AK6" s="127">
        <v>0</v>
      </c>
      <c r="AL6" s="127">
        <v>0</v>
      </c>
      <c r="AM6" s="128">
        <v>0</v>
      </c>
      <c r="AN6" s="128">
        <v>0</v>
      </c>
      <c r="AO6" s="128">
        <v>0</v>
      </c>
      <c r="AP6" s="128">
        <v>0</v>
      </c>
      <c r="AQ6" s="130">
        <f>(0.5*AE15+0.3*AF15)/10</f>
        <v>0</v>
      </c>
      <c r="AR6" s="130">
        <f>(0.4*AA15+0.3*AF15)/10</f>
        <v>0</v>
      </c>
      <c r="AS6" s="129">
        <f>((T15+1)+(W15+1)*2)/8</f>
        <v>2</v>
      </c>
      <c r="AT6" s="129">
        <f>((AA15)+(AD15)*2)/8</f>
        <v>0</v>
      </c>
      <c r="AV6" s="69" t="s">
        <v>274</v>
      </c>
      <c r="AW6" s="135">
        <v>1</v>
      </c>
      <c r="AX6" s="136">
        <v>0.59299999999999997</v>
      </c>
      <c r="AY6" s="137">
        <v>0.19</v>
      </c>
      <c r="AZ6" s="94">
        <f>AY6*10</f>
        <v>1.9</v>
      </c>
      <c r="BA6" s="94">
        <f>AY6*15</f>
        <v>2.85</v>
      </c>
    </row>
    <row r="7" spans="1:53" x14ac:dyDescent="0.25">
      <c r="A7" s="4" t="str">
        <f>PLANTILLA!A7</f>
        <v>#3</v>
      </c>
      <c r="B7" s="4" t="str">
        <f>PLANTILLA!B7</f>
        <v>LAT</v>
      </c>
      <c r="C7" s="75" t="str">
        <f>PLANTILLA!D7</f>
        <v>S. Embe</v>
      </c>
      <c r="D7" s="54">
        <f>PLANTILLA!E7</f>
        <v>26</v>
      </c>
      <c r="E7" s="55">
        <f ca="1">PLANTILLA!F7</f>
        <v>20</v>
      </c>
      <c r="F7" s="70">
        <f>PLANTILLA!G7</f>
        <v>0</v>
      </c>
      <c r="G7" s="239">
        <f>PLANTILLA!H7</f>
        <v>3</v>
      </c>
      <c r="H7" s="56">
        <f>PLANTILLA!I7</f>
        <v>5</v>
      </c>
      <c r="I7" s="140">
        <f>PLANTILLA!X7</f>
        <v>0</v>
      </c>
      <c r="J7" s="140">
        <f>PLANTILLA!Y7</f>
        <v>12.416666666666666</v>
      </c>
      <c r="K7" s="140">
        <f>PLANTILLA!Z7</f>
        <v>6.2</v>
      </c>
      <c r="L7" s="140">
        <f>PLANTILLA!AA7</f>
        <v>1</v>
      </c>
      <c r="M7" s="140">
        <f>PLANTILLA!AB7</f>
        <v>5</v>
      </c>
      <c r="N7" s="140">
        <f>PLANTILLA!AC7</f>
        <v>7</v>
      </c>
      <c r="O7" s="140">
        <f>PLANTILLA!AD7</f>
        <v>19.8</v>
      </c>
      <c r="P7" s="69">
        <f t="shared" si="17"/>
        <v>26</v>
      </c>
      <c r="Q7" s="119">
        <f t="shared" ca="1" si="18"/>
        <v>27</v>
      </c>
      <c r="R7" s="77">
        <f t="shared" si="19"/>
        <v>5</v>
      </c>
      <c r="S7" s="155">
        <f t="shared" si="20"/>
        <v>0</v>
      </c>
      <c r="T7" s="155">
        <f t="shared" si="21"/>
        <v>12.416666666666666</v>
      </c>
      <c r="U7" s="155">
        <f t="shared" si="22"/>
        <v>6.2</v>
      </c>
      <c r="V7" s="155">
        <f t="shared" si="23"/>
        <v>1</v>
      </c>
      <c r="W7" s="155">
        <f t="shared" si="24"/>
        <v>5</v>
      </c>
      <c r="X7" s="155">
        <f t="shared" si="25"/>
        <v>7</v>
      </c>
      <c r="Y7" s="155">
        <f t="shared" si="26"/>
        <v>19.8</v>
      </c>
      <c r="Z7" s="124">
        <f t="shared" si="27"/>
        <v>0</v>
      </c>
      <c r="AA7" s="124">
        <f t="shared" si="28"/>
        <v>0</v>
      </c>
      <c r="AB7" s="124">
        <f t="shared" si="29"/>
        <v>0</v>
      </c>
      <c r="AC7" s="124">
        <f t="shared" si="30"/>
        <v>0</v>
      </c>
      <c r="AD7" s="124">
        <f t="shared" si="31"/>
        <v>0</v>
      </c>
      <c r="AE7" s="124">
        <f t="shared" si="32"/>
        <v>0</v>
      </c>
      <c r="AF7" s="124">
        <f t="shared" si="33"/>
        <v>0</v>
      </c>
      <c r="AH7" s="126" t="s">
        <v>390</v>
      </c>
      <c r="AI7" s="84"/>
      <c r="AJ7" s="127">
        <v>0</v>
      </c>
      <c r="AK7" s="127">
        <v>0</v>
      </c>
      <c r="AL7" s="127">
        <v>0</v>
      </c>
      <c r="AM7" s="128">
        <v>0</v>
      </c>
      <c r="AN7" s="128">
        <v>0</v>
      </c>
      <c r="AO7" s="128">
        <f>AC8*0.588</f>
        <v>0</v>
      </c>
      <c r="AP7" s="128">
        <v>0</v>
      </c>
      <c r="AQ7" s="130">
        <f>(0.5*AE8+0.3*AF8)/10</f>
        <v>0</v>
      </c>
      <c r="AR7" s="130">
        <f>(0.4*AA8+0.3*AF8)/10</f>
        <v>0</v>
      </c>
      <c r="AS7" s="129">
        <f>((T8+1)+(W8+1)*2)/8</f>
        <v>2.7788461538461537</v>
      </c>
      <c r="AT7" s="129">
        <f>((AA8)+(AD8)*2)/8</f>
        <v>0</v>
      </c>
    </row>
    <row r="8" spans="1:53" s="1" customFormat="1" x14ac:dyDescent="0.25">
      <c r="A8" s="4" t="str">
        <f>PLANTILLA!A8</f>
        <v>#2</v>
      </c>
      <c r="B8" s="4" t="str">
        <f>PLANTILLA!B8</f>
        <v>DEF</v>
      </c>
      <c r="C8" s="75" t="str">
        <f>PLANTILLA!D8</f>
        <v>S. Swärdborn</v>
      </c>
      <c r="D8" s="54">
        <f>PLANTILLA!E8</f>
        <v>25</v>
      </c>
      <c r="E8" s="55">
        <f ca="1">PLANTILLA!F8</f>
        <v>64</v>
      </c>
      <c r="F8" s="70"/>
      <c r="G8" s="239">
        <f>PLANTILLA!H8</f>
        <v>2</v>
      </c>
      <c r="H8" s="56">
        <f>PLANTILLA!I8</f>
        <v>6.5</v>
      </c>
      <c r="I8" s="140">
        <f>PLANTILLA!X8</f>
        <v>0</v>
      </c>
      <c r="J8" s="140">
        <f>PLANTILLA!Y8</f>
        <v>13.23076923076923</v>
      </c>
      <c r="K8" s="140">
        <f>PLANTILLA!Z8</f>
        <v>9.3333333333333339</v>
      </c>
      <c r="L8" s="140">
        <f>PLANTILLA!AA8</f>
        <v>1</v>
      </c>
      <c r="M8" s="140">
        <f>PLANTILLA!AB8</f>
        <v>3</v>
      </c>
      <c r="N8" s="140">
        <f>PLANTILLA!AC8</f>
        <v>7.25</v>
      </c>
      <c r="O8" s="140">
        <f>PLANTILLA!AD8</f>
        <v>18.25</v>
      </c>
      <c r="P8" s="69">
        <f t="shared" si="17"/>
        <v>25</v>
      </c>
      <c r="Q8" s="119">
        <f t="shared" ca="1" si="18"/>
        <v>71</v>
      </c>
      <c r="R8" s="77">
        <f t="shared" si="19"/>
        <v>6.5</v>
      </c>
      <c r="S8" s="155">
        <f t="shared" si="20"/>
        <v>0</v>
      </c>
      <c r="T8" s="155">
        <f t="shared" si="21"/>
        <v>13.23076923076923</v>
      </c>
      <c r="U8" s="155">
        <f t="shared" si="22"/>
        <v>9.3333333333333339</v>
      </c>
      <c r="V8" s="155">
        <f t="shared" si="23"/>
        <v>1</v>
      </c>
      <c r="W8" s="155">
        <f t="shared" si="24"/>
        <v>3</v>
      </c>
      <c r="X8" s="155">
        <f t="shared" si="25"/>
        <v>7.25</v>
      </c>
      <c r="Y8" s="155">
        <f t="shared" si="26"/>
        <v>18.25</v>
      </c>
      <c r="Z8" s="124">
        <f t="shared" si="27"/>
        <v>0</v>
      </c>
      <c r="AA8" s="124">
        <f t="shared" si="28"/>
        <v>0</v>
      </c>
      <c r="AB8" s="124">
        <f t="shared" si="29"/>
        <v>0</v>
      </c>
      <c r="AC8" s="124">
        <f t="shared" si="30"/>
        <v>0</v>
      </c>
      <c r="AD8" s="124">
        <f t="shared" si="31"/>
        <v>0</v>
      </c>
      <c r="AE8" s="124">
        <f t="shared" si="32"/>
        <v>0</v>
      </c>
      <c r="AF8" s="124">
        <f t="shared" si="33"/>
        <v>0</v>
      </c>
      <c r="AH8" s="125" t="s">
        <v>169</v>
      </c>
      <c r="AI8" s="84"/>
      <c r="AJ8" s="127">
        <v>0</v>
      </c>
      <c r="AK8" s="127">
        <v>0</v>
      </c>
      <c r="AL8" s="127">
        <v>0</v>
      </c>
      <c r="AM8" s="127">
        <v>0</v>
      </c>
      <c r="AN8" s="127" t="e">
        <f>(#REF!*0.864)+(#REF!*0.244)</f>
        <v>#REF!</v>
      </c>
      <c r="AO8" s="127">
        <v>0</v>
      </c>
      <c r="AP8" s="127" t="e">
        <f>(#REF!*0.121)</f>
        <v>#REF!</v>
      </c>
      <c r="AQ8" s="130" t="e">
        <f>(0.5*#REF!+0.3*#REF!)/10</f>
        <v>#REF!</v>
      </c>
      <c r="AR8" s="130" t="e">
        <f>(0.4*#REF!+0.3*#REF!)/10</f>
        <v>#REF!</v>
      </c>
      <c r="AS8" s="129">
        <v>0</v>
      </c>
      <c r="AT8" s="129">
        <v>0</v>
      </c>
    </row>
    <row r="9" spans="1:53" x14ac:dyDescent="0.25">
      <c r="A9" s="4" t="str">
        <f>PLANTILLA!A9</f>
        <v>#19</v>
      </c>
      <c r="B9" s="4" t="str">
        <f>PLANTILLA!B9</f>
        <v>DEF</v>
      </c>
      <c r="C9" s="75" t="str">
        <f>PLANTILLA!D9</f>
        <v>A. Grimaud</v>
      </c>
      <c r="D9" s="54">
        <f>PLANTILLA!E9</f>
        <v>25</v>
      </c>
      <c r="E9" s="55">
        <f ca="1">PLANTILLA!F9</f>
        <v>87</v>
      </c>
      <c r="F9" s="70" t="str">
        <f>PLANTILLA!G9</f>
        <v>RAP</v>
      </c>
      <c r="G9" s="239">
        <f>PLANTILLA!H9</f>
        <v>2</v>
      </c>
      <c r="H9" s="56">
        <f>PLANTILLA!I9</f>
        <v>6.9</v>
      </c>
      <c r="I9" s="140">
        <f>PLANTILLA!X9</f>
        <v>0</v>
      </c>
      <c r="J9" s="140">
        <f>PLANTILLA!Y9</f>
        <v>13.23076923076923</v>
      </c>
      <c r="K9" s="140">
        <f>PLANTILLA!Z9</f>
        <v>9.5</v>
      </c>
      <c r="L9" s="140">
        <f>PLANTILLA!AA9</f>
        <v>3</v>
      </c>
      <c r="M9" s="140">
        <f>PLANTILLA!AB9</f>
        <v>3</v>
      </c>
      <c r="N9" s="140">
        <f>PLANTILLA!AC9</f>
        <v>6.125</v>
      </c>
      <c r="O9" s="140">
        <f>PLANTILLA!AD9</f>
        <v>17.75</v>
      </c>
      <c r="P9" s="69">
        <f t="shared" si="17"/>
        <v>25</v>
      </c>
      <c r="Q9" s="119">
        <f t="shared" ca="1" si="18"/>
        <v>94</v>
      </c>
      <c r="R9" s="77">
        <f t="shared" si="19"/>
        <v>6.9</v>
      </c>
      <c r="S9" s="155">
        <f t="shared" si="20"/>
        <v>0</v>
      </c>
      <c r="T9" s="155">
        <f t="shared" si="21"/>
        <v>13.23076923076923</v>
      </c>
      <c r="U9" s="155">
        <f t="shared" si="22"/>
        <v>9.5</v>
      </c>
      <c r="V9" s="155">
        <f t="shared" si="23"/>
        <v>3</v>
      </c>
      <c r="W9" s="155">
        <f t="shared" si="24"/>
        <v>3</v>
      </c>
      <c r="X9" s="155">
        <f t="shared" si="25"/>
        <v>6.125</v>
      </c>
      <c r="Y9" s="155">
        <f t="shared" si="26"/>
        <v>17.75</v>
      </c>
      <c r="Z9" s="124">
        <f t="shared" si="27"/>
        <v>0</v>
      </c>
      <c r="AA9" s="124">
        <f t="shared" si="28"/>
        <v>0</v>
      </c>
      <c r="AB9" s="124">
        <f t="shared" si="29"/>
        <v>0</v>
      </c>
      <c r="AC9" s="124">
        <f t="shared" si="30"/>
        <v>0</v>
      </c>
      <c r="AD9" s="124">
        <f t="shared" si="31"/>
        <v>0</v>
      </c>
      <c r="AE9" s="124">
        <f t="shared" si="32"/>
        <v>0</v>
      </c>
      <c r="AF9" s="124">
        <f t="shared" si="33"/>
        <v>0</v>
      </c>
      <c r="AH9" s="126" t="s">
        <v>122</v>
      </c>
      <c r="AI9" s="4" t="str">
        <f>C15</f>
        <v>S. Gencel</v>
      </c>
      <c r="AJ9" s="128">
        <f>AA15*0.189</f>
        <v>0</v>
      </c>
      <c r="AK9" s="128">
        <v>0</v>
      </c>
      <c r="AL9" s="128">
        <f>AA15*0.4</f>
        <v>0</v>
      </c>
      <c r="AM9" s="128">
        <f>AB15*1</f>
        <v>0</v>
      </c>
      <c r="AN9" s="128">
        <f>(AC13*0.574)+(AD13*0.315)</f>
        <v>0</v>
      </c>
      <c r="AO9" s="128">
        <v>0</v>
      </c>
      <c r="AP9" s="128">
        <f>AD13*0.241</f>
        <v>0</v>
      </c>
      <c r="AQ9" s="130">
        <f>(0.5*AE13+0.3*AF13)/10</f>
        <v>0</v>
      </c>
      <c r="AR9" s="130">
        <f>(0.4*AA13+0.3*AF13)/10</f>
        <v>0</v>
      </c>
      <c r="AS9" s="130">
        <v>0</v>
      </c>
      <c r="AT9" s="130">
        <v>0</v>
      </c>
    </row>
    <row r="10" spans="1:53" s="3" customFormat="1" x14ac:dyDescent="0.25">
      <c r="A10" s="4" t="str">
        <f>PLANTILLA!A10</f>
        <v>#4</v>
      </c>
      <c r="B10" s="4" t="str">
        <f>PLANTILLA!B10</f>
        <v>DEF</v>
      </c>
      <c r="C10" s="75" t="str">
        <f>PLANTILLA!D10</f>
        <v>E. Deus</v>
      </c>
      <c r="D10" s="54">
        <f>PLANTILLA!E10</f>
        <v>25</v>
      </c>
      <c r="E10" s="55">
        <f ca="1">PLANTILLA!F10</f>
        <v>3</v>
      </c>
      <c r="F10" s="70"/>
      <c r="G10" s="239">
        <f>PLANTILLA!H10</f>
        <v>3</v>
      </c>
      <c r="H10" s="56">
        <f>PLANTILLA!I10</f>
        <v>5.6</v>
      </c>
      <c r="I10" s="140">
        <f>PLANTILLA!X10</f>
        <v>0</v>
      </c>
      <c r="J10" s="140">
        <f>PLANTILLA!Y10</f>
        <v>12.333333333333334</v>
      </c>
      <c r="K10" s="140">
        <f>PLANTILLA!Z10</f>
        <v>8.8000000000000007</v>
      </c>
      <c r="L10" s="140">
        <f>PLANTILLA!AA10</f>
        <v>1</v>
      </c>
      <c r="M10" s="140">
        <f>PLANTILLA!AB10</f>
        <v>6</v>
      </c>
      <c r="N10" s="140">
        <f>PLANTILLA!AC10</f>
        <v>6</v>
      </c>
      <c r="O10" s="140">
        <f>PLANTILLA!AD10</f>
        <v>18.5</v>
      </c>
      <c r="P10" s="69">
        <f t="shared" si="17"/>
        <v>25</v>
      </c>
      <c r="Q10" s="119">
        <f t="shared" ca="1" si="18"/>
        <v>10</v>
      </c>
      <c r="R10" s="77">
        <f t="shared" si="19"/>
        <v>5.6</v>
      </c>
      <c r="S10" s="155">
        <f t="shared" si="20"/>
        <v>0</v>
      </c>
      <c r="T10" s="155">
        <f t="shared" si="21"/>
        <v>12.333333333333334</v>
      </c>
      <c r="U10" s="155">
        <f t="shared" si="22"/>
        <v>8.8000000000000007</v>
      </c>
      <c r="V10" s="155">
        <f t="shared" si="23"/>
        <v>1</v>
      </c>
      <c r="W10" s="155">
        <f t="shared" si="24"/>
        <v>6</v>
      </c>
      <c r="X10" s="155">
        <f t="shared" si="25"/>
        <v>6</v>
      </c>
      <c r="Y10" s="155">
        <f t="shared" si="26"/>
        <v>18.5</v>
      </c>
      <c r="Z10" s="124">
        <f t="shared" si="27"/>
        <v>0</v>
      </c>
      <c r="AA10" s="124">
        <f t="shared" si="28"/>
        <v>0</v>
      </c>
      <c r="AB10" s="124">
        <f t="shared" si="29"/>
        <v>0</v>
      </c>
      <c r="AC10" s="124">
        <f t="shared" si="30"/>
        <v>0</v>
      </c>
      <c r="AD10" s="124">
        <f t="shared" si="31"/>
        <v>0</v>
      </c>
      <c r="AE10" s="124">
        <f t="shared" si="32"/>
        <v>0</v>
      </c>
      <c r="AF10" s="124">
        <f t="shared" si="33"/>
        <v>0</v>
      </c>
      <c r="AH10" s="126" t="s">
        <v>391</v>
      </c>
      <c r="AI10" s="4" t="str">
        <f>C18</f>
        <v>I. Stone</v>
      </c>
      <c r="AJ10" s="128">
        <f>AA18*((0.27+0.135)/2)</f>
        <v>0</v>
      </c>
      <c r="AK10" s="128">
        <f>AJ10</f>
        <v>0</v>
      </c>
      <c r="AL10" s="128">
        <f>AA18*0.594</f>
        <v>0</v>
      </c>
      <c r="AM10" s="128">
        <f>AB18*0.944</f>
        <v>0</v>
      </c>
      <c r="AN10" s="128">
        <f>AD16*0.188</f>
        <v>0</v>
      </c>
      <c r="AO10" s="128">
        <f>AN10</f>
        <v>0</v>
      </c>
      <c r="AP10" s="128">
        <f>AD16*0.507+AE16*0.31</f>
        <v>0</v>
      </c>
      <c r="AQ10" s="130">
        <f>(0.5*AE16+0.3*AF16)/10</f>
        <v>0</v>
      </c>
      <c r="AR10" s="130">
        <f>(0.4*AA16+0.3*AF16)/10</f>
        <v>0</v>
      </c>
      <c r="AS10" s="130">
        <v>0</v>
      </c>
      <c r="AT10" s="130">
        <v>0</v>
      </c>
    </row>
    <row r="11" spans="1:53" x14ac:dyDescent="0.25">
      <c r="A11" s="4" t="str">
        <f>PLANTILLA!A11</f>
        <v>#17</v>
      </c>
      <c r="B11" s="4" t="str">
        <f>PLANTILLA!B11</f>
        <v>MED</v>
      </c>
      <c r="C11" s="75" t="str">
        <f>PLANTILLA!D11</f>
        <v>M.A. Balbinot</v>
      </c>
      <c r="D11" s="54">
        <f>PLANTILLA!E11</f>
        <v>29</v>
      </c>
      <c r="E11" s="55">
        <f ca="1">PLANTILLA!F11</f>
        <v>53</v>
      </c>
      <c r="F11" s="70" t="str">
        <f>PLANTILLA!G11</f>
        <v>RAP</v>
      </c>
      <c r="G11" s="239">
        <f>PLANTILLA!H11</f>
        <v>4</v>
      </c>
      <c r="H11" s="56">
        <f>PLANTILLA!I11</f>
        <v>8.9</v>
      </c>
      <c r="I11" s="140">
        <f>PLANTILLA!X11</f>
        <v>0</v>
      </c>
      <c r="J11" s="140">
        <f>PLANTILLA!Y11</f>
        <v>8</v>
      </c>
      <c r="K11" s="140">
        <f>PLANTILLA!Z11</f>
        <v>14</v>
      </c>
      <c r="L11" s="140">
        <f>PLANTILLA!AA11</f>
        <v>7</v>
      </c>
      <c r="M11" s="140">
        <f>PLANTILLA!AB11</f>
        <v>8</v>
      </c>
      <c r="N11" s="140">
        <f>PLANTILLA!AC11</f>
        <v>9.0625</v>
      </c>
      <c r="O11" s="140">
        <f>PLANTILLA!AD11</f>
        <v>15.5</v>
      </c>
      <c r="P11" s="69">
        <f t="shared" si="17"/>
        <v>29</v>
      </c>
      <c r="Q11" s="119">
        <f t="shared" ca="1" si="18"/>
        <v>60</v>
      </c>
      <c r="R11" s="77">
        <f t="shared" si="19"/>
        <v>8.9</v>
      </c>
      <c r="S11" s="155">
        <f t="shared" si="20"/>
        <v>0</v>
      </c>
      <c r="T11" s="155">
        <f t="shared" si="21"/>
        <v>8</v>
      </c>
      <c r="U11" s="155">
        <f t="shared" si="22"/>
        <v>14</v>
      </c>
      <c r="V11" s="155">
        <f t="shared" si="23"/>
        <v>7</v>
      </c>
      <c r="W11" s="155">
        <f t="shared" si="24"/>
        <v>8</v>
      </c>
      <c r="X11" s="155">
        <f t="shared" si="25"/>
        <v>9.0625</v>
      </c>
      <c r="Y11" s="155">
        <f t="shared" si="26"/>
        <v>15.5</v>
      </c>
      <c r="Z11" s="124">
        <f t="shared" si="27"/>
        <v>0</v>
      </c>
      <c r="AA11" s="124">
        <f t="shared" si="28"/>
        <v>0</v>
      </c>
      <c r="AB11" s="124">
        <f t="shared" si="29"/>
        <v>0</v>
      </c>
      <c r="AC11" s="124">
        <f t="shared" si="30"/>
        <v>0</v>
      </c>
      <c r="AD11" s="124">
        <f t="shared" si="31"/>
        <v>0</v>
      </c>
      <c r="AE11" s="124">
        <f t="shared" si="32"/>
        <v>0</v>
      </c>
      <c r="AF11" s="124">
        <f t="shared" si="33"/>
        <v>0</v>
      </c>
      <c r="AH11" s="126" t="s">
        <v>122</v>
      </c>
      <c r="AI11" s="4" t="str">
        <f>C13</f>
        <v>R. Forsyth</v>
      </c>
      <c r="AJ11" s="128">
        <v>0</v>
      </c>
      <c r="AK11" s="128">
        <f>AA13*0.189</f>
        <v>0</v>
      </c>
      <c r="AL11" s="128">
        <f>AA13*0.4</f>
        <v>0</v>
      </c>
      <c r="AM11" s="128">
        <f>AB13*1</f>
        <v>0</v>
      </c>
      <c r="AN11" s="128">
        <v>0</v>
      </c>
      <c r="AO11" s="128">
        <f>(AC14*0.574)+(AD14*0.314)</f>
        <v>0</v>
      </c>
      <c r="AP11" s="128">
        <f>AD14*0.241</f>
        <v>0</v>
      </c>
      <c r="AQ11" s="130">
        <f>(0.5*AE14+0.3*AF14)/10</f>
        <v>0</v>
      </c>
      <c r="AR11" s="130">
        <f>(0.4*AA14+0.3*AF14)/10</f>
        <v>0</v>
      </c>
      <c r="AS11" s="130">
        <v>0</v>
      </c>
      <c r="AT11" s="130">
        <v>0</v>
      </c>
    </row>
    <row r="12" spans="1:53" x14ac:dyDescent="0.25">
      <c r="A12" s="4" t="str">
        <f>PLANTILLA!A12</f>
        <v>#12</v>
      </c>
      <c r="B12" s="4" t="str">
        <f>PLANTILLA!B12</f>
        <v>MED</v>
      </c>
      <c r="C12" s="75" t="str">
        <f>PLANTILLA!D12</f>
        <v>P. Tuderek</v>
      </c>
      <c r="D12" s="54">
        <f>PLANTILLA!E12</f>
        <v>25</v>
      </c>
      <c r="E12" s="55">
        <f ca="1">PLANTILLA!F12</f>
        <v>65</v>
      </c>
      <c r="F12" s="70"/>
      <c r="G12" s="239">
        <f>PLANTILLA!H12</f>
        <v>4</v>
      </c>
      <c r="H12" s="56">
        <f>PLANTILLA!I12</f>
        <v>5.2</v>
      </c>
      <c r="I12" s="140">
        <f>PLANTILLA!X12</f>
        <v>0</v>
      </c>
      <c r="J12" s="140">
        <f>PLANTILLA!Y12</f>
        <v>8.8333333333333339</v>
      </c>
      <c r="K12" s="140">
        <f>PLANTILLA!Z12</f>
        <v>13.909090909090908</v>
      </c>
      <c r="L12" s="140">
        <f>PLANTILLA!AA12</f>
        <v>2</v>
      </c>
      <c r="M12" s="140">
        <f>PLANTILLA!AB12</f>
        <v>3</v>
      </c>
      <c r="N12" s="140">
        <f>PLANTILLA!AC12</f>
        <v>7.416666666666667</v>
      </c>
      <c r="O12" s="140">
        <f>PLANTILLA!AD12</f>
        <v>19.600000000000001</v>
      </c>
      <c r="P12" s="69">
        <f t="shared" si="17"/>
        <v>25</v>
      </c>
      <c r="Q12" s="119">
        <f t="shared" ca="1" si="18"/>
        <v>72</v>
      </c>
      <c r="R12" s="77">
        <f t="shared" si="19"/>
        <v>5.2</v>
      </c>
      <c r="S12" s="155">
        <f t="shared" si="20"/>
        <v>0</v>
      </c>
      <c r="T12" s="155">
        <f t="shared" si="21"/>
        <v>8.8333333333333339</v>
      </c>
      <c r="U12" s="155">
        <f t="shared" si="22"/>
        <v>13.909090909090908</v>
      </c>
      <c r="V12" s="155">
        <f t="shared" si="23"/>
        <v>2</v>
      </c>
      <c r="W12" s="155">
        <f t="shared" si="24"/>
        <v>3</v>
      </c>
      <c r="X12" s="155">
        <f t="shared" si="25"/>
        <v>7.416666666666667</v>
      </c>
      <c r="Y12" s="155">
        <f t="shared" si="26"/>
        <v>19.600000000000001</v>
      </c>
      <c r="Z12" s="124">
        <f t="shared" si="27"/>
        <v>0</v>
      </c>
      <c r="AA12" s="124">
        <f t="shared" si="28"/>
        <v>0</v>
      </c>
      <c r="AB12" s="124">
        <f t="shared" si="29"/>
        <v>0</v>
      </c>
      <c r="AC12" s="124">
        <f t="shared" si="30"/>
        <v>0</v>
      </c>
      <c r="AD12" s="124">
        <f t="shared" si="31"/>
        <v>0</v>
      </c>
      <c r="AE12" s="124">
        <f t="shared" si="32"/>
        <v>0</v>
      </c>
      <c r="AF12" s="124">
        <f t="shared" si="33"/>
        <v>0</v>
      </c>
      <c r="AH12" s="126" t="s">
        <v>392</v>
      </c>
      <c r="AI12" s="4" t="str">
        <f>C14</f>
        <v>Dusty Ware</v>
      </c>
      <c r="AJ12" s="128">
        <f>AA14*0.284</f>
        <v>0</v>
      </c>
      <c r="AK12" s="128">
        <v>0</v>
      </c>
      <c r="AL12" s="128">
        <f>AA14*0.244</f>
        <v>0</v>
      </c>
      <c r="AM12" s="128">
        <f>AB14*0.631</f>
        <v>0</v>
      </c>
      <c r="AN12" s="128">
        <v>0</v>
      </c>
      <c r="AO12" s="128">
        <f>(AC11*1)+(AD11*0.286)</f>
        <v>0</v>
      </c>
      <c r="AP12" s="128">
        <f>AD11*0.135</f>
        <v>0</v>
      </c>
      <c r="AQ12" s="130">
        <f>(0.5*AE11+0.3*AF11)/10</f>
        <v>0</v>
      </c>
      <c r="AR12" s="130">
        <f>(0.4*AA11+0.3*AF11)/10</f>
        <v>0</v>
      </c>
      <c r="AS12" s="130">
        <v>0</v>
      </c>
      <c r="AT12" s="130">
        <v>0</v>
      </c>
    </row>
    <row r="13" spans="1:53" s="1" customFormat="1" x14ac:dyDescent="0.25">
      <c r="A13" s="4" t="str">
        <f>PLANTILLA!A13</f>
        <v>#10</v>
      </c>
      <c r="B13" s="4" t="str">
        <f>PLANTILLA!B13</f>
        <v>MED</v>
      </c>
      <c r="C13" s="75" t="str">
        <f>PLANTILLA!D13</f>
        <v>R. Forsyth</v>
      </c>
      <c r="D13" s="54">
        <f>PLANTILLA!E13</f>
        <v>26</v>
      </c>
      <c r="E13" s="55">
        <f ca="1">PLANTILLA!F13</f>
        <v>8</v>
      </c>
      <c r="F13" s="70" t="str">
        <f>PLANTILLA!G13</f>
        <v>POT</v>
      </c>
      <c r="G13" s="239">
        <f>PLANTILLA!H13</f>
        <v>4</v>
      </c>
      <c r="H13" s="56">
        <f>PLANTILLA!I13</f>
        <v>6.2</v>
      </c>
      <c r="I13" s="140">
        <f>PLANTILLA!X13</f>
        <v>0</v>
      </c>
      <c r="J13" s="140">
        <f>PLANTILLA!Y13</f>
        <v>9.75</v>
      </c>
      <c r="K13" s="140">
        <f>PLANTILLA!Z13</f>
        <v>14.538461538461538</v>
      </c>
      <c r="L13" s="140">
        <f>PLANTILLA!AA13</f>
        <v>3</v>
      </c>
      <c r="M13" s="140">
        <f>PLANTILLA!AB13</f>
        <v>4</v>
      </c>
      <c r="N13" s="140">
        <f>PLANTILLA!AC13</f>
        <v>7</v>
      </c>
      <c r="O13" s="140">
        <f>PLANTILLA!AD13</f>
        <v>18.25</v>
      </c>
      <c r="P13" s="69">
        <f t="shared" si="17"/>
        <v>26</v>
      </c>
      <c r="Q13" s="119">
        <f t="shared" ca="1" si="18"/>
        <v>15</v>
      </c>
      <c r="R13" s="77">
        <f t="shared" si="19"/>
        <v>6.2</v>
      </c>
      <c r="S13" s="155">
        <f t="shared" si="20"/>
        <v>0</v>
      </c>
      <c r="T13" s="155">
        <f t="shared" si="21"/>
        <v>9.75</v>
      </c>
      <c r="U13" s="155">
        <f t="shared" si="22"/>
        <v>14.538461538461538</v>
      </c>
      <c r="V13" s="155">
        <f t="shared" si="23"/>
        <v>3</v>
      </c>
      <c r="W13" s="155">
        <f t="shared" si="24"/>
        <v>4</v>
      </c>
      <c r="X13" s="155">
        <f t="shared" si="25"/>
        <v>7</v>
      </c>
      <c r="Y13" s="155">
        <f t="shared" si="26"/>
        <v>18.25</v>
      </c>
      <c r="Z13" s="124">
        <f t="shared" si="27"/>
        <v>0</v>
      </c>
      <c r="AA13" s="124">
        <f t="shared" si="28"/>
        <v>0</v>
      </c>
      <c r="AB13" s="124">
        <f t="shared" si="29"/>
        <v>0</v>
      </c>
      <c r="AC13" s="124">
        <f t="shared" si="30"/>
        <v>0</v>
      </c>
      <c r="AD13" s="124">
        <f t="shared" si="31"/>
        <v>0</v>
      </c>
      <c r="AE13" s="124">
        <f t="shared" si="32"/>
        <v>0</v>
      </c>
      <c r="AF13" s="124">
        <f t="shared" si="33"/>
        <v>0</v>
      </c>
      <c r="AH13" s="126" t="s">
        <v>392</v>
      </c>
      <c r="AI13" s="84" t="str">
        <f>C16</f>
        <v>I. Conteanu</v>
      </c>
      <c r="AJ13" s="127">
        <v>0</v>
      </c>
      <c r="AK13" s="127">
        <f>AA16*0.284</f>
        <v>0</v>
      </c>
      <c r="AL13" s="128">
        <f>AA16*0.244</f>
        <v>0</v>
      </c>
      <c r="AM13" s="127">
        <f>AB16*0.631</f>
        <v>0</v>
      </c>
      <c r="AN13" s="127">
        <f>(AD20*0.142)+(AC20*0.221)+(AE20*0.26)</f>
        <v>0</v>
      </c>
      <c r="AO13" s="127">
        <f>AN13</f>
        <v>0</v>
      </c>
      <c r="AP13" s="127">
        <f>(AD20*0.369)+(AE20*1)</f>
        <v>0</v>
      </c>
      <c r="AQ13" s="176">
        <f>((0.5*AE20+0.3*AF20)/10)+0.09*AF20</f>
        <v>0</v>
      </c>
      <c r="AR13" s="176">
        <f>(0.4*AA20+0.3*AF20)/10</f>
        <v>0</v>
      </c>
      <c r="AS13" s="129">
        <v>0</v>
      </c>
      <c r="AT13" s="129">
        <v>0</v>
      </c>
    </row>
    <row r="14" spans="1:53" x14ac:dyDescent="0.25">
      <c r="A14" s="4" t="str">
        <f>PLANTILLA!A14</f>
        <v>#11</v>
      </c>
      <c r="B14" s="4" t="str">
        <f>PLANTILLA!B14</f>
        <v>MED</v>
      </c>
      <c r="C14" s="75" t="str">
        <f>PLANTILLA!D14</f>
        <v>Dusty Ware</v>
      </c>
      <c r="D14" s="54">
        <f>PLANTILLA!E14</f>
        <v>26</v>
      </c>
      <c r="E14" s="55">
        <f ca="1">PLANTILLA!F14</f>
        <v>102</v>
      </c>
      <c r="F14" s="70"/>
      <c r="G14" s="239">
        <f>PLANTILLA!H14</f>
        <v>4</v>
      </c>
      <c r="H14" s="56">
        <f>PLANTILLA!I14</f>
        <v>6.6</v>
      </c>
      <c r="I14" s="140">
        <f>PLANTILLA!X14</f>
        <v>0</v>
      </c>
      <c r="J14" s="140">
        <f>PLANTILLA!Y14</f>
        <v>9.25</v>
      </c>
      <c r="K14" s="140">
        <f>PLANTILLA!Z14</f>
        <v>14.153846153846153</v>
      </c>
      <c r="L14" s="140">
        <f>PLANTILLA!AA14</f>
        <v>4</v>
      </c>
      <c r="M14" s="140">
        <f>PLANTILLA!AB14</f>
        <v>3</v>
      </c>
      <c r="N14" s="140">
        <f>PLANTILLA!AC14</f>
        <v>8</v>
      </c>
      <c r="O14" s="140">
        <f>PLANTILLA!AD14</f>
        <v>17.25</v>
      </c>
      <c r="P14" s="69">
        <f t="shared" si="17"/>
        <v>26</v>
      </c>
      <c r="Q14" s="119">
        <f t="shared" ca="1" si="18"/>
        <v>109</v>
      </c>
      <c r="R14" s="77">
        <f t="shared" si="19"/>
        <v>6.6</v>
      </c>
      <c r="S14" s="155">
        <f t="shared" si="20"/>
        <v>0</v>
      </c>
      <c r="T14" s="155">
        <f t="shared" si="21"/>
        <v>9.25</v>
      </c>
      <c r="U14" s="155">
        <f t="shared" si="22"/>
        <v>14.153846153846153</v>
      </c>
      <c r="V14" s="155">
        <f t="shared" si="23"/>
        <v>4</v>
      </c>
      <c r="W14" s="155">
        <f t="shared" si="24"/>
        <v>3</v>
      </c>
      <c r="X14" s="155">
        <f t="shared" si="25"/>
        <v>8</v>
      </c>
      <c r="Y14" s="155">
        <f t="shared" si="26"/>
        <v>17.25</v>
      </c>
      <c r="Z14" s="124">
        <f t="shared" si="27"/>
        <v>0</v>
      </c>
      <c r="AA14" s="124">
        <f t="shared" si="28"/>
        <v>0</v>
      </c>
      <c r="AB14" s="124">
        <f t="shared" si="29"/>
        <v>0</v>
      </c>
      <c r="AC14" s="124">
        <f t="shared" si="30"/>
        <v>0</v>
      </c>
      <c r="AD14" s="124">
        <f t="shared" si="31"/>
        <v>0</v>
      </c>
      <c r="AE14" s="124">
        <f t="shared" si="32"/>
        <v>0</v>
      </c>
      <c r="AF14" s="124">
        <f t="shared" si="33"/>
        <v>0</v>
      </c>
      <c r="AH14" s="126" t="s">
        <v>123</v>
      </c>
      <c r="AI14" s="4"/>
      <c r="AJ14" s="128">
        <v>0</v>
      </c>
      <c r="AK14" s="128">
        <v>0</v>
      </c>
      <c r="AL14" s="128">
        <v>0</v>
      </c>
      <c r="AM14" s="127">
        <v>0</v>
      </c>
      <c r="AN14" s="127">
        <f>(AD12*0.142)+(AC12*0.221)+(AE12*0.26)</f>
        <v>0</v>
      </c>
      <c r="AO14" s="127">
        <f>AN14</f>
        <v>0</v>
      </c>
      <c r="AP14" s="127">
        <f>(AD12*0.369)+(AE12*1)</f>
        <v>0</v>
      </c>
      <c r="AQ14" s="130">
        <f>(0.5*AE12+0.3*AF12)/10</f>
        <v>0</v>
      </c>
      <c r="AR14" s="130">
        <f>(0.4*AA12+0.3*AF12)/10</f>
        <v>0</v>
      </c>
      <c r="AS14" s="129">
        <v>0</v>
      </c>
      <c r="AT14" s="129">
        <v>0</v>
      </c>
    </row>
    <row r="15" spans="1:53" s="65" customFormat="1" x14ac:dyDescent="0.25">
      <c r="A15" s="4" t="str">
        <f>PLANTILLA!A15</f>
        <v>#15</v>
      </c>
      <c r="B15" s="4" t="str">
        <f>PLANTILLA!B15</f>
        <v>MED</v>
      </c>
      <c r="C15" s="75" t="str">
        <f>PLANTILLA!D15</f>
        <v>S. Gencel</v>
      </c>
      <c r="D15" s="54">
        <f>PLANTILLA!E15</f>
        <v>29</v>
      </c>
      <c r="E15" s="55">
        <f ca="1">PLANTILLA!F15</f>
        <v>72</v>
      </c>
      <c r="F15" s="70" t="str">
        <f>PLANTILLA!G15</f>
        <v>CAB</v>
      </c>
      <c r="G15" s="239">
        <f>PLANTILLA!H15</f>
        <v>1</v>
      </c>
      <c r="H15" s="56">
        <f>PLANTILLA!I15</f>
        <v>7</v>
      </c>
      <c r="I15" s="140">
        <f>PLANTILLA!X15</f>
        <v>0</v>
      </c>
      <c r="J15" s="140">
        <f>PLANTILLA!Y15</f>
        <v>9</v>
      </c>
      <c r="K15" s="140">
        <f>PLANTILLA!Z15</f>
        <v>14</v>
      </c>
      <c r="L15" s="140">
        <f>PLANTILLA!AA15</f>
        <v>0</v>
      </c>
      <c r="M15" s="140">
        <f>PLANTILLA!AB15</f>
        <v>2</v>
      </c>
      <c r="N15" s="140">
        <f>PLANTILLA!AC15</f>
        <v>7.1785714285714288</v>
      </c>
      <c r="O15" s="140">
        <f>PLANTILLA!AD15</f>
        <v>16</v>
      </c>
      <c r="P15" s="69">
        <f t="shared" si="17"/>
        <v>29</v>
      </c>
      <c r="Q15" s="119">
        <f t="shared" ca="1" si="18"/>
        <v>79</v>
      </c>
      <c r="R15" s="77">
        <f t="shared" si="19"/>
        <v>7</v>
      </c>
      <c r="S15" s="155">
        <f t="shared" si="20"/>
        <v>0</v>
      </c>
      <c r="T15" s="155">
        <f t="shared" si="21"/>
        <v>9</v>
      </c>
      <c r="U15" s="155">
        <f t="shared" si="22"/>
        <v>14</v>
      </c>
      <c r="V15" s="155">
        <f t="shared" si="23"/>
        <v>0</v>
      </c>
      <c r="W15" s="155">
        <f t="shared" si="24"/>
        <v>2</v>
      </c>
      <c r="X15" s="155">
        <f t="shared" si="25"/>
        <v>7.1785714285714288</v>
      </c>
      <c r="Y15" s="155">
        <f t="shared" si="26"/>
        <v>16</v>
      </c>
      <c r="Z15" s="124">
        <f t="shared" si="27"/>
        <v>0</v>
      </c>
      <c r="AA15" s="124">
        <f t="shared" si="28"/>
        <v>0</v>
      </c>
      <c r="AB15" s="124">
        <f t="shared" si="29"/>
        <v>0</v>
      </c>
      <c r="AC15" s="124">
        <f t="shared" si="30"/>
        <v>0</v>
      </c>
      <c r="AD15" s="124">
        <f t="shared" si="31"/>
        <v>0</v>
      </c>
      <c r="AE15" s="124">
        <f t="shared" si="32"/>
        <v>0</v>
      </c>
      <c r="AF15" s="124">
        <f t="shared" si="33"/>
        <v>0</v>
      </c>
      <c r="AH15" s="2"/>
      <c r="AI15"/>
      <c r="AJ15"/>
      <c r="AK15"/>
      <c r="AL15"/>
      <c r="AM15"/>
      <c r="AN15"/>
      <c r="AO15"/>
      <c r="AP15"/>
      <c r="AQ15"/>
      <c r="AR15"/>
      <c r="AS15"/>
      <c r="AT15"/>
    </row>
    <row r="16" spans="1:53" s="1" customFormat="1" x14ac:dyDescent="0.25">
      <c r="A16" s="4" t="str">
        <f>PLANTILLA!A16</f>
        <v>#7</v>
      </c>
      <c r="B16" s="4" t="str">
        <f>PLANTILLA!B16</f>
        <v>MED</v>
      </c>
      <c r="C16" s="75" t="str">
        <f>PLANTILLA!D16</f>
        <v>I. Conteanu</v>
      </c>
      <c r="D16" s="54">
        <f>PLANTILLA!E16</f>
        <v>30</v>
      </c>
      <c r="E16" s="55">
        <f ca="1">PLANTILLA!F16</f>
        <v>96</v>
      </c>
      <c r="F16" s="70"/>
      <c r="G16" s="239">
        <f>PLANTILLA!H16</f>
        <v>0</v>
      </c>
      <c r="H16" s="56">
        <f>PLANTILLA!I16</f>
        <v>8.9</v>
      </c>
      <c r="I16" s="140">
        <f>PLANTILLA!X16</f>
        <v>0</v>
      </c>
      <c r="J16" s="140">
        <f>PLANTILLA!Y16</f>
        <v>10</v>
      </c>
      <c r="K16" s="140">
        <f>PLANTILLA!Z16</f>
        <v>14</v>
      </c>
      <c r="L16" s="140">
        <f>PLANTILLA!AA16</f>
        <v>3</v>
      </c>
      <c r="M16" s="140">
        <f>PLANTILLA!AB16</f>
        <v>3</v>
      </c>
      <c r="N16" s="140">
        <f>PLANTILLA!AC16</f>
        <v>7.25</v>
      </c>
      <c r="O16" s="140">
        <f>PLANTILLA!AD16</f>
        <v>17.25</v>
      </c>
      <c r="P16" s="69">
        <f t="shared" si="17"/>
        <v>30</v>
      </c>
      <c r="Q16" s="119">
        <f t="shared" ca="1" si="18"/>
        <v>103</v>
      </c>
      <c r="R16" s="77">
        <f t="shared" si="19"/>
        <v>8.9</v>
      </c>
      <c r="S16" s="155">
        <f t="shared" si="20"/>
        <v>0</v>
      </c>
      <c r="T16" s="155">
        <f t="shared" si="21"/>
        <v>10</v>
      </c>
      <c r="U16" s="155">
        <f t="shared" si="22"/>
        <v>14</v>
      </c>
      <c r="V16" s="155">
        <f t="shared" si="23"/>
        <v>3</v>
      </c>
      <c r="W16" s="155">
        <f t="shared" si="24"/>
        <v>3</v>
      </c>
      <c r="X16" s="155">
        <f t="shared" si="25"/>
        <v>7.25</v>
      </c>
      <c r="Y16" s="155">
        <f t="shared" si="26"/>
        <v>17.25</v>
      </c>
      <c r="Z16" s="124">
        <f t="shared" si="27"/>
        <v>0</v>
      </c>
      <c r="AA16" s="124">
        <f t="shared" si="28"/>
        <v>0</v>
      </c>
      <c r="AB16" s="124">
        <f t="shared" si="29"/>
        <v>0</v>
      </c>
      <c r="AC16" s="124">
        <f t="shared" si="30"/>
        <v>0</v>
      </c>
      <c r="AD16" s="124">
        <f t="shared" si="31"/>
        <v>0</v>
      </c>
      <c r="AE16" s="124">
        <f t="shared" si="32"/>
        <v>0</v>
      </c>
      <c r="AF16" s="124">
        <f t="shared" si="33"/>
        <v>0</v>
      </c>
      <c r="AH16" s="65"/>
      <c r="AI16" s="65"/>
      <c r="AJ16" s="131">
        <f>SUM(AJ18:AJ28)*$AY$3</f>
        <v>0</v>
      </c>
      <c r="AK16" s="131">
        <f>SUM(AK18:AK28)*$AY$3</f>
        <v>0</v>
      </c>
      <c r="AL16" s="131">
        <f>SUM(AL18:AL28)*$AY$2</f>
        <v>0</v>
      </c>
      <c r="AM16" s="131">
        <f>SUM(AM18:AM28)*$AY$4</f>
        <v>0</v>
      </c>
      <c r="AN16" s="131" t="e">
        <f>SUM(AN18:AN28)*$AY$5</f>
        <v>#REF!</v>
      </c>
      <c r="AO16" s="131">
        <f>SUM(AO18:AO28)*$AY$5</f>
        <v>0</v>
      </c>
      <c r="AP16" s="131" t="e">
        <f>SUM(AP18:AP28)*$AY$6</f>
        <v>#REF!</v>
      </c>
      <c r="AQ16" s="132" t="e">
        <f>SUM(AQ18:AQ28)</f>
        <v>#REF!</v>
      </c>
      <c r="AR16" s="132" t="e">
        <f>SUM(AR18:AR28)</f>
        <v>#REF!</v>
      </c>
      <c r="AS16" s="132">
        <f>SUM(AS18:AS28)</f>
        <v>3.7249999999999996</v>
      </c>
      <c r="AT16" s="132">
        <f>SUM(AT18:AT28)</f>
        <v>0</v>
      </c>
    </row>
    <row r="17" spans="1:46" s="65" customFormat="1" x14ac:dyDescent="0.25">
      <c r="A17" s="4" t="str">
        <f>PLANTILLA!A17</f>
        <v>#16</v>
      </c>
      <c r="B17" s="4" t="str">
        <f>PLANTILLA!B17</f>
        <v>EXT</v>
      </c>
      <c r="C17" s="75" t="str">
        <f>PLANTILLA!D17</f>
        <v>I. Vanags</v>
      </c>
      <c r="D17" s="54">
        <f>PLANTILLA!E17</f>
        <v>25</v>
      </c>
      <c r="E17" s="55">
        <f ca="1">PLANTILLA!F17</f>
        <v>63</v>
      </c>
      <c r="F17" s="70" t="str">
        <f>PLANTILLA!G17</f>
        <v>CAB</v>
      </c>
      <c r="G17" s="239">
        <f>PLANTILLA!H17</f>
        <v>4</v>
      </c>
      <c r="H17" s="56">
        <f>PLANTILLA!I17</f>
        <v>5.0999999999999996</v>
      </c>
      <c r="I17" s="140">
        <f>PLANTILLA!X17</f>
        <v>0</v>
      </c>
      <c r="J17" s="140">
        <f>PLANTILLA!Y17</f>
        <v>7.166666666666667</v>
      </c>
      <c r="K17" s="140">
        <f>PLANTILLA!Z17</f>
        <v>14.692307692307692</v>
      </c>
      <c r="L17" s="140">
        <f>PLANTILLA!AA17</f>
        <v>3</v>
      </c>
      <c r="M17" s="140">
        <f>PLANTILLA!AB17</f>
        <v>4</v>
      </c>
      <c r="N17" s="140">
        <f>PLANTILLA!AC17</f>
        <v>7.6818181818181817</v>
      </c>
      <c r="O17" s="140">
        <f>PLANTILLA!AD17</f>
        <v>19</v>
      </c>
      <c r="P17" s="69">
        <f t="shared" si="17"/>
        <v>25</v>
      </c>
      <c r="Q17" s="119">
        <f t="shared" ca="1" si="18"/>
        <v>70</v>
      </c>
      <c r="R17" s="77">
        <f t="shared" si="19"/>
        <v>5.0999999999999996</v>
      </c>
      <c r="S17" s="155">
        <f t="shared" si="20"/>
        <v>0</v>
      </c>
      <c r="T17" s="155">
        <f t="shared" si="21"/>
        <v>7.166666666666667</v>
      </c>
      <c r="U17" s="155">
        <f t="shared" si="22"/>
        <v>14.692307692307692</v>
      </c>
      <c r="V17" s="155">
        <f t="shared" si="23"/>
        <v>3</v>
      </c>
      <c r="W17" s="155">
        <f t="shared" si="24"/>
        <v>4</v>
      </c>
      <c r="X17" s="155">
        <f t="shared" si="25"/>
        <v>7.6818181818181817</v>
      </c>
      <c r="Y17" s="155">
        <f t="shared" si="26"/>
        <v>19</v>
      </c>
      <c r="Z17" s="124">
        <f t="shared" si="27"/>
        <v>0</v>
      </c>
      <c r="AA17" s="124">
        <f t="shared" si="28"/>
        <v>0</v>
      </c>
      <c r="AB17" s="124">
        <f t="shared" si="29"/>
        <v>0</v>
      </c>
      <c r="AC17" s="124">
        <f t="shared" si="30"/>
        <v>0</v>
      </c>
      <c r="AD17" s="124">
        <f t="shared" si="31"/>
        <v>0</v>
      </c>
      <c r="AE17" s="124">
        <f t="shared" si="32"/>
        <v>0</v>
      </c>
      <c r="AF17" s="124">
        <f t="shared" si="33"/>
        <v>0</v>
      </c>
      <c r="AH17" s="559">
        <v>550</v>
      </c>
      <c r="AI17" s="560"/>
      <c r="AJ17" s="92" t="s">
        <v>381</v>
      </c>
      <c r="AK17" s="92" t="s">
        <v>382</v>
      </c>
      <c r="AL17" s="92" t="s">
        <v>383</v>
      </c>
      <c r="AM17" s="92" t="s">
        <v>384</v>
      </c>
      <c r="AN17" s="92" t="s">
        <v>385</v>
      </c>
      <c r="AO17" s="92" t="s">
        <v>386</v>
      </c>
      <c r="AP17" s="92" t="s">
        <v>387</v>
      </c>
      <c r="AQ17" s="92" t="s">
        <v>388</v>
      </c>
      <c r="AR17" s="92" t="s">
        <v>389</v>
      </c>
      <c r="AS17" s="92" t="s">
        <v>261</v>
      </c>
      <c r="AT17" s="92" t="s">
        <v>101</v>
      </c>
    </row>
    <row r="18" spans="1:46" s="1" customFormat="1" x14ac:dyDescent="0.25">
      <c r="A18" s="4" t="str">
        <f>PLANTILLA!A18</f>
        <v>#8</v>
      </c>
      <c r="B18" s="4" t="str">
        <f>PLANTILLA!B18</f>
        <v>EXT</v>
      </c>
      <c r="C18" s="75" t="str">
        <f>PLANTILLA!D18</f>
        <v>I. Stone</v>
      </c>
      <c r="D18" s="54">
        <f>PLANTILLA!E18</f>
        <v>25</v>
      </c>
      <c r="E18" s="55">
        <f ca="1">PLANTILLA!F18</f>
        <v>6</v>
      </c>
      <c r="F18" s="70"/>
      <c r="G18" s="239">
        <f>PLANTILLA!H18</f>
        <v>6</v>
      </c>
      <c r="H18" s="56">
        <f>PLANTILLA!I18</f>
        <v>6.3</v>
      </c>
      <c r="I18" s="140">
        <f>PLANTILLA!X18</f>
        <v>0</v>
      </c>
      <c r="J18" s="140">
        <f>PLANTILLA!Y18</f>
        <v>6</v>
      </c>
      <c r="K18" s="140">
        <f>PLANTILLA!Z18</f>
        <v>13.727272727272727</v>
      </c>
      <c r="L18" s="140">
        <f>PLANTILLA!AA18</f>
        <v>2</v>
      </c>
      <c r="M18" s="140">
        <f>PLANTILLA!AB18</f>
        <v>6</v>
      </c>
      <c r="N18" s="140">
        <f>PLANTILLA!AC18</f>
        <v>9.5</v>
      </c>
      <c r="O18" s="140">
        <f>PLANTILLA!AD18</f>
        <v>18.5</v>
      </c>
      <c r="P18" s="69">
        <f t="shared" si="17"/>
        <v>25</v>
      </c>
      <c r="Q18" s="119">
        <f t="shared" ca="1" si="18"/>
        <v>13</v>
      </c>
      <c r="R18" s="77">
        <f t="shared" si="19"/>
        <v>6.3</v>
      </c>
      <c r="S18" s="155">
        <f t="shared" si="20"/>
        <v>0</v>
      </c>
      <c r="T18" s="155">
        <f t="shared" si="21"/>
        <v>6</v>
      </c>
      <c r="U18" s="155">
        <f t="shared" si="22"/>
        <v>13.727272727272727</v>
      </c>
      <c r="V18" s="155">
        <f t="shared" si="23"/>
        <v>2</v>
      </c>
      <c r="W18" s="155">
        <f t="shared" si="24"/>
        <v>6</v>
      </c>
      <c r="X18" s="155">
        <f t="shared" si="25"/>
        <v>9.5</v>
      </c>
      <c r="Y18" s="155">
        <f t="shared" si="26"/>
        <v>18.5</v>
      </c>
      <c r="Z18" s="124">
        <f t="shared" si="27"/>
        <v>0</v>
      </c>
      <c r="AA18" s="124">
        <f t="shared" si="28"/>
        <v>0</v>
      </c>
      <c r="AB18" s="124">
        <f t="shared" si="29"/>
        <v>0</v>
      </c>
      <c r="AC18" s="124">
        <f t="shared" si="30"/>
        <v>0</v>
      </c>
      <c r="AD18" s="124">
        <f t="shared" si="31"/>
        <v>0</v>
      </c>
      <c r="AE18" s="124">
        <f t="shared" si="32"/>
        <v>0</v>
      </c>
      <c r="AF18" s="124">
        <f t="shared" si="33"/>
        <v>0</v>
      </c>
      <c r="AH18" s="125" t="s">
        <v>14</v>
      </c>
      <c r="AI18" s="84"/>
      <c r="AJ18" s="127">
        <v>0</v>
      </c>
      <c r="AK18" s="127">
        <v>0</v>
      </c>
      <c r="AL18" s="127">
        <v>0</v>
      </c>
      <c r="AM18" s="127">
        <v>0</v>
      </c>
      <c r="AN18" s="127">
        <f t="shared" ref="AN18:AT18" si="34">AN4</f>
        <v>0</v>
      </c>
      <c r="AO18" s="127">
        <f t="shared" si="34"/>
        <v>0</v>
      </c>
      <c r="AP18" s="127">
        <f t="shared" si="34"/>
        <v>0</v>
      </c>
      <c r="AQ18" s="177">
        <f t="shared" si="34"/>
        <v>0</v>
      </c>
      <c r="AR18" s="177">
        <f t="shared" si="34"/>
        <v>0</v>
      </c>
      <c r="AS18" s="129">
        <f t="shared" si="34"/>
        <v>0</v>
      </c>
      <c r="AT18" s="129">
        <f t="shared" si="34"/>
        <v>0</v>
      </c>
    </row>
    <row r="19" spans="1:46" s="1" customFormat="1" x14ac:dyDescent="0.25">
      <c r="A19" s="4" t="str">
        <f>PLANTILLA!A19</f>
        <v>#14</v>
      </c>
      <c r="B19" s="4" t="str">
        <f>PLANTILLA!B19</f>
        <v>EXT</v>
      </c>
      <c r="C19" s="75" t="str">
        <f>PLANTILLA!D19</f>
        <v>G. Piscaer</v>
      </c>
      <c r="D19" s="54">
        <f>PLANTILLA!E19</f>
        <v>25</v>
      </c>
      <c r="E19" s="55">
        <f ca="1">PLANTILLA!F19</f>
        <v>79</v>
      </c>
      <c r="F19" s="70" t="str">
        <f>PLANTILLA!G19</f>
        <v>IMP</v>
      </c>
      <c r="G19" s="239">
        <f>PLANTILLA!H19</f>
        <v>1</v>
      </c>
      <c r="H19" s="56">
        <f>PLANTILLA!I19</f>
        <v>6.2</v>
      </c>
      <c r="I19" s="140">
        <f>PLANTILLA!X19</f>
        <v>0</v>
      </c>
      <c r="J19" s="140">
        <f>PLANTILLA!Y19</f>
        <v>6.4</v>
      </c>
      <c r="K19" s="140">
        <f>PLANTILLA!Z19</f>
        <v>14.846153846153847</v>
      </c>
      <c r="L19" s="140">
        <f>PLANTILLA!AA19</f>
        <v>3</v>
      </c>
      <c r="M19" s="140">
        <f>PLANTILLA!AB19</f>
        <v>2</v>
      </c>
      <c r="N19" s="140">
        <f>PLANTILLA!AC19</f>
        <v>8.5769230769230766</v>
      </c>
      <c r="O19" s="140">
        <f>PLANTILLA!AD19</f>
        <v>17.75</v>
      </c>
      <c r="P19" s="69">
        <f t="shared" si="17"/>
        <v>25</v>
      </c>
      <c r="Q19" s="119">
        <f t="shared" ca="1" si="18"/>
        <v>86</v>
      </c>
      <c r="R19" s="77">
        <f t="shared" si="19"/>
        <v>6.2</v>
      </c>
      <c r="S19" s="155">
        <f t="shared" si="20"/>
        <v>0</v>
      </c>
      <c r="T19" s="155">
        <f t="shared" si="21"/>
        <v>6.4</v>
      </c>
      <c r="U19" s="155">
        <f t="shared" si="22"/>
        <v>14.846153846153847</v>
      </c>
      <c r="V19" s="155">
        <f t="shared" si="23"/>
        <v>3</v>
      </c>
      <c r="W19" s="155">
        <f t="shared" si="24"/>
        <v>2</v>
      </c>
      <c r="X19" s="155">
        <f t="shared" si="25"/>
        <v>8.5769230769230766</v>
      </c>
      <c r="Y19" s="155">
        <f t="shared" si="26"/>
        <v>17.75</v>
      </c>
      <c r="Z19" s="124">
        <f t="shared" si="27"/>
        <v>0</v>
      </c>
      <c r="AA19" s="124">
        <f t="shared" si="28"/>
        <v>0</v>
      </c>
      <c r="AB19" s="124">
        <f t="shared" si="29"/>
        <v>0</v>
      </c>
      <c r="AC19" s="124">
        <f t="shared" si="30"/>
        <v>0</v>
      </c>
      <c r="AD19" s="124">
        <f t="shared" si="31"/>
        <v>0</v>
      </c>
      <c r="AE19" s="124">
        <f t="shared" si="32"/>
        <v>0</v>
      </c>
      <c r="AF19" s="124">
        <f t="shared" si="33"/>
        <v>0</v>
      </c>
      <c r="AH19" s="125" t="s">
        <v>169</v>
      </c>
      <c r="AI19" s="84"/>
      <c r="AJ19" s="127">
        <v>0</v>
      </c>
      <c r="AK19" s="127">
        <v>0</v>
      </c>
      <c r="AL19" s="127">
        <v>0</v>
      </c>
      <c r="AM19" s="127">
        <v>0</v>
      </c>
      <c r="AN19" s="127">
        <f>AC19*0.588</f>
        <v>0</v>
      </c>
      <c r="AO19" s="127">
        <v>0</v>
      </c>
      <c r="AP19" s="127">
        <v>0</v>
      </c>
      <c r="AQ19" s="129">
        <f>AQ5</f>
        <v>0</v>
      </c>
      <c r="AR19" s="129">
        <f>AR5</f>
        <v>0</v>
      </c>
      <c r="AS19" s="129">
        <f>((T19+1)+(W19+1)*2)/8</f>
        <v>1.675</v>
      </c>
      <c r="AT19" s="129">
        <f>((AA19)+(AD19)*2)/8</f>
        <v>0</v>
      </c>
    </row>
    <row r="20" spans="1:46" x14ac:dyDescent="0.25">
      <c r="A20" s="4" t="str">
        <f>PLANTILLA!A20</f>
        <v>#9</v>
      </c>
      <c r="B20" s="4" t="str">
        <f>PLANTILLA!B20</f>
        <v>EXT</v>
      </c>
      <c r="C20" s="75" t="str">
        <f>PLANTILLA!D20</f>
        <v>M. Bondarewski</v>
      </c>
      <c r="D20" s="54">
        <f>PLANTILLA!E20</f>
        <v>25</v>
      </c>
      <c r="E20" s="55">
        <f ca="1">PLANTILLA!F20</f>
        <v>79</v>
      </c>
      <c r="F20" s="70"/>
      <c r="G20" s="239">
        <f>PLANTILLA!H20</f>
        <v>1</v>
      </c>
      <c r="H20" s="56">
        <f>PLANTILLA!I20</f>
        <v>6.3</v>
      </c>
      <c r="I20" s="140">
        <f>PLANTILLA!X20</f>
        <v>0</v>
      </c>
      <c r="J20" s="140">
        <f>PLANTILLA!Y20</f>
        <v>4.75</v>
      </c>
      <c r="K20" s="140">
        <f>PLANTILLA!Z20</f>
        <v>14.692307692307692</v>
      </c>
      <c r="L20" s="140">
        <f>PLANTILLA!AA20</f>
        <v>5</v>
      </c>
      <c r="M20" s="140">
        <f>PLANTILLA!AB20</f>
        <v>4</v>
      </c>
      <c r="N20" s="140">
        <f>PLANTILLA!AC20</f>
        <v>8.5769230769230766</v>
      </c>
      <c r="O20" s="140">
        <f>PLANTILLA!AD20</f>
        <v>19.8</v>
      </c>
      <c r="P20" s="69">
        <f t="shared" si="17"/>
        <v>25</v>
      </c>
      <c r="Q20" s="119">
        <f t="shared" ca="1" si="18"/>
        <v>86</v>
      </c>
      <c r="R20" s="77">
        <f t="shared" si="19"/>
        <v>6.3</v>
      </c>
      <c r="S20" s="155">
        <f t="shared" si="20"/>
        <v>0</v>
      </c>
      <c r="T20" s="155">
        <f t="shared" si="21"/>
        <v>4.75</v>
      </c>
      <c r="U20" s="155">
        <f t="shared" si="22"/>
        <v>14.692307692307692</v>
      </c>
      <c r="V20" s="155">
        <f t="shared" si="23"/>
        <v>5</v>
      </c>
      <c r="W20" s="155">
        <f t="shared" si="24"/>
        <v>4</v>
      </c>
      <c r="X20" s="155">
        <f t="shared" si="25"/>
        <v>8.5769230769230766</v>
      </c>
      <c r="Y20" s="155">
        <f t="shared" si="26"/>
        <v>19.8</v>
      </c>
      <c r="Z20" s="124">
        <f t="shared" si="27"/>
        <v>0</v>
      </c>
      <c r="AA20" s="124">
        <f t="shared" si="28"/>
        <v>0</v>
      </c>
      <c r="AB20" s="124">
        <f t="shared" si="29"/>
        <v>0</v>
      </c>
      <c r="AC20" s="124">
        <f t="shared" si="30"/>
        <v>0</v>
      </c>
      <c r="AD20" s="124">
        <f t="shared" si="31"/>
        <v>0</v>
      </c>
      <c r="AE20" s="124">
        <f t="shared" si="32"/>
        <v>0</v>
      </c>
      <c r="AF20" s="124">
        <f t="shared" si="33"/>
        <v>0</v>
      </c>
      <c r="AH20" s="126" t="s">
        <v>390</v>
      </c>
      <c r="AI20" s="4"/>
      <c r="AJ20" s="127">
        <v>0</v>
      </c>
      <c r="AK20" s="127">
        <v>0</v>
      </c>
      <c r="AL20" s="127">
        <v>0</v>
      </c>
      <c r="AM20" s="128">
        <v>0</v>
      </c>
      <c r="AN20" s="128">
        <f>(AD22*0.142)+(AC22*0.221)+(AE22*0.26)</f>
        <v>0</v>
      </c>
      <c r="AO20" s="127">
        <f>AN20</f>
        <v>0</v>
      </c>
      <c r="AP20" s="128">
        <f>(AD22*0.369)+(AE22*1)</f>
        <v>0</v>
      </c>
      <c r="AQ20" s="130">
        <f>(0.5*AE22+0.3*AF22)/10</f>
        <v>0</v>
      </c>
      <c r="AR20" s="130">
        <f>(0.4*AA22+0.3*AF22)/10</f>
        <v>0</v>
      </c>
      <c r="AS20" s="129">
        <f>((T22+1)+(W22+1)*2)/8</f>
        <v>0.375</v>
      </c>
      <c r="AT20" s="129">
        <f>((AA22)+(AD22)*2)/8</f>
        <v>0</v>
      </c>
    </row>
    <row r="21" spans="1:46" s="65" customFormat="1" x14ac:dyDescent="0.25">
      <c r="A21" s="4">
        <f>PLANTILLA!A21</f>
        <v>0</v>
      </c>
      <c r="B21" s="4">
        <f>PLANTILLA!B21</f>
        <v>0</v>
      </c>
      <c r="C21" s="75">
        <f>PLANTILLA!D21</f>
        <v>0</v>
      </c>
      <c r="D21" s="54">
        <f>PLANTILLA!E21</f>
        <v>0</v>
      </c>
      <c r="E21" s="55">
        <f>PLANTILLA!F21</f>
        <v>0</v>
      </c>
      <c r="F21" s="70">
        <f>PLANTILLA!G21</f>
        <v>0</v>
      </c>
      <c r="G21" s="239">
        <f>PLANTILLA!H21</f>
        <v>0</v>
      </c>
      <c r="H21" s="56">
        <f>PLANTILLA!I21</f>
        <v>0</v>
      </c>
      <c r="I21" s="140">
        <f>PLANTILLA!X21</f>
        <v>0</v>
      </c>
      <c r="J21" s="140">
        <f>PLANTILLA!Y21</f>
        <v>0</v>
      </c>
      <c r="K21" s="140">
        <f>PLANTILLA!Z21</f>
        <v>0</v>
      </c>
      <c r="L21" s="140">
        <f>PLANTILLA!AA21</f>
        <v>0</v>
      </c>
      <c r="M21" s="140">
        <f>PLANTILLA!AB21</f>
        <v>0</v>
      </c>
      <c r="N21" s="140">
        <f>PLANTILLA!AC21</f>
        <v>0</v>
      </c>
      <c r="O21" s="140">
        <f>PLANTILLA!AD21</f>
        <v>0</v>
      </c>
      <c r="P21" s="69">
        <f t="shared" si="17"/>
        <v>0</v>
      </c>
      <c r="Q21" s="119">
        <f t="shared" si="18"/>
        <v>7</v>
      </c>
      <c r="R21" s="77">
        <f t="shared" si="19"/>
        <v>0</v>
      </c>
      <c r="S21" s="155">
        <f t="shared" si="20"/>
        <v>0</v>
      </c>
      <c r="T21" s="155">
        <f t="shared" si="21"/>
        <v>0</v>
      </c>
      <c r="U21" s="155">
        <f t="shared" si="22"/>
        <v>0</v>
      </c>
      <c r="V21" s="155">
        <f t="shared" si="23"/>
        <v>0</v>
      </c>
      <c r="W21" s="155">
        <f t="shared" si="24"/>
        <v>0</v>
      </c>
      <c r="X21" s="155">
        <f t="shared" si="25"/>
        <v>0</v>
      </c>
      <c r="Y21" s="155">
        <f t="shared" si="26"/>
        <v>0</v>
      </c>
      <c r="Z21" s="124">
        <f t="shared" si="27"/>
        <v>0</v>
      </c>
      <c r="AA21" s="124">
        <f t="shared" si="28"/>
        <v>0</v>
      </c>
      <c r="AB21" s="124">
        <f t="shared" si="29"/>
        <v>0</v>
      </c>
      <c r="AC21" s="124">
        <f t="shared" si="30"/>
        <v>0</v>
      </c>
      <c r="AD21" s="124">
        <f t="shared" si="31"/>
        <v>0</v>
      </c>
      <c r="AE21" s="124">
        <f t="shared" si="32"/>
        <v>0</v>
      </c>
      <c r="AF21" s="124">
        <f t="shared" si="33"/>
        <v>0</v>
      </c>
      <c r="AH21" s="126" t="s">
        <v>390</v>
      </c>
      <c r="AI21" s="4"/>
      <c r="AJ21" s="127">
        <v>0</v>
      </c>
      <c r="AK21" s="127">
        <v>0</v>
      </c>
      <c r="AL21" s="127">
        <v>0</v>
      </c>
      <c r="AM21" s="128">
        <v>0</v>
      </c>
      <c r="AN21" s="128">
        <v>0</v>
      </c>
      <c r="AO21" s="128">
        <f>AC8*0.588</f>
        <v>0</v>
      </c>
      <c r="AP21" s="128">
        <v>0</v>
      </c>
      <c r="AQ21" s="130">
        <f>AQ5</f>
        <v>0</v>
      </c>
      <c r="AR21" s="130">
        <f>AR5</f>
        <v>0</v>
      </c>
      <c r="AS21" s="130">
        <f>AS5</f>
        <v>1.675</v>
      </c>
      <c r="AT21" s="130">
        <f>AT5</f>
        <v>0</v>
      </c>
    </row>
    <row r="22" spans="1:46" s="65" customFormat="1" x14ac:dyDescent="0.25">
      <c r="A22" s="4">
        <f>PLANTILLA!A22</f>
        <v>0</v>
      </c>
      <c r="B22" s="4">
        <f>PLANTILLA!B22</f>
        <v>0</v>
      </c>
      <c r="C22" s="75">
        <f>PLANTILLA!D22</f>
        <v>0</v>
      </c>
      <c r="D22" s="54">
        <f>PLANTILLA!E22</f>
        <v>0</v>
      </c>
      <c r="E22" s="55">
        <f>PLANTILLA!F22</f>
        <v>0</v>
      </c>
      <c r="F22" s="70"/>
      <c r="G22" s="239">
        <f>PLANTILLA!H22</f>
        <v>0</v>
      </c>
      <c r="H22" s="56">
        <f>PLANTILLA!I22</f>
        <v>0</v>
      </c>
      <c r="I22" s="140">
        <f>PLANTILLA!X22</f>
        <v>0</v>
      </c>
      <c r="J22" s="140">
        <f>PLANTILLA!Y22</f>
        <v>0</v>
      </c>
      <c r="K22" s="140">
        <f>PLANTILLA!Z22</f>
        <v>0</v>
      </c>
      <c r="L22" s="140">
        <f>PLANTILLA!AA22</f>
        <v>0</v>
      </c>
      <c r="M22" s="140">
        <f>PLANTILLA!AB22</f>
        <v>0</v>
      </c>
      <c r="N22" s="140">
        <f>PLANTILLA!AC22</f>
        <v>0</v>
      </c>
      <c r="O22" s="140">
        <f>PLANTILLA!AD22</f>
        <v>0</v>
      </c>
      <c r="P22" s="69">
        <f t="shared" si="17"/>
        <v>0</v>
      </c>
      <c r="Q22" s="119">
        <f t="shared" si="18"/>
        <v>7</v>
      </c>
      <c r="R22" s="77">
        <f t="shared" si="19"/>
        <v>0</v>
      </c>
      <c r="S22" s="155">
        <f t="shared" si="20"/>
        <v>0</v>
      </c>
      <c r="T22" s="155">
        <f t="shared" si="21"/>
        <v>0</v>
      </c>
      <c r="U22" s="155">
        <f t="shared" si="22"/>
        <v>0</v>
      </c>
      <c r="V22" s="155">
        <f t="shared" si="23"/>
        <v>0</v>
      </c>
      <c r="W22" s="155">
        <f t="shared" si="24"/>
        <v>0</v>
      </c>
      <c r="X22" s="155">
        <f t="shared" si="25"/>
        <v>0</v>
      </c>
      <c r="Y22" s="155">
        <f t="shared" si="26"/>
        <v>0</v>
      </c>
      <c r="Z22" s="124">
        <f t="shared" si="27"/>
        <v>0</v>
      </c>
      <c r="AA22" s="124">
        <f t="shared" si="28"/>
        <v>0</v>
      </c>
      <c r="AB22" s="124">
        <f t="shared" si="29"/>
        <v>0</v>
      </c>
      <c r="AC22" s="124">
        <f t="shared" si="30"/>
        <v>0</v>
      </c>
      <c r="AD22" s="124">
        <f t="shared" si="31"/>
        <v>0</v>
      </c>
      <c r="AE22" s="124">
        <f t="shared" si="32"/>
        <v>0</v>
      </c>
      <c r="AF22" s="124">
        <f t="shared" si="33"/>
        <v>0</v>
      </c>
      <c r="AH22" s="126" t="s">
        <v>390</v>
      </c>
      <c r="AI22" s="84"/>
      <c r="AJ22" s="127">
        <v>0</v>
      </c>
      <c r="AK22" s="127">
        <v>0</v>
      </c>
      <c r="AL22" s="127">
        <v>0</v>
      </c>
      <c r="AM22" s="127">
        <v>0</v>
      </c>
      <c r="AN22" s="127" t="e">
        <f t="shared" ref="AN22:AT28" si="35">AN8</f>
        <v>#REF!</v>
      </c>
      <c r="AO22" s="127">
        <f t="shared" si="35"/>
        <v>0</v>
      </c>
      <c r="AP22" s="127" t="e">
        <f t="shared" si="35"/>
        <v>#REF!</v>
      </c>
      <c r="AQ22" s="129" t="e">
        <f t="shared" si="35"/>
        <v>#REF!</v>
      </c>
      <c r="AR22" s="129" t="e">
        <f t="shared" si="35"/>
        <v>#REF!</v>
      </c>
      <c r="AS22" s="129">
        <f t="shared" si="35"/>
        <v>0</v>
      </c>
      <c r="AT22" s="129">
        <f t="shared" si="35"/>
        <v>0</v>
      </c>
    </row>
    <row r="23" spans="1:46" s="1" customFormat="1" x14ac:dyDescent="0.25">
      <c r="A23" s="4">
        <f>PLANTILLA!A23</f>
        <v>0</v>
      </c>
      <c r="B23" s="4">
        <f>PLANTILLA!B23</f>
        <v>0</v>
      </c>
      <c r="C23" s="75">
        <f>PLANTILLA!D23</f>
        <v>0</v>
      </c>
      <c r="D23" s="54">
        <f>PLANTILLA!E23</f>
        <v>0</v>
      </c>
      <c r="E23" s="55">
        <f>PLANTILLA!F23</f>
        <v>0</v>
      </c>
      <c r="F23" s="70">
        <f>PLANTILLA!G23</f>
        <v>0</v>
      </c>
      <c r="G23" s="239">
        <f>PLANTILLA!H23</f>
        <v>0</v>
      </c>
      <c r="H23" s="56">
        <f>PLANTILLA!I23</f>
        <v>0</v>
      </c>
      <c r="I23" s="140">
        <f>PLANTILLA!X23</f>
        <v>0</v>
      </c>
      <c r="J23" s="140">
        <f>PLANTILLA!Y23</f>
        <v>0</v>
      </c>
      <c r="K23" s="140">
        <f>PLANTILLA!Z23</f>
        <v>0</v>
      </c>
      <c r="L23" s="140">
        <f>PLANTILLA!AA23</f>
        <v>0</v>
      </c>
      <c r="M23" s="140">
        <f>PLANTILLA!AB23</f>
        <v>0</v>
      </c>
      <c r="N23" s="140">
        <f>PLANTILLA!AC23</f>
        <v>0</v>
      </c>
      <c r="O23" s="140">
        <f>PLANTILLA!AD23</f>
        <v>0</v>
      </c>
      <c r="P23" s="69">
        <f t="shared" si="17"/>
        <v>0</v>
      </c>
      <c r="Q23" s="119">
        <f t="shared" si="18"/>
        <v>7</v>
      </c>
      <c r="R23" s="77">
        <f t="shared" si="19"/>
        <v>0</v>
      </c>
      <c r="S23" s="155">
        <f t="shared" si="20"/>
        <v>0</v>
      </c>
      <c r="T23" s="155">
        <f t="shared" si="21"/>
        <v>0</v>
      </c>
      <c r="U23" s="155">
        <f t="shared" si="22"/>
        <v>0</v>
      </c>
      <c r="V23" s="155">
        <f t="shared" si="23"/>
        <v>0</v>
      </c>
      <c r="W23" s="155">
        <f t="shared" si="24"/>
        <v>0</v>
      </c>
      <c r="X23" s="155">
        <f t="shared" si="25"/>
        <v>0</v>
      </c>
      <c r="Y23" s="155">
        <f t="shared" si="26"/>
        <v>0</v>
      </c>
      <c r="Z23" s="124">
        <f t="shared" si="27"/>
        <v>0</v>
      </c>
      <c r="AA23" s="124">
        <f t="shared" si="28"/>
        <v>0</v>
      </c>
      <c r="AB23" s="124">
        <f t="shared" si="29"/>
        <v>0</v>
      </c>
      <c r="AC23" s="124">
        <f t="shared" si="30"/>
        <v>0</v>
      </c>
      <c r="AD23" s="124">
        <f t="shared" si="31"/>
        <v>0</v>
      </c>
      <c r="AE23" s="124">
        <f t="shared" si="32"/>
        <v>0</v>
      </c>
      <c r="AF23" s="124">
        <f t="shared" si="33"/>
        <v>0</v>
      </c>
      <c r="AH23" s="125" t="s">
        <v>169</v>
      </c>
      <c r="AI23" s="4"/>
      <c r="AJ23" s="127">
        <v>0</v>
      </c>
      <c r="AK23" s="127">
        <v>0</v>
      </c>
      <c r="AL23" s="127">
        <v>0</v>
      </c>
      <c r="AM23" s="128">
        <v>0</v>
      </c>
      <c r="AN23" s="128">
        <f t="shared" si="35"/>
        <v>0</v>
      </c>
      <c r="AO23" s="128">
        <f t="shared" si="35"/>
        <v>0</v>
      </c>
      <c r="AP23" s="128">
        <f t="shared" si="35"/>
        <v>0</v>
      </c>
      <c r="AQ23" s="130">
        <f t="shared" si="35"/>
        <v>0</v>
      </c>
      <c r="AR23" s="130">
        <f t="shared" si="35"/>
        <v>0</v>
      </c>
      <c r="AS23" s="130">
        <f t="shared" si="35"/>
        <v>0</v>
      </c>
      <c r="AT23" s="130">
        <f t="shared" si="35"/>
        <v>0</v>
      </c>
    </row>
    <row r="24" spans="1:46" s="1" customFormat="1" x14ac:dyDescent="0.25">
      <c r="A24" s="4">
        <f>PLANTILLA!A24</f>
        <v>0</v>
      </c>
      <c r="B24" s="4">
        <f>PLANTILLA!B24</f>
        <v>0</v>
      </c>
      <c r="C24" s="75">
        <f>PLANTILLA!D24</f>
        <v>0</v>
      </c>
      <c r="D24" s="54">
        <f>PLANTILLA!E24</f>
        <v>0</v>
      </c>
      <c r="E24" s="55">
        <f>PLANTILLA!F24</f>
        <v>0</v>
      </c>
      <c r="F24" s="70"/>
      <c r="G24" s="239">
        <f>PLANTILLA!H24</f>
        <v>0</v>
      </c>
      <c r="H24" s="56">
        <f>PLANTILLA!I24</f>
        <v>0</v>
      </c>
      <c r="I24" s="140">
        <f>PLANTILLA!X24</f>
        <v>0</v>
      </c>
      <c r="J24" s="140">
        <f>PLANTILLA!Y24</f>
        <v>0</v>
      </c>
      <c r="K24" s="140">
        <f>PLANTILLA!Z24</f>
        <v>0</v>
      </c>
      <c r="L24" s="140">
        <f>PLANTILLA!AA24</f>
        <v>0</v>
      </c>
      <c r="M24" s="140">
        <f>PLANTILLA!AB24</f>
        <v>0</v>
      </c>
      <c r="N24" s="140">
        <f>PLANTILLA!AC24</f>
        <v>0</v>
      </c>
      <c r="O24" s="140">
        <f>PLANTILLA!AD24</f>
        <v>0</v>
      </c>
      <c r="P24" s="69">
        <f t="shared" si="17"/>
        <v>0</v>
      </c>
      <c r="Q24" s="119">
        <f t="shared" si="18"/>
        <v>7</v>
      </c>
      <c r="R24" s="77">
        <f t="shared" si="19"/>
        <v>0</v>
      </c>
      <c r="S24" s="155">
        <f t="shared" si="20"/>
        <v>0</v>
      </c>
      <c r="T24" s="155">
        <f t="shared" si="21"/>
        <v>0</v>
      </c>
      <c r="U24" s="155">
        <f t="shared" si="22"/>
        <v>0</v>
      </c>
      <c r="V24" s="155">
        <f t="shared" si="23"/>
        <v>0</v>
      </c>
      <c r="W24" s="155">
        <f t="shared" si="24"/>
        <v>0</v>
      </c>
      <c r="X24" s="155">
        <f t="shared" si="25"/>
        <v>0</v>
      </c>
      <c r="Y24" s="155">
        <f t="shared" si="26"/>
        <v>0</v>
      </c>
      <c r="Z24" s="124">
        <f t="shared" si="27"/>
        <v>0</v>
      </c>
      <c r="AA24" s="124">
        <f t="shared" si="28"/>
        <v>0</v>
      </c>
      <c r="AB24" s="124">
        <f t="shared" si="29"/>
        <v>0</v>
      </c>
      <c r="AC24" s="124">
        <f t="shared" si="30"/>
        <v>0</v>
      </c>
      <c r="AD24" s="124">
        <f t="shared" si="31"/>
        <v>0</v>
      </c>
      <c r="AE24" s="124">
        <f t="shared" si="32"/>
        <v>0</v>
      </c>
      <c r="AF24" s="124">
        <f t="shared" si="33"/>
        <v>0</v>
      </c>
      <c r="AH24" s="126" t="s">
        <v>122</v>
      </c>
      <c r="AI24" s="4" t="str">
        <f t="shared" ref="AI24:AM28" si="36">AI9</f>
        <v>S. Gencel</v>
      </c>
      <c r="AJ24" s="128">
        <f t="shared" si="36"/>
        <v>0</v>
      </c>
      <c r="AK24" s="128">
        <f t="shared" si="36"/>
        <v>0</v>
      </c>
      <c r="AL24" s="128">
        <f t="shared" si="36"/>
        <v>0</v>
      </c>
      <c r="AM24" s="128">
        <f t="shared" si="36"/>
        <v>0</v>
      </c>
      <c r="AN24" s="128">
        <f t="shared" si="35"/>
        <v>0</v>
      </c>
      <c r="AO24" s="128">
        <f t="shared" si="35"/>
        <v>0</v>
      </c>
      <c r="AP24" s="128">
        <f t="shared" si="35"/>
        <v>0</v>
      </c>
      <c r="AQ24" s="130">
        <f t="shared" si="35"/>
        <v>0</v>
      </c>
      <c r="AR24" s="130">
        <f t="shared" si="35"/>
        <v>0</v>
      </c>
      <c r="AS24" s="130">
        <f t="shared" si="35"/>
        <v>0</v>
      </c>
      <c r="AT24" s="130">
        <f t="shared" si="35"/>
        <v>0</v>
      </c>
    </row>
    <row r="25" spans="1:46" x14ac:dyDescent="0.25">
      <c r="A25" s="4">
        <f>PLANTILLA!A25</f>
        <v>0</v>
      </c>
      <c r="B25" s="4">
        <f>PLANTILLA!B25</f>
        <v>0</v>
      </c>
      <c r="C25" s="75">
        <f>PLANTILLA!D25</f>
        <v>0</v>
      </c>
      <c r="D25" s="54">
        <f>PLANTILLA!E25</f>
        <v>0</v>
      </c>
      <c r="E25" s="55">
        <f>PLANTILLA!F25</f>
        <v>0</v>
      </c>
      <c r="F25" s="70">
        <f>PLANTILLA!G25</f>
        <v>0</v>
      </c>
      <c r="G25" s="239">
        <f>PLANTILLA!H25</f>
        <v>0</v>
      </c>
      <c r="H25" s="56">
        <f>PLANTILLA!I25</f>
        <v>0</v>
      </c>
      <c r="I25" s="140">
        <f>PLANTILLA!X25</f>
        <v>0</v>
      </c>
      <c r="J25" s="140">
        <f>PLANTILLA!Y25</f>
        <v>0</v>
      </c>
      <c r="K25" s="140">
        <f>PLANTILLA!Z25</f>
        <v>0</v>
      </c>
      <c r="L25" s="140">
        <f>PLANTILLA!AA25</f>
        <v>0</v>
      </c>
      <c r="M25" s="140">
        <f>PLANTILLA!AB25</f>
        <v>0</v>
      </c>
      <c r="N25" s="140">
        <f>PLANTILLA!AC25</f>
        <v>0</v>
      </c>
      <c r="O25" s="140">
        <f>PLANTILLA!AD25</f>
        <v>0</v>
      </c>
      <c r="P25" s="69">
        <f t="shared" si="17"/>
        <v>0</v>
      </c>
      <c r="Q25" s="119">
        <f t="shared" si="18"/>
        <v>7</v>
      </c>
      <c r="R25" s="77">
        <f t="shared" si="19"/>
        <v>0</v>
      </c>
      <c r="S25" s="155">
        <f t="shared" si="20"/>
        <v>0</v>
      </c>
      <c r="T25" s="155">
        <f t="shared" si="21"/>
        <v>0</v>
      </c>
      <c r="U25" s="155">
        <f t="shared" si="22"/>
        <v>0</v>
      </c>
      <c r="V25" s="155">
        <f t="shared" si="23"/>
        <v>0</v>
      </c>
      <c r="W25" s="155">
        <f t="shared" si="24"/>
        <v>0</v>
      </c>
      <c r="X25" s="155">
        <f t="shared" si="25"/>
        <v>0</v>
      </c>
      <c r="Y25" s="155">
        <f t="shared" si="26"/>
        <v>0</v>
      </c>
      <c r="Z25" s="124">
        <f t="shared" si="27"/>
        <v>0</v>
      </c>
      <c r="AA25" s="124">
        <f t="shared" si="28"/>
        <v>0</v>
      </c>
      <c r="AB25" s="124">
        <f t="shared" si="29"/>
        <v>0</v>
      </c>
      <c r="AC25" s="124">
        <f t="shared" si="30"/>
        <v>0</v>
      </c>
      <c r="AD25" s="124">
        <f t="shared" si="31"/>
        <v>0</v>
      </c>
      <c r="AE25" s="124">
        <f t="shared" si="32"/>
        <v>0</v>
      </c>
      <c r="AF25" s="124">
        <f t="shared" si="33"/>
        <v>0</v>
      </c>
      <c r="AH25" s="126" t="s">
        <v>391</v>
      </c>
      <c r="AI25" s="4" t="str">
        <f t="shared" si="36"/>
        <v>I. Stone</v>
      </c>
      <c r="AJ25" s="128">
        <f t="shared" si="36"/>
        <v>0</v>
      </c>
      <c r="AK25" s="128">
        <f t="shared" si="36"/>
        <v>0</v>
      </c>
      <c r="AL25" s="128">
        <f t="shared" si="36"/>
        <v>0</v>
      </c>
      <c r="AM25" s="128">
        <f t="shared" si="36"/>
        <v>0</v>
      </c>
      <c r="AN25" s="128">
        <f t="shared" si="35"/>
        <v>0</v>
      </c>
      <c r="AO25" s="128">
        <f t="shared" si="35"/>
        <v>0</v>
      </c>
      <c r="AP25" s="128">
        <f t="shared" si="35"/>
        <v>0</v>
      </c>
      <c r="AQ25" s="130">
        <f t="shared" si="35"/>
        <v>0</v>
      </c>
      <c r="AR25" s="130">
        <f t="shared" si="35"/>
        <v>0</v>
      </c>
      <c r="AS25" s="130">
        <f t="shared" si="35"/>
        <v>0</v>
      </c>
      <c r="AT25" s="130">
        <f t="shared" si="35"/>
        <v>0</v>
      </c>
    </row>
    <row r="26" spans="1:46" s="1" customFormat="1" ht="14.25" customHeight="1" x14ac:dyDescent="0.25">
      <c r="A26" s="4">
        <f>PLANTILLA!A26</f>
        <v>0</v>
      </c>
      <c r="B26" s="4">
        <f>PLANTILLA!B26</f>
        <v>0</v>
      </c>
      <c r="C26" s="75">
        <f>PLANTILLA!D26</f>
        <v>0</v>
      </c>
      <c r="D26" s="54">
        <f>PLANTILLA!E26</f>
        <v>0</v>
      </c>
      <c r="E26" s="55">
        <f>PLANTILLA!F26</f>
        <v>0</v>
      </c>
      <c r="F26" s="70"/>
      <c r="G26" s="239">
        <f>PLANTILLA!H26</f>
        <v>0</v>
      </c>
      <c r="H26" s="56">
        <f>PLANTILLA!I26</f>
        <v>0</v>
      </c>
      <c r="I26" s="140">
        <f>PLANTILLA!X26</f>
        <v>0</v>
      </c>
      <c r="J26" s="140">
        <f>PLANTILLA!Y26</f>
        <v>0</v>
      </c>
      <c r="K26" s="140">
        <f>PLANTILLA!Z26</f>
        <v>0</v>
      </c>
      <c r="L26" s="140">
        <f>PLANTILLA!AA26</f>
        <v>0</v>
      </c>
      <c r="M26" s="140">
        <f>PLANTILLA!AB26</f>
        <v>0</v>
      </c>
      <c r="N26" s="140">
        <f>PLANTILLA!AC26</f>
        <v>0</v>
      </c>
      <c r="O26" s="140">
        <f>PLANTILLA!AD26</f>
        <v>0</v>
      </c>
      <c r="P26" s="69">
        <f t="shared" si="17"/>
        <v>0</v>
      </c>
      <c r="Q26" s="119">
        <f t="shared" si="18"/>
        <v>7</v>
      </c>
      <c r="R26" s="77">
        <f t="shared" si="19"/>
        <v>0</v>
      </c>
      <c r="S26" s="155">
        <f t="shared" si="20"/>
        <v>0</v>
      </c>
      <c r="T26" s="155">
        <f t="shared" si="21"/>
        <v>0</v>
      </c>
      <c r="U26" s="155">
        <f t="shared" si="22"/>
        <v>0</v>
      </c>
      <c r="V26" s="155">
        <f t="shared" si="23"/>
        <v>0</v>
      </c>
      <c r="W26" s="155">
        <f t="shared" si="24"/>
        <v>0</v>
      </c>
      <c r="X26" s="155">
        <f t="shared" si="25"/>
        <v>0</v>
      </c>
      <c r="Y26" s="155">
        <f t="shared" si="26"/>
        <v>0</v>
      </c>
      <c r="Z26" s="124">
        <f t="shared" si="27"/>
        <v>0</v>
      </c>
      <c r="AA26" s="124">
        <f t="shared" si="28"/>
        <v>0</v>
      </c>
      <c r="AB26" s="124">
        <f t="shared" si="29"/>
        <v>0</v>
      </c>
      <c r="AC26" s="124">
        <f t="shared" si="30"/>
        <v>0</v>
      </c>
      <c r="AD26" s="124">
        <f t="shared" si="31"/>
        <v>0</v>
      </c>
      <c r="AE26" s="124">
        <f t="shared" si="32"/>
        <v>0</v>
      </c>
      <c r="AF26" s="124">
        <f t="shared" si="33"/>
        <v>0</v>
      </c>
      <c r="AH26" s="126" t="s">
        <v>122</v>
      </c>
      <c r="AI26" s="4" t="str">
        <f t="shared" si="36"/>
        <v>R. Forsyth</v>
      </c>
      <c r="AJ26" s="128">
        <f t="shared" si="36"/>
        <v>0</v>
      </c>
      <c r="AK26" s="128">
        <f t="shared" si="36"/>
        <v>0</v>
      </c>
      <c r="AL26" s="128">
        <f t="shared" si="36"/>
        <v>0</v>
      </c>
      <c r="AM26" s="128">
        <f t="shared" si="36"/>
        <v>0</v>
      </c>
      <c r="AN26" s="128">
        <f t="shared" si="35"/>
        <v>0</v>
      </c>
      <c r="AO26" s="128">
        <f t="shared" si="35"/>
        <v>0</v>
      </c>
      <c r="AP26" s="128">
        <f t="shared" si="35"/>
        <v>0</v>
      </c>
      <c r="AQ26" s="130">
        <f t="shared" si="35"/>
        <v>0</v>
      </c>
      <c r="AR26" s="130">
        <f t="shared" si="35"/>
        <v>0</v>
      </c>
      <c r="AS26" s="130">
        <f t="shared" si="35"/>
        <v>0</v>
      </c>
      <c r="AT26" s="130">
        <f t="shared" si="35"/>
        <v>0</v>
      </c>
    </row>
    <row r="27" spans="1:46" x14ac:dyDescent="0.25">
      <c r="A27" s="4">
        <f>PLANTILLA!A27</f>
        <v>0</v>
      </c>
      <c r="B27" s="4">
        <f>PLANTILLA!B27</f>
        <v>0</v>
      </c>
      <c r="C27" s="75">
        <f>PLANTILLA!D27</f>
        <v>0</v>
      </c>
      <c r="D27" s="54">
        <f>PLANTILLA!E27</f>
        <v>0</v>
      </c>
      <c r="E27" s="55">
        <f>PLANTILLA!F27</f>
        <v>0</v>
      </c>
      <c r="F27" s="70">
        <f>PLANTILLA!G27</f>
        <v>0</v>
      </c>
      <c r="G27" s="239">
        <f>PLANTILLA!H27</f>
        <v>0</v>
      </c>
      <c r="H27" s="56">
        <f>PLANTILLA!I27</f>
        <v>0</v>
      </c>
      <c r="I27" s="140">
        <f>PLANTILLA!X27</f>
        <v>0</v>
      </c>
      <c r="J27" s="140">
        <f>PLANTILLA!Y27</f>
        <v>0</v>
      </c>
      <c r="K27" s="140">
        <f>PLANTILLA!Z27</f>
        <v>0</v>
      </c>
      <c r="L27" s="140">
        <f>PLANTILLA!AA27</f>
        <v>0</v>
      </c>
      <c r="M27" s="140">
        <f>PLANTILLA!AB27</f>
        <v>0</v>
      </c>
      <c r="N27" s="140">
        <f>PLANTILLA!AC27</f>
        <v>0</v>
      </c>
      <c r="O27" s="140">
        <f>PLANTILLA!AD27</f>
        <v>0</v>
      </c>
      <c r="P27" s="69">
        <f t="shared" si="17"/>
        <v>0</v>
      </c>
      <c r="Q27" s="119">
        <f t="shared" si="18"/>
        <v>7</v>
      </c>
      <c r="R27" s="77">
        <f t="shared" si="19"/>
        <v>0</v>
      </c>
      <c r="S27" s="155">
        <f t="shared" si="20"/>
        <v>0</v>
      </c>
      <c r="T27" s="155">
        <f t="shared" si="21"/>
        <v>0</v>
      </c>
      <c r="U27" s="155">
        <f t="shared" si="22"/>
        <v>0</v>
      </c>
      <c r="V27" s="155">
        <f t="shared" si="23"/>
        <v>0</v>
      </c>
      <c r="W27" s="155">
        <f t="shared" si="24"/>
        <v>0</v>
      </c>
      <c r="X27" s="155">
        <f t="shared" si="25"/>
        <v>0</v>
      </c>
      <c r="Y27" s="155">
        <f t="shared" si="26"/>
        <v>0</v>
      </c>
      <c r="Z27" s="124">
        <f t="shared" si="27"/>
        <v>0</v>
      </c>
      <c r="AA27" s="124">
        <f t="shared" si="28"/>
        <v>0</v>
      </c>
      <c r="AB27" s="124">
        <f t="shared" si="29"/>
        <v>0</v>
      </c>
      <c r="AC27" s="124">
        <f t="shared" si="30"/>
        <v>0</v>
      </c>
      <c r="AD27" s="124">
        <f t="shared" si="31"/>
        <v>0</v>
      </c>
      <c r="AE27" s="124">
        <f t="shared" si="32"/>
        <v>0</v>
      </c>
      <c r="AF27" s="124">
        <f t="shared" si="33"/>
        <v>0</v>
      </c>
      <c r="AH27" s="126" t="s">
        <v>392</v>
      </c>
      <c r="AI27" s="4" t="str">
        <f t="shared" si="36"/>
        <v>Dusty Ware</v>
      </c>
      <c r="AJ27" s="128">
        <f t="shared" si="36"/>
        <v>0</v>
      </c>
      <c r="AK27" s="128">
        <f t="shared" si="36"/>
        <v>0</v>
      </c>
      <c r="AL27" s="128">
        <f t="shared" si="36"/>
        <v>0</v>
      </c>
      <c r="AM27" s="128">
        <f t="shared" si="36"/>
        <v>0</v>
      </c>
      <c r="AN27" s="127">
        <f t="shared" si="35"/>
        <v>0</v>
      </c>
      <c r="AO27" s="127">
        <f t="shared" si="35"/>
        <v>0</v>
      </c>
      <c r="AP27" s="127">
        <f t="shared" si="35"/>
        <v>0</v>
      </c>
      <c r="AQ27" s="177">
        <f t="shared" si="35"/>
        <v>0</v>
      </c>
      <c r="AR27" s="177">
        <f t="shared" si="35"/>
        <v>0</v>
      </c>
      <c r="AS27" s="129">
        <f t="shared" si="35"/>
        <v>0</v>
      </c>
      <c r="AT27" s="129">
        <f t="shared" si="35"/>
        <v>0</v>
      </c>
    </row>
    <row r="28" spans="1:46" x14ac:dyDescent="0.25">
      <c r="A28" s="4"/>
      <c r="B28" s="4"/>
      <c r="C28" s="75"/>
      <c r="D28" s="54"/>
      <c r="E28" s="55"/>
      <c r="F28" s="70"/>
      <c r="G28" s="239"/>
      <c r="H28" s="56"/>
      <c r="I28" s="140"/>
      <c r="J28" s="140"/>
      <c r="K28" s="140"/>
      <c r="L28" s="140"/>
      <c r="M28" s="140"/>
      <c r="N28" s="140"/>
      <c r="O28" s="140"/>
      <c r="P28" s="69"/>
      <c r="Q28" s="119"/>
      <c r="R28" s="77"/>
      <c r="S28" s="155"/>
      <c r="T28" s="155"/>
      <c r="U28" s="155"/>
      <c r="V28" s="155"/>
      <c r="W28" s="155"/>
      <c r="X28" s="155"/>
      <c r="Y28" s="155"/>
      <c r="Z28" s="124"/>
      <c r="AA28" s="124"/>
      <c r="AB28" s="124"/>
      <c r="AC28" s="124"/>
      <c r="AD28" s="124"/>
      <c r="AE28" s="124"/>
      <c r="AF28" s="124"/>
      <c r="AH28" s="126" t="s">
        <v>392</v>
      </c>
      <c r="AI28" s="4" t="str">
        <f t="shared" si="36"/>
        <v>I. Conteanu</v>
      </c>
      <c r="AJ28" s="128">
        <f t="shared" si="36"/>
        <v>0</v>
      </c>
      <c r="AK28" s="128">
        <f t="shared" si="36"/>
        <v>0</v>
      </c>
      <c r="AL28" s="128">
        <f t="shared" si="36"/>
        <v>0</v>
      </c>
      <c r="AM28" s="128">
        <f t="shared" si="36"/>
        <v>0</v>
      </c>
      <c r="AN28" s="128">
        <f t="shared" si="35"/>
        <v>0</v>
      </c>
      <c r="AO28" s="128">
        <f t="shared" si="35"/>
        <v>0</v>
      </c>
      <c r="AP28" s="128">
        <f t="shared" si="35"/>
        <v>0</v>
      </c>
      <c r="AQ28" s="129">
        <f t="shared" si="35"/>
        <v>0</v>
      </c>
      <c r="AR28" s="129">
        <f t="shared" si="35"/>
        <v>0</v>
      </c>
      <c r="AS28" s="129">
        <f t="shared" si="35"/>
        <v>0</v>
      </c>
      <c r="AT28" s="129">
        <f t="shared" si="35"/>
        <v>0</v>
      </c>
    </row>
    <row r="29" spans="1:46" x14ac:dyDescent="0.25">
      <c r="A29" s="4"/>
      <c r="B29" s="4"/>
      <c r="C29" s="75"/>
      <c r="D29" s="54"/>
      <c r="E29" s="55"/>
      <c r="F29" s="70"/>
      <c r="G29" s="239"/>
      <c r="H29" s="56"/>
      <c r="I29" s="140"/>
      <c r="J29" s="140"/>
      <c r="K29" s="140"/>
      <c r="L29" s="140"/>
      <c r="M29" s="140"/>
      <c r="N29" s="140"/>
      <c r="O29" s="140"/>
      <c r="P29" s="69"/>
      <c r="Q29" s="119"/>
      <c r="R29" s="77"/>
      <c r="S29" s="155"/>
      <c r="T29" s="155"/>
      <c r="U29" s="155"/>
      <c r="V29" s="155"/>
      <c r="W29" s="155"/>
      <c r="X29" s="155"/>
      <c r="Y29" s="155"/>
      <c r="Z29" s="124"/>
      <c r="AA29" s="124"/>
      <c r="AB29" s="124"/>
      <c r="AC29" s="124"/>
      <c r="AD29" s="124"/>
      <c r="AE29" s="124"/>
      <c r="AF29" s="124"/>
      <c r="AH29" s="2"/>
    </row>
    <row r="30" spans="1:46" x14ac:dyDescent="0.25">
      <c r="S30" s="48"/>
      <c r="T30" s="48"/>
      <c r="U30" s="48"/>
      <c r="V30" s="48"/>
      <c r="W30" s="48"/>
      <c r="X30" s="48"/>
      <c r="Y30" s="48"/>
    </row>
    <row r="31" spans="1:46" x14ac:dyDescent="0.25">
      <c r="S31" s="48"/>
      <c r="T31" s="48"/>
      <c r="U31" s="48"/>
      <c r="V31" s="48"/>
      <c r="W31" s="48"/>
      <c r="X31" s="48"/>
      <c r="Y31" s="48"/>
    </row>
    <row r="32" spans="1:46" x14ac:dyDescent="0.25">
      <c r="S32" s="48"/>
      <c r="T32" s="48"/>
      <c r="U32" s="48"/>
      <c r="V32" s="48"/>
      <c r="W32" s="48"/>
      <c r="X32" s="48"/>
      <c r="Y32" s="48"/>
    </row>
    <row r="33" spans="19:25" x14ac:dyDescent="0.25">
      <c r="S33" s="48"/>
      <c r="T33" s="48"/>
      <c r="U33" s="48"/>
      <c r="V33" s="48"/>
      <c r="W33" s="48"/>
      <c r="X33" s="48"/>
      <c r="Y33" s="48"/>
    </row>
  </sheetData>
  <mergeCells count="4">
    <mergeCell ref="AH1:AT1"/>
    <mergeCell ref="D2:F2"/>
    <mergeCell ref="AH3:AI3"/>
    <mergeCell ref="AH17:AI17"/>
  </mergeCells>
  <conditionalFormatting sqref="AJ18:AL23">
    <cfRule type="cellIs" dxfId="18" priority="1" operator="greaterThan">
      <formula>0</formula>
    </cfRule>
  </conditionalFormatting>
  <conditionalFormatting sqref="S4:Y27">
    <cfRule type="colorScale" priority="2">
      <colorScale>
        <cfvo type="min"/>
        <cfvo type="max"/>
        <color rgb="FFFCFCFF"/>
        <color rgb="FFF8696B"/>
      </colorScale>
    </cfRule>
  </conditionalFormatting>
  <conditionalFormatting sqref="AJ16:AP16">
    <cfRule type="cellIs" dxfId="17" priority="3" operator="greaterThan">
      <formula>0</formula>
    </cfRule>
  </conditionalFormatting>
  <conditionalFormatting sqref="AJ2:AP2">
    <cfRule type="cellIs" dxfId="16" priority="4" operator="greaterThan">
      <formula>0</formula>
    </cfRule>
  </conditionalFormatting>
  <conditionalFormatting sqref="AO20">
    <cfRule type="cellIs" dxfId="15" priority="5" operator="greaterThan">
      <formula>0</formula>
    </cfRule>
  </conditionalFormatting>
  <conditionalFormatting sqref="AN28:AP28">
    <cfRule type="cellIs" dxfId="14" priority="6" operator="greaterThan">
      <formula>0</formula>
    </cfRule>
  </conditionalFormatting>
  <conditionalFormatting sqref="AM14:AP14">
    <cfRule type="cellIs" dxfId="13" priority="7" operator="greaterThan">
      <formula>0</formula>
    </cfRule>
  </conditionalFormatting>
  <conditionalFormatting sqref="AN27:AP27">
    <cfRule type="cellIs" dxfId="12" priority="8" operator="greaterThan">
      <formula>0</formula>
    </cfRule>
  </conditionalFormatting>
  <conditionalFormatting sqref="AN26:AP26">
    <cfRule type="cellIs" dxfId="11" priority="9" operator="greaterThan">
      <formula>0</formula>
    </cfRule>
  </conditionalFormatting>
  <conditionalFormatting sqref="AN25:AP25">
    <cfRule type="cellIs" dxfId="10" priority="10" operator="greaterThan">
      <formula>0</formula>
    </cfRule>
  </conditionalFormatting>
  <conditionalFormatting sqref="AM23:AP23">
    <cfRule type="cellIs" dxfId="9" priority="11" operator="greaterThan">
      <formula>0</formula>
    </cfRule>
  </conditionalFormatting>
  <conditionalFormatting sqref="AM18:AP18">
    <cfRule type="cellIs" dxfId="8" priority="12" operator="greaterThan">
      <formula>0</formula>
    </cfRule>
  </conditionalFormatting>
  <conditionalFormatting sqref="AM19:AP19 AM20:AN20 AP20 AM21:AP22 AJ24:AP24 AJ25:AM28">
    <cfRule type="cellIs" dxfId="7" priority="13" operator="greaterThan">
      <formula>0</formula>
    </cfRule>
  </conditionalFormatting>
  <conditionalFormatting sqref="AJ4:AP13 AJ14:AL14">
    <cfRule type="cellIs" dxfId="6" priority="14" operator="greaterThan">
      <formula>0</formula>
    </cfRule>
  </conditionalFormatting>
  <conditionalFormatting sqref="Z4:AF29">
    <cfRule type="cellIs" dxfId="5" priority="15" operator="greaterThan">
      <formula>0</formula>
    </cfRule>
  </conditionalFormatting>
  <conditionalFormatting sqref="I4:O29">
    <cfRule type="cellIs" dxfId="4" priority="16" operator="greaterThan">
      <formula>8</formula>
    </cfRule>
  </conditionalFormatting>
  <conditionalFormatting sqref="I4:O29">
    <cfRule type="colorScale" priority="17">
      <colorScale>
        <cfvo type="min"/>
        <cfvo type="max"/>
        <color rgb="FFFFEF9C"/>
        <color rgb="FFFF7128"/>
      </colorScale>
    </cfRule>
  </conditionalFormatting>
  <conditionalFormatting sqref="S28:Y29">
    <cfRule type="colorScale" priority="18">
      <colorScale>
        <cfvo type="min"/>
        <cfvo type="max"/>
        <color rgb="FFFFEF9C"/>
        <color rgb="FF63BE7B"/>
      </colorScale>
    </cfRule>
  </conditionalFormatting>
  <conditionalFormatting sqref="H4:H2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0833299999999999" right="0.70833299999999999" top="0.74791700000000005" bottom="0.74791700000000005" header="0.315278" footer="0.315278"/>
  <pageSetup paperSize="9" scale="55" fitToWidth="0" orientation="landscape"/>
  <legacyDrawing r:id="rId1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ABF8F"/>
  </sheetPr>
  <dimension ref="A1:AG34"/>
  <sheetViews>
    <sheetView zoomScale="90" workbookViewId="0">
      <selection activeCell="G25" sqref="G25"/>
    </sheetView>
  </sheetViews>
  <sheetFormatPr baseColWidth="10" defaultColWidth="11.42578125" defaultRowHeight="15" x14ac:dyDescent="0.25"/>
  <cols>
    <col min="1" max="1" width="13.28515625" style="57" customWidth="1"/>
    <col min="2" max="2" width="14.28515625" style="57" customWidth="1"/>
    <col min="3" max="10" width="8.28515625" style="57" customWidth="1"/>
    <col min="11" max="11" width="9.28515625" style="57" customWidth="1"/>
    <col min="12" max="12" width="8.28515625" style="57" customWidth="1"/>
    <col min="14" max="14" width="13.42578125" customWidth="1"/>
    <col min="15" max="15" width="15" customWidth="1"/>
    <col min="16" max="22" width="8.42578125" customWidth="1"/>
    <col min="23" max="23" width="7.85546875" customWidth="1"/>
    <col min="24" max="24" width="7.140625" customWidth="1"/>
    <col min="25" max="25" width="7.7109375" style="139" customWidth="1"/>
    <col min="26" max="26" width="7.140625" customWidth="1"/>
    <col min="27" max="27" width="7.7109375" customWidth="1"/>
    <col min="28" max="28" width="7.140625" customWidth="1"/>
    <col min="29" max="29" width="7.7109375" customWidth="1"/>
    <col min="30" max="31" width="8.42578125" customWidth="1"/>
    <col min="32" max="33" width="7.140625" customWidth="1"/>
  </cols>
  <sheetData>
    <row r="1" spans="1:33" x14ac:dyDescent="0.25">
      <c r="B1" s="2" t="s">
        <v>393</v>
      </c>
      <c r="C1" s="184">
        <f t="shared" ref="C1:L1" si="0">MAX(C3:C27)</f>
        <v>7.6541020779221203E-2</v>
      </c>
      <c r="D1" s="184">
        <f t="shared" si="0"/>
        <v>9.5167093706293476E-2</v>
      </c>
      <c r="E1" s="184">
        <f t="shared" si="0"/>
        <v>0.10114897692307692</v>
      </c>
      <c r="F1" s="184">
        <f t="shared" si="0"/>
        <v>5.254696863959811E-2</v>
      </c>
      <c r="G1" s="184">
        <f t="shared" si="0"/>
        <v>5.2239892473118131E-2</v>
      </c>
      <c r="H1" s="184">
        <f t="shared" si="0"/>
        <v>8.0176190476190193E-2</v>
      </c>
      <c r="I1" s="184">
        <f t="shared" si="0"/>
        <v>5.7961761904761842E-2</v>
      </c>
      <c r="J1" s="184">
        <f t="shared" si="0"/>
        <v>0</v>
      </c>
      <c r="K1" s="184">
        <f t="shared" si="0"/>
        <v>3.6222627372627401E-2</v>
      </c>
      <c r="L1" s="184">
        <f t="shared" si="0"/>
        <v>0.16964285714285698</v>
      </c>
      <c r="N1" s="57"/>
      <c r="O1" s="57"/>
      <c r="P1" s="156"/>
      <c r="Q1" s="156"/>
      <c r="R1" s="156"/>
      <c r="S1" s="156"/>
      <c r="T1" s="156"/>
      <c r="U1" s="156"/>
      <c r="V1" s="156"/>
      <c r="W1" s="156"/>
      <c r="X1" s="156"/>
      <c r="Y1" s="214"/>
      <c r="Z1" s="156"/>
      <c r="AA1" s="156"/>
      <c r="AB1" s="156"/>
      <c r="AC1" s="156"/>
      <c r="AD1" s="156"/>
      <c r="AE1" s="156"/>
      <c r="AF1" s="156"/>
      <c r="AG1" s="156"/>
    </row>
    <row r="2" spans="1:33" x14ac:dyDescent="0.25">
      <c r="A2" s="209" t="s">
        <v>394</v>
      </c>
      <c r="B2" s="210" t="s">
        <v>395</v>
      </c>
      <c r="C2" s="92" t="s">
        <v>381</v>
      </c>
      <c r="D2" s="159" t="s">
        <v>382</v>
      </c>
      <c r="E2" s="159" t="s">
        <v>383</v>
      </c>
      <c r="F2" s="159" t="s">
        <v>384</v>
      </c>
      <c r="G2" s="159" t="s">
        <v>385</v>
      </c>
      <c r="H2" s="159" t="s">
        <v>386</v>
      </c>
      <c r="I2" s="159" t="s">
        <v>387</v>
      </c>
      <c r="J2" s="159" t="s">
        <v>388</v>
      </c>
      <c r="K2" s="159" t="s">
        <v>389</v>
      </c>
      <c r="L2" s="159" t="s">
        <v>276</v>
      </c>
      <c r="N2" s="209" t="s">
        <v>394</v>
      </c>
      <c r="O2" s="210" t="s">
        <v>395</v>
      </c>
      <c r="P2" s="92" t="s">
        <v>381</v>
      </c>
      <c r="Q2" s="159" t="s">
        <v>396</v>
      </c>
      <c r="R2" s="159" t="s">
        <v>382</v>
      </c>
      <c r="S2" s="159" t="s">
        <v>396</v>
      </c>
      <c r="T2" s="159" t="s">
        <v>383</v>
      </c>
      <c r="U2" s="159" t="s">
        <v>396</v>
      </c>
      <c r="V2" s="159" t="s">
        <v>384</v>
      </c>
      <c r="W2" s="159" t="s">
        <v>396</v>
      </c>
      <c r="X2" s="159" t="s">
        <v>385</v>
      </c>
      <c r="Y2" s="159" t="s">
        <v>396</v>
      </c>
      <c r="Z2" s="159" t="s">
        <v>386</v>
      </c>
      <c r="AA2" s="159" t="s">
        <v>396</v>
      </c>
      <c r="AB2" s="159" t="s">
        <v>387</v>
      </c>
      <c r="AC2" s="159" t="s">
        <v>396</v>
      </c>
      <c r="AD2" s="181" t="s">
        <v>388</v>
      </c>
      <c r="AE2" s="181" t="s">
        <v>396</v>
      </c>
      <c r="AF2" s="181" t="s">
        <v>389</v>
      </c>
      <c r="AG2" s="181" t="s">
        <v>396</v>
      </c>
    </row>
    <row r="3" spans="1:33" x14ac:dyDescent="0.25">
      <c r="A3" s="158" t="s">
        <v>397</v>
      </c>
      <c r="B3" s="157" t="s">
        <v>398</v>
      </c>
      <c r="C3" s="167"/>
      <c r="D3" s="168"/>
      <c r="E3" s="168"/>
      <c r="F3" s="168"/>
      <c r="G3" s="168"/>
      <c r="H3" s="168"/>
      <c r="I3" s="168"/>
      <c r="J3" s="168"/>
      <c r="K3" s="168"/>
      <c r="L3" s="168"/>
      <c r="N3" s="69" t="s">
        <v>397</v>
      </c>
      <c r="O3" s="157" t="s">
        <v>398</v>
      </c>
      <c r="P3" s="170">
        <f>C3/$C$4</f>
        <v>0</v>
      </c>
      <c r="Q3" s="222" t="e">
        <f>1/C3</f>
        <v>#DIV/0!</v>
      </c>
      <c r="R3" s="170">
        <f>D3/D1</f>
        <v>0</v>
      </c>
      <c r="S3" s="222" t="e">
        <f>1/D3</f>
        <v>#DIV/0!</v>
      </c>
      <c r="T3" s="170">
        <f>E3/E1</f>
        <v>0</v>
      </c>
      <c r="U3" s="222" t="e">
        <f>1/E3</f>
        <v>#DIV/0!</v>
      </c>
      <c r="V3" s="171"/>
      <c r="W3" s="171"/>
      <c r="X3" s="171"/>
      <c r="Y3" s="215"/>
      <c r="Z3" s="171"/>
      <c r="AA3" s="171"/>
      <c r="AB3" s="171"/>
      <c r="AC3" s="171"/>
      <c r="AD3" s="171"/>
      <c r="AE3" s="171"/>
      <c r="AF3" s="171">
        <f>K3/K1</f>
        <v>0</v>
      </c>
      <c r="AG3" s="215"/>
    </row>
    <row r="4" spans="1:33" x14ac:dyDescent="0.25">
      <c r="A4" s="562" t="s">
        <v>399</v>
      </c>
      <c r="B4" s="165" t="s">
        <v>190</v>
      </c>
      <c r="C4" s="185">
        <v>5.9340247552447697E-2</v>
      </c>
      <c r="D4" s="180">
        <v>6.8999559240759498E-2</v>
      </c>
      <c r="E4" s="180">
        <v>7.5579372027972047E-2</v>
      </c>
      <c r="F4" s="180"/>
      <c r="G4" s="180"/>
      <c r="H4" s="180"/>
      <c r="I4" s="180"/>
      <c r="J4" s="180">
        <v>0</v>
      </c>
      <c r="K4" s="180">
        <v>3.6222627372627401E-2</v>
      </c>
      <c r="L4" s="180"/>
      <c r="N4" s="562" t="s">
        <v>399</v>
      </c>
      <c r="O4" s="165" t="s">
        <v>190</v>
      </c>
      <c r="P4" s="172">
        <f>C4/$C$1</f>
        <v>0.77527379369046712</v>
      </c>
      <c r="Q4" s="216">
        <f>1/C4</f>
        <v>16.851968794301929</v>
      </c>
      <c r="R4" s="173">
        <f>D4/$D$1</f>
        <v>0.72503589795131573</v>
      </c>
      <c r="S4" s="216">
        <f>1/D4</f>
        <v>14.492846200809916</v>
      </c>
      <c r="T4" s="173">
        <f>E4/$E$1</f>
        <v>0.74720846742176761</v>
      </c>
      <c r="U4" s="216">
        <f>1/E4</f>
        <v>13.231123429153373</v>
      </c>
      <c r="V4" s="173"/>
      <c r="W4" s="173"/>
      <c r="X4" s="172"/>
      <c r="Y4" s="216"/>
      <c r="Z4" s="173"/>
      <c r="AA4" s="173"/>
      <c r="AB4" s="173"/>
      <c r="AC4" s="173"/>
      <c r="AD4" s="172"/>
      <c r="AE4" s="172"/>
      <c r="AF4" s="172">
        <f>K4/K1</f>
        <v>1</v>
      </c>
      <c r="AG4" s="220"/>
    </row>
    <row r="5" spans="1:33" x14ac:dyDescent="0.25">
      <c r="A5" s="562"/>
      <c r="B5" s="165" t="s">
        <v>191</v>
      </c>
      <c r="C5" s="182"/>
      <c r="D5" s="169"/>
      <c r="E5" s="169"/>
      <c r="F5" s="169">
        <v>5.254696863959811E-2</v>
      </c>
      <c r="G5" s="169"/>
      <c r="H5" s="169"/>
      <c r="I5" s="169"/>
      <c r="J5" s="169"/>
      <c r="K5" s="169"/>
      <c r="L5" s="169"/>
      <c r="N5" s="562"/>
      <c r="O5" s="165" t="s">
        <v>191</v>
      </c>
      <c r="P5" s="174"/>
      <c r="Q5" s="217"/>
      <c r="R5" s="161"/>
      <c r="S5" s="217"/>
      <c r="T5" s="161"/>
      <c r="U5" s="217"/>
      <c r="V5" s="161">
        <f>F5/F1</f>
        <v>1</v>
      </c>
      <c r="W5" s="217">
        <f>1/F5</f>
        <v>19.03059350309362</v>
      </c>
      <c r="X5" s="174"/>
      <c r="Y5" s="217"/>
      <c r="Z5" s="161"/>
      <c r="AA5" s="161"/>
      <c r="AB5" s="161"/>
      <c r="AC5" s="161"/>
      <c r="AD5" s="174"/>
      <c r="AE5" s="174"/>
      <c r="AF5" s="174"/>
      <c r="AG5" s="219"/>
    </row>
    <row r="6" spans="1:33" x14ac:dyDescent="0.25">
      <c r="A6" s="562"/>
      <c r="B6" s="165" t="s">
        <v>400</v>
      </c>
      <c r="C6" s="182"/>
      <c r="D6" s="169"/>
      <c r="E6" s="169"/>
      <c r="F6" s="169"/>
      <c r="G6" s="169">
        <v>3.9584999999999822E-2</v>
      </c>
      <c r="H6" s="169">
        <v>6.3542692307692147E-2</v>
      </c>
      <c r="I6" s="169">
        <v>0</v>
      </c>
      <c r="J6" s="169"/>
      <c r="K6" s="169"/>
      <c r="L6" s="169"/>
      <c r="N6" s="562"/>
      <c r="O6" s="165" t="s">
        <v>400</v>
      </c>
      <c r="P6" s="174"/>
      <c r="Q6" s="217"/>
      <c r="R6" s="161"/>
      <c r="S6" s="217"/>
      <c r="T6" s="161"/>
      <c r="U6" s="217"/>
      <c r="V6" s="161"/>
      <c r="W6" s="217"/>
      <c r="X6" s="174">
        <f>G6/$G$1</f>
        <v>0.75775423964300215</v>
      </c>
      <c r="Y6" s="217">
        <f>1/G6</f>
        <v>25.262094227611584</v>
      </c>
      <c r="Z6" s="161">
        <f>H6/$H$1</f>
        <v>0.79253818284821509</v>
      </c>
      <c r="AA6" s="217">
        <f>1/H6</f>
        <v>15.737450896126811</v>
      </c>
      <c r="AB6" s="161">
        <f>I6/$I$1</f>
        <v>0</v>
      </c>
      <c r="AC6" s="161"/>
      <c r="AD6" s="174"/>
      <c r="AE6" s="174"/>
      <c r="AF6" s="174"/>
      <c r="AG6" s="219"/>
    </row>
    <row r="7" spans="1:33" x14ac:dyDescent="0.25">
      <c r="A7" s="562"/>
      <c r="B7" s="165" t="s">
        <v>401</v>
      </c>
      <c r="C7" s="182"/>
      <c r="D7" s="169"/>
      <c r="E7" s="169"/>
      <c r="F7" s="169"/>
      <c r="G7" s="169">
        <v>3.3714285714285648E-2</v>
      </c>
      <c r="H7" s="169">
        <v>3.433928571428569E-2</v>
      </c>
      <c r="I7" s="169">
        <v>4.9198011904761835E-2</v>
      </c>
      <c r="J7" s="169"/>
      <c r="K7" s="169"/>
      <c r="L7" s="169"/>
      <c r="N7" s="562"/>
      <c r="O7" s="165" t="s">
        <v>401</v>
      </c>
      <c r="P7" s="174"/>
      <c r="Q7" s="217"/>
      <c r="R7" s="161"/>
      <c r="S7" s="217"/>
      <c r="T7" s="161"/>
      <c r="U7" s="217"/>
      <c r="V7" s="161"/>
      <c r="W7" s="217"/>
      <c r="X7" s="174">
        <f>G7/$G$1</f>
        <v>0.64537433210902029</v>
      </c>
      <c r="Y7" s="217">
        <f>1/G7</f>
        <v>29.6610169491526</v>
      </c>
      <c r="Z7" s="161">
        <f>H7/$H$1</f>
        <v>0.42829779651957123</v>
      </c>
      <c r="AA7" s="217">
        <f>1/H7</f>
        <v>29.121164846593885</v>
      </c>
      <c r="AB7" s="161">
        <f>I7/$I$1</f>
        <v>0.84880118008835026</v>
      </c>
      <c r="AC7" s="217">
        <f>1/I7</f>
        <v>20.326024594973742</v>
      </c>
      <c r="AD7" s="174"/>
      <c r="AE7" s="174"/>
      <c r="AF7" s="174"/>
      <c r="AG7" s="219"/>
    </row>
    <row r="8" spans="1:33" x14ac:dyDescent="0.25">
      <c r="A8" s="562"/>
      <c r="B8" s="165" t="s">
        <v>171</v>
      </c>
      <c r="C8" s="182"/>
      <c r="D8" s="169"/>
      <c r="E8" s="169"/>
      <c r="F8" s="169"/>
      <c r="G8" s="169"/>
      <c r="H8" s="169"/>
      <c r="I8" s="169"/>
      <c r="J8" s="169"/>
      <c r="K8" s="169"/>
      <c r="L8" s="169"/>
      <c r="N8" s="562"/>
      <c r="O8" s="165" t="s">
        <v>171</v>
      </c>
      <c r="P8" s="174"/>
      <c r="Q8" s="217"/>
      <c r="R8" s="161"/>
      <c r="S8" s="217"/>
      <c r="T8" s="161"/>
      <c r="U8" s="217"/>
      <c r="V8" s="161"/>
      <c r="W8" s="217"/>
      <c r="X8" s="174"/>
      <c r="Y8" s="217"/>
      <c r="Z8" s="161"/>
      <c r="AA8" s="217"/>
      <c r="AB8" s="161"/>
      <c r="AC8" s="217"/>
      <c r="AD8" s="174"/>
      <c r="AE8" s="219"/>
      <c r="AF8" s="174"/>
      <c r="AG8" s="219"/>
    </row>
    <row r="9" spans="1:33" x14ac:dyDescent="0.25">
      <c r="A9" s="562"/>
      <c r="B9" s="165" t="s">
        <v>172</v>
      </c>
      <c r="C9" s="183"/>
      <c r="D9" s="160"/>
      <c r="E9" s="160"/>
      <c r="F9" s="160"/>
      <c r="G9" s="160"/>
      <c r="H9" s="160"/>
      <c r="I9" s="160"/>
      <c r="J9" s="160"/>
      <c r="K9" s="160"/>
      <c r="L9" s="160"/>
      <c r="N9" s="562"/>
      <c r="O9" s="165" t="s">
        <v>172</v>
      </c>
      <c r="P9" s="175"/>
      <c r="Q9" s="218"/>
      <c r="R9" s="162"/>
      <c r="S9" s="218"/>
      <c r="T9" s="162"/>
      <c r="U9" s="218"/>
      <c r="V9" s="162"/>
      <c r="W9" s="218"/>
      <c r="X9" s="175"/>
      <c r="Y9" s="218"/>
      <c r="Z9" s="162"/>
      <c r="AA9" s="162"/>
      <c r="AB9" s="162"/>
      <c r="AC9" s="162"/>
      <c r="AD9" s="175" t="e">
        <f>J9/$J$1</f>
        <v>#DIV/0!</v>
      </c>
      <c r="AE9" s="221" t="e">
        <f>1/J9</f>
        <v>#DIV/0!</v>
      </c>
      <c r="AF9" s="175">
        <f>K9/$K$1</f>
        <v>0</v>
      </c>
      <c r="AG9" s="221" t="e">
        <f>1/K9</f>
        <v>#DIV/0!</v>
      </c>
    </row>
    <row r="10" spans="1:33" x14ac:dyDescent="0.25">
      <c r="A10" s="561" t="s">
        <v>402</v>
      </c>
      <c r="B10" s="166" t="s">
        <v>190</v>
      </c>
      <c r="C10" s="185">
        <v>4.0980247552447772E-2</v>
      </c>
      <c r="D10" s="180">
        <v>7.0304873926074096E-2</v>
      </c>
      <c r="E10" s="180">
        <v>4.057937202797221E-2</v>
      </c>
      <c r="F10" s="180"/>
      <c r="G10" s="180"/>
      <c r="H10" s="180"/>
      <c r="I10" s="180"/>
      <c r="J10" s="180">
        <v>0</v>
      </c>
      <c r="K10" s="180">
        <v>3.0871978021978067E-2</v>
      </c>
      <c r="L10" s="180"/>
      <c r="N10" s="561" t="s">
        <v>402</v>
      </c>
      <c r="O10" s="166" t="s">
        <v>190</v>
      </c>
      <c r="P10" s="174">
        <f>C10/$C$1</f>
        <v>0.53540241736066307</v>
      </c>
      <c r="Q10" s="216">
        <f>1/C10</f>
        <v>24.401999981092587</v>
      </c>
      <c r="R10" s="173">
        <f>D10/$D$1</f>
        <v>0.73875192766788023</v>
      </c>
      <c r="S10" s="216">
        <f>1/D10</f>
        <v>14.223764927755999</v>
      </c>
      <c r="T10" s="173">
        <f>E10/$E$1</f>
        <v>0.40118420632996155</v>
      </c>
      <c r="U10" s="216">
        <f>1/E10</f>
        <v>24.643062472989456</v>
      </c>
      <c r="V10" s="161"/>
      <c r="W10" s="217"/>
      <c r="X10" s="174"/>
      <c r="Y10" s="217"/>
      <c r="Z10" s="161"/>
      <c r="AA10" s="161"/>
      <c r="AB10" s="161"/>
      <c r="AC10" s="161"/>
      <c r="AD10" s="174"/>
      <c r="AE10" s="161"/>
      <c r="AF10" s="161">
        <f>K10/K1</f>
        <v>0.85228433885796218</v>
      </c>
      <c r="AG10" s="217"/>
    </row>
    <row r="11" spans="1:33" x14ac:dyDescent="0.25">
      <c r="A11" s="562"/>
      <c r="B11" s="165" t="s">
        <v>191</v>
      </c>
      <c r="C11" s="182"/>
      <c r="D11" s="169"/>
      <c r="E11" s="169"/>
      <c r="F11" s="169">
        <v>5.1022557865187314E-2</v>
      </c>
      <c r="G11" s="169"/>
      <c r="H11" s="169"/>
      <c r="I11" s="169"/>
      <c r="J11" s="169"/>
      <c r="K11" s="169"/>
      <c r="L11" s="169"/>
      <c r="N11" s="562"/>
      <c r="O11" s="165" t="s">
        <v>191</v>
      </c>
      <c r="P11" s="174"/>
      <c r="Q11" s="217"/>
      <c r="R11" s="161"/>
      <c r="S11" s="217"/>
      <c r="T11" s="161"/>
      <c r="U11" s="217"/>
      <c r="V11" s="161">
        <f>F11/F1</f>
        <v>0.97098955822045196</v>
      </c>
      <c r="W11" s="217">
        <f>1/F11</f>
        <v>19.599174205303804</v>
      </c>
      <c r="X11" s="174"/>
      <c r="Y11" s="217"/>
      <c r="Z11" s="161"/>
      <c r="AA11" s="161"/>
      <c r="AB11" s="161"/>
      <c r="AC11" s="161"/>
      <c r="AD11" s="174"/>
      <c r="AE11" s="161"/>
      <c r="AF11" s="161"/>
      <c r="AG11" s="217"/>
    </row>
    <row r="12" spans="1:33" x14ac:dyDescent="0.25">
      <c r="A12" s="562"/>
      <c r="B12" s="165" t="s">
        <v>400</v>
      </c>
      <c r="C12" s="182"/>
      <c r="D12" s="169"/>
      <c r="E12" s="169"/>
      <c r="F12" s="169"/>
      <c r="G12" s="169">
        <v>4.221595238095216E-2</v>
      </c>
      <c r="H12" s="169">
        <v>6.617364468864452E-2</v>
      </c>
      <c r="I12" s="169">
        <v>0</v>
      </c>
      <c r="J12" s="169"/>
      <c r="K12" s="169"/>
      <c r="L12" s="169"/>
      <c r="N12" s="562"/>
      <c r="O12" s="165" t="s">
        <v>400</v>
      </c>
      <c r="P12" s="174"/>
      <c r="Q12" s="217"/>
      <c r="R12" s="161"/>
      <c r="S12" s="217"/>
      <c r="T12" s="161"/>
      <c r="U12" s="217"/>
      <c r="V12" s="161"/>
      <c r="W12" s="217"/>
      <c r="X12" s="174">
        <f>G12/$G$1</f>
        <v>0.80811713773484239</v>
      </c>
      <c r="Y12" s="217">
        <f>1/G12</f>
        <v>23.687728064881938</v>
      </c>
      <c r="Z12" s="161">
        <f>H12/$H$1</f>
        <v>0.82535281728427856</v>
      </c>
      <c r="AA12" s="217">
        <f>1/H12</f>
        <v>15.111756420628305</v>
      </c>
      <c r="AB12" s="161">
        <f>I12/$I$1</f>
        <v>0</v>
      </c>
      <c r="AC12" s="217"/>
      <c r="AD12" s="174"/>
      <c r="AE12" s="161"/>
      <c r="AF12" s="161"/>
      <c r="AG12" s="217"/>
    </row>
    <row r="13" spans="1:33" x14ac:dyDescent="0.25">
      <c r="A13" s="562"/>
      <c r="B13" s="165" t="s">
        <v>401</v>
      </c>
      <c r="C13" s="182"/>
      <c r="D13" s="169"/>
      <c r="E13" s="169"/>
      <c r="F13" s="169"/>
      <c r="G13" s="169">
        <v>3.8151785714285645E-2</v>
      </c>
      <c r="H13" s="169">
        <v>3.8776785714285687E-2</v>
      </c>
      <c r="I13" s="169">
        <v>5.7961761904761842E-2</v>
      </c>
      <c r="J13" s="169"/>
      <c r="K13" s="169"/>
      <c r="L13" s="169"/>
      <c r="N13" s="562"/>
      <c r="O13" s="165" t="s">
        <v>401</v>
      </c>
      <c r="P13" s="174"/>
      <c r="Q13" s="217"/>
      <c r="R13" s="161"/>
      <c r="S13" s="217"/>
      <c r="T13" s="161"/>
      <c r="U13" s="217"/>
      <c r="V13" s="161"/>
      <c r="W13" s="217"/>
      <c r="X13" s="174">
        <f>G13/$G$1</f>
        <v>0.73031899393586974</v>
      </c>
      <c r="Y13" s="217">
        <f>1/G13</f>
        <v>26.211092908963305</v>
      </c>
      <c r="Z13" s="161">
        <f>H13/$H$1</f>
        <v>0.48364465166003584</v>
      </c>
      <c r="AA13" s="217">
        <f>1/H13</f>
        <v>25.788625374165342</v>
      </c>
      <c r="AB13" s="161">
        <f>I13/$I$1</f>
        <v>1</v>
      </c>
      <c r="AC13" s="217">
        <f>1/I13</f>
        <v>17.252753662718543</v>
      </c>
      <c r="AD13" s="174"/>
      <c r="AE13" s="161"/>
      <c r="AF13" s="161"/>
      <c r="AG13" s="217"/>
    </row>
    <row r="14" spans="1:33" x14ac:dyDescent="0.25">
      <c r="A14" s="562"/>
      <c r="B14" s="165" t="s">
        <v>171</v>
      </c>
      <c r="C14" s="182"/>
      <c r="D14" s="169"/>
      <c r="E14" s="169"/>
      <c r="F14" s="169"/>
      <c r="G14" s="169"/>
      <c r="H14" s="169"/>
      <c r="I14" s="169"/>
      <c r="J14" s="169"/>
      <c r="K14" s="169"/>
      <c r="L14" s="169"/>
      <c r="N14" s="562"/>
      <c r="O14" s="165" t="s">
        <v>171</v>
      </c>
      <c r="P14" s="174"/>
      <c r="Q14" s="217"/>
      <c r="R14" s="161"/>
      <c r="S14" s="217"/>
      <c r="T14" s="161"/>
      <c r="U14" s="217"/>
      <c r="V14" s="161"/>
      <c r="W14" s="217"/>
      <c r="X14" s="174"/>
      <c r="Y14" s="217"/>
      <c r="Z14" s="161"/>
      <c r="AA14" s="217"/>
      <c r="AB14" s="161"/>
      <c r="AC14" s="217"/>
      <c r="AD14" s="174"/>
      <c r="AE14" s="219"/>
      <c r="AF14" s="174"/>
      <c r="AG14" s="219"/>
    </row>
    <row r="15" spans="1:33" x14ac:dyDescent="0.25">
      <c r="A15" s="562"/>
      <c r="B15" s="165" t="s">
        <v>172</v>
      </c>
      <c r="C15" s="183"/>
      <c r="D15" s="160"/>
      <c r="E15" s="160"/>
      <c r="F15" s="160"/>
      <c r="G15" s="160"/>
      <c r="H15" s="160"/>
      <c r="I15" s="160"/>
      <c r="J15" s="160"/>
      <c r="K15" s="160"/>
      <c r="L15" s="160"/>
      <c r="N15" s="562"/>
      <c r="O15" s="165" t="s">
        <v>172</v>
      </c>
      <c r="P15" s="175"/>
      <c r="Q15" s="218"/>
      <c r="R15" s="162"/>
      <c r="S15" s="218"/>
      <c r="T15" s="162"/>
      <c r="U15" s="218"/>
      <c r="V15" s="162"/>
      <c r="W15" s="218"/>
      <c r="X15" s="175"/>
      <c r="Y15" s="218"/>
      <c r="Z15" s="162"/>
      <c r="AA15" s="162"/>
      <c r="AB15" s="162"/>
      <c r="AC15" s="162"/>
      <c r="AD15" s="175" t="e">
        <f>J15/$J$1</f>
        <v>#DIV/0!</v>
      </c>
      <c r="AE15" s="221" t="e">
        <f>1/J15</f>
        <v>#DIV/0!</v>
      </c>
      <c r="AF15" s="175">
        <f>K15/$K$1</f>
        <v>0</v>
      </c>
      <c r="AG15" s="221" t="e">
        <f>1/K15</f>
        <v>#DIV/0!</v>
      </c>
    </row>
    <row r="16" spans="1:33" x14ac:dyDescent="0.25">
      <c r="A16" s="561" t="s">
        <v>403</v>
      </c>
      <c r="B16" s="166" t="s">
        <v>190</v>
      </c>
      <c r="C16" s="182">
        <v>5.8181020779221264E-2</v>
      </c>
      <c r="D16" s="169">
        <v>7.6807093706293572E-2</v>
      </c>
      <c r="E16" s="169">
        <v>6.614897692307703E-2</v>
      </c>
      <c r="F16" s="169"/>
      <c r="G16" s="169"/>
      <c r="H16" s="169"/>
      <c r="I16" s="169"/>
      <c r="J16" s="169">
        <v>0</v>
      </c>
      <c r="K16" s="169">
        <v>2.9990859140859208E-2</v>
      </c>
      <c r="L16" s="169">
        <v>4.1477272727272967E-2</v>
      </c>
      <c r="N16" s="561" t="s">
        <v>403</v>
      </c>
      <c r="O16" s="166" t="s">
        <v>190</v>
      </c>
      <c r="P16" s="174">
        <f>C16/$C$1</f>
        <v>0.76012862367019574</v>
      </c>
      <c r="Q16" s="216">
        <f>1/C16</f>
        <v>17.18773556405424</v>
      </c>
      <c r="R16" s="173">
        <f>D16/$D$1</f>
        <v>0.80707617218339256</v>
      </c>
      <c r="S16" s="216">
        <f>1/D16</f>
        <v>13.019630762543226</v>
      </c>
      <c r="T16" s="173">
        <f>E16/$E$1</f>
        <v>0.65397573890819338</v>
      </c>
      <c r="U16" s="216">
        <f>1/E16</f>
        <v>15.117391780115884</v>
      </c>
      <c r="V16" s="161"/>
      <c r="W16" s="217"/>
      <c r="X16" s="161"/>
      <c r="Y16" s="217"/>
      <c r="Z16" s="161"/>
      <c r="AA16" s="161"/>
      <c r="AB16" s="161"/>
      <c r="AC16" s="161"/>
      <c r="AD16" s="161"/>
      <c r="AE16" s="161"/>
      <c r="AF16" s="161">
        <f>K16/K1</f>
        <v>0.827959243053766</v>
      </c>
      <c r="AG16" s="217"/>
    </row>
    <row r="17" spans="1:33" x14ac:dyDescent="0.25">
      <c r="A17" s="562"/>
      <c r="B17" s="165" t="s">
        <v>191</v>
      </c>
      <c r="C17" s="182"/>
      <c r="D17" s="169"/>
      <c r="E17" s="169"/>
      <c r="F17" s="169">
        <v>4.2273232055429683E-2</v>
      </c>
      <c r="G17" s="169"/>
      <c r="H17" s="169"/>
      <c r="I17" s="169"/>
      <c r="J17" s="169"/>
      <c r="K17" s="169"/>
      <c r="L17" s="169"/>
      <c r="N17" s="562"/>
      <c r="O17" s="165" t="s">
        <v>191</v>
      </c>
      <c r="P17" s="174"/>
      <c r="Q17" s="217"/>
      <c r="R17" s="161"/>
      <c r="S17" s="217"/>
      <c r="T17" s="161"/>
      <c r="U17" s="217"/>
      <c r="V17" s="161">
        <f>F17/F1</f>
        <v>0.80448469530882905</v>
      </c>
      <c r="W17" s="217">
        <f>1/F17</f>
        <v>23.655631504323487</v>
      </c>
      <c r="X17" s="161"/>
      <c r="Y17" s="217"/>
      <c r="Z17" s="161"/>
      <c r="AA17" s="161"/>
      <c r="AB17" s="161"/>
      <c r="AC17" s="161"/>
      <c r="AD17" s="161"/>
      <c r="AE17" s="161"/>
      <c r="AF17" s="161"/>
      <c r="AG17" s="217"/>
    </row>
    <row r="18" spans="1:33" x14ac:dyDescent="0.25">
      <c r="A18" s="562"/>
      <c r="B18" s="165" t="s">
        <v>400</v>
      </c>
      <c r="C18" s="182"/>
      <c r="D18" s="169"/>
      <c r="E18" s="169"/>
      <c r="F18" s="169"/>
      <c r="G18" s="169">
        <v>5.2239892473118131E-2</v>
      </c>
      <c r="H18" s="169">
        <v>8.0176190476190193E-2</v>
      </c>
      <c r="I18" s="169">
        <v>0</v>
      </c>
      <c r="J18" s="169"/>
      <c r="K18" s="169"/>
      <c r="L18" s="169"/>
      <c r="N18" s="562"/>
      <c r="O18" s="165" t="s">
        <v>400</v>
      </c>
      <c r="P18" s="174"/>
      <c r="Q18" s="217"/>
      <c r="R18" s="161"/>
      <c r="S18" s="217"/>
      <c r="T18" s="161"/>
      <c r="U18" s="217"/>
      <c r="V18" s="161"/>
      <c r="W18" s="217"/>
      <c r="X18" s="161">
        <f>G18/$G$1</f>
        <v>1</v>
      </c>
      <c r="Y18" s="217">
        <f>1/G18</f>
        <v>19.142459003233689</v>
      </c>
      <c r="Z18" s="161">
        <f>H18/$H$1</f>
        <v>1</v>
      </c>
      <c r="AA18" s="217">
        <f>1/H18</f>
        <v>12.472530735879358</v>
      </c>
      <c r="AB18" s="161">
        <f>I18/$I$1</f>
        <v>0</v>
      </c>
      <c r="AC18" s="217"/>
      <c r="AD18" s="161"/>
      <c r="AE18" s="161"/>
      <c r="AF18" s="161"/>
      <c r="AG18" s="217"/>
    </row>
    <row r="19" spans="1:33" x14ac:dyDescent="0.25">
      <c r="A19" s="562"/>
      <c r="B19" s="165" t="s">
        <v>401</v>
      </c>
      <c r="C19" s="182"/>
      <c r="D19" s="169"/>
      <c r="E19" s="169"/>
      <c r="F19" s="169"/>
      <c r="G19" s="169">
        <v>2.5968749999999964E-2</v>
      </c>
      <c r="H19" s="169">
        <v>2.5281250000000002E-2</v>
      </c>
      <c r="I19" s="169">
        <v>3.0639083333333317E-2</v>
      </c>
      <c r="J19" s="169"/>
      <c r="K19" s="169"/>
      <c r="L19" s="169">
        <v>0.1339285714285714</v>
      </c>
      <c r="M19" s="225">
        <f>1/L19</f>
        <v>7.4666666666666686</v>
      </c>
      <c r="N19" s="562"/>
      <c r="O19" s="165" t="s">
        <v>401</v>
      </c>
      <c r="P19" s="174"/>
      <c r="Q19" s="217"/>
      <c r="R19" s="161"/>
      <c r="S19" s="217"/>
      <c r="T19" s="161"/>
      <c r="U19" s="217"/>
      <c r="V19" s="161"/>
      <c r="W19" s="217"/>
      <c r="X19" s="161">
        <f>G19/$G$1</f>
        <v>0.4971057322402242</v>
      </c>
      <c r="Y19" s="217">
        <f>1/G19</f>
        <v>38.507821901323759</v>
      </c>
      <c r="Z19" s="161">
        <f>H19/$H$1</f>
        <v>0.31532116766645002</v>
      </c>
      <c r="AA19" s="217">
        <f>1/H19</f>
        <v>39.555006180469711</v>
      </c>
      <c r="AB19" s="161">
        <f>I19/$I$1</f>
        <v>0.52860855720150501</v>
      </c>
      <c r="AC19" s="217">
        <f>1/I19</f>
        <v>32.63805216104705</v>
      </c>
      <c r="AD19" s="161"/>
      <c r="AE19" s="161"/>
      <c r="AF19" s="161"/>
      <c r="AG19" s="217"/>
    </row>
    <row r="20" spans="1:33" x14ac:dyDescent="0.25">
      <c r="A20" s="562"/>
      <c r="B20" s="165" t="s">
        <v>171</v>
      </c>
      <c r="C20" s="182"/>
      <c r="D20" s="169"/>
      <c r="E20" s="169"/>
      <c r="F20" s="169"/>
      <c r="G20" s="169"/>
      <c r="H20" s="169"/>
      <c r="I20" s="169"/>
      <c r="J20" s="169"/>
      <c r="K20" s="169"/>
      <c r="L20" s="169"/>
      <c r="N20" s="562"/>
      <c r="O20" s="165" t="s">
        <v>171</v>
      </c>
      <c r="P20" s="174"/>
      <c r="Q20" s="217"/>
      <c r="R20" s="161"/>
      <c r="S20" s="217"/>
      <c r="T20" s="161"/>
      <c r="U20" s="217"/>
      <c r="V20" s="161"/>
      <c r="W20" s="217"/>
      <c r="X20" s="161"/>
      <c r="Y20" s="217"/>
      <c r="Z20" s="161"/>
      <c r="AA20" s="217"/>
      <c r="AB20" s="161"/>
      <c r="AC20" s="217"/>
      <c r="AD20" s="161"/>
      <c r="AE20" s="219"/>
      <c r="AF20" s="174"/>
      <c r="AG20" s="219"/>
    </row>
    <row r="21" spans="1:33" x14ac:dyDescent="0.25">
      <c r="A21" s="562"/>
      <c r="B21" s="165" t="s">
        <v>172</v>
      </c>
      <c r="C21" s="182"/>
      <c r="D21" s="169"/>
      <c r="E21" s="169"/>
      <c r="F21" s="169"/>
      <c r="G21" s="169"/>
      <c r="H21" s="169"/>
      <c r="I21" s="169"/>
      <c r="J21" s="169"/>
      <c r="K21" s="169"/>
      <c r="L21" s="169"/>
      <c r="N21" s="562"/>
      <c r="O21" s="165" t="s">
        <v>172</v>
      </c>
      <c r="P21" s="175"/>
      <c r="Q21" s="218"/>
      <c r="R21" s="162"/>
      <c r="S21" s="218"/>
      <c r="T21" s="162"/>
      <c r="U21" s="218"/>
      <c r="V21" s="162"/>
      <c r="W21" s="218"/>
      <c r="X21" s="162"/>
      <c r="Y21" s="218"/>
      <c r="Z21" s="162"/>
      <c r="AA21" s="162"/>
      <c r="AB21" s="162"/>
      <c r="AC21" s="161"/>
      <c r="AD21" s="161" t="e">
        <f>J21/$J$1</f>
        <v>#DIV/0!</v>
      </c>
      <c r="AE21" s="221" t="e">
        <f>1/J21</f>
        <v>#DIV/0!</v>
      </c>
      <c r="AF21" s="175">
        <f>K21/$K$1</f>
        <v>0</v>
      </c>
      <c r="AG21" s="221" t="e">
        <f>1/K21</f>
        <v>#DIV/0!</v>
      </c>
    </row>
    <row r="22" spans="1:33" x14ac:dyDescent="0.25">
      <c r="A22" s="561" t="s">
        <v>404</v>
      </c>
      <c r="B22" s="178" t="s">
        <v>190</v>
      </c>
      <c r="C22" s="185">
        <v>7.6541020779221203E-2</v>
      </c>
      <c r="D22" s="180">
        <v>9.5167093706293476E-2</v>
      </c>
      <c r="E22" s="180">
        <v>0.10114897692307692</v>
      </c>
      <c r="F22" s="180"/>
      <c r="G22" s="180"/>
      <c r="H22" s="180"/>
      <c r="I22" s="180"/>
      <c r="J22" s="180">
        <v>0</v>
      </c>
      <c r="K22" s="180">
        <v>3.3705144855144906E-2</v>
      </c>
      <c r="L22" s="180">
        <v>5.9334415584415767E-2</v>
      </c>
      <c r="N22" s="561" t="s">
        <v>404</v>
      </c>
      <c r="O22" s="166" t="s">
        <v>190</v>
      </c>
      <c r="P22" s="174">
        <f>C22/$C$1</f>
        <v>1</v>
      </c>
      <c r="Q22" s="216">
        <f>1/C22</f>
        <v>13.064889778311823</v>
      </c>
      <c r="R22" s="173">
        <f>D22/$D$1</f>
        <v>1</v>
      </c>
      <c r="S22" s="216">
        <f>1/D22</f>
        <v>10.507833759074531</v>
      </c>
      <c r="T22" s="173">
        <f>E22/$E$1</f>
        <v>1</v>
      </c>
      <c r="U22" s="223">
        <f>1/E22</f>
        <v>9.8864074597659339</v>
      </c>
      <c r="V22" s="211"/>
      <c r="W22" s="220"/>
      <c r="X22" s="174"/>
      <c r="Y22" s="217"/>
      <c r="Z22" s="161"/>
      <c r="AA22" s="161"/>
      <c r="AB22" s="174"/>
      <c r="AC22" s="172"/>
      <c r="AD22" s="172"/>
      <c r="AE22" s="161"/>
      <c r="AF22" s="161">
        <f>K22/K1</f>
        <v>0.93049972627372413</v>
      </c>
      <c r="AG22" s="217"/>
    </row>
    <row r="23" spans="1:33" x14ac:dyDescent="0.25">
      <c r="A23" s="562"/>
      <c r="B23" s="179" t="s">
        <v>191</v>
      </c>
      <c r="C23" s="182"/>
      <c r="D23" s="169"/>
      <c r="E23" s="169"/>
      <c r="F23" s="169">
        <v>4.3797642829840472E-2</v>
      </c>
      <c r="G23" s="169"/>
      <c r="H23" s="169"/>
      <c r="I23" s="169"/>
      <c r="J23" s="169"/>
      <c r="K23" s="169"/>
      <c r="L23" s="169"/>
      <c r="N23" s="562"/>
      <c r="O23" s="165" t="s">
        <v>191</v>
      </c>
      <c r="P23" s="174"/>
      <c r="Q23" s="217"/>
      <c r="R23" s="161"/>
      <c r="S23" s="217"/>
      <c r="T23" s="161"/>
      <c r="U23" s="214"/>
      <c r="V23" s="212">
        <f>F23/F1</f>
        <v>0.83349513708837697</v>
      </c>
      <c r="W23" s="219">
        <f>1/F23</f>
        <v>22.832278985541066</v>
      </c>
      <c r="X23" s="174"/>
      <c r="Y23" s="217"/>
      <c r="Z23" s="161"/>
      <c r="AA23" s="161"/>
      <c r="AB23" s="174"/>
      <c r="AC23" s="174"/>
      <c r="AD23" s="174"/>
      <c r="AE23" s="161"/>
      <c r="AF23" s="161"/>
      <c r="AG23" s="217"/>
    </row>
    <row r="24" spans="1:33" x14ac:dyDescent="0.25">
      <c r="A24" s="562"/>
      <c r="B24" s="179" t="s">
        <v>400</v>
      </c>
      <c r="C24" s="182"/>
      <c r="D24" s="169"/>
      <c r="E24" s="169"/>
      <c r="F24" s="169"/>
      <c r="G24" s="169">
        <v>4.8379892473118219E-2</v>
      </c>
      <c r="H24" s="169">
        <v>7.5159999999999713E-2</v>
      </c>
      <c r="I24" s="169">
        <v>0</v>
      </c>
      <c r="J24" s="169"/>
      <c r="K24" s="169"/>
      <c r="L24" s="169"/>
      <c r="N24" s="562"/>
      <c r="O24" s="165" t="s">
        <v>400</v>
      </c>
      <c r="P24" s="174"/>
      <c r="Q24" s="217"/>
      <c r="R24" s="161"/>
      <c r="S24" s="217"/>
      <c r="T24" s="161"/>
      <c r="U24" s="214"/>
      <c r="V24" s="212"/>
      <c r="W24" s="219"/>
      <c r="X24" s="174">
        <f>G24/$G$1</f>
        <v>0.9261101082475196</v>
      </c>
      <c r="Y24" s="217">
        <f>1/G24</f>
        <v>20.669744161908575</v>
      </c>
      <c r="Z24" s="161">
        <f>H24/$H$1</f>
        <v>0.93743541010868892</v>
      </c>
      <c r="AA24" s="217">
        <f>1/H24</f>
        <v>13.304949441192175</v>
      </c>
      <c r="AB24" s="161">
        <f>I24/$I$1</f>
        <v>0</v>
      </c>
      <c r="AC24" s="219"/>
      <c r="AD24" s="174"/>
      <c r="AE24" s="161"/>
      <c r="AF24" s="161"/>
      <c r="AG24" s="217"/>
    </row>
    <row r="25" spans="1:33" x14ac:dyDescent="0.25">
      <c r="A25" s="562"/>
      <c r="B25" s="179" t="s">
        <v>401</v>
      </c>
      <c r="C25" s="182"/>
      <c r="D25" s="169"/>
      <c r="E25" s="169"/>
      <c r="F25" s="169"/>
      <c r="G25" s="169">
        <v>2.3874999999999962E-2</v>
      </c>
      <c r="H25" s="169">
        <v>2.31875E-2</v>
      </c>
      <c r="I25" s="169">
        <v>2.7005333333333322E-2</v>
      </c>
      <c r="J25" s="169"/>
      <c r="K25" s="169"/>
      <c r="L25" s="169">
        <v>0.16964285714285698</v>
      </c>
      <c r="M25" s="225">
        <f>1/L25</f>
        <v>5.894736842105269</v>
      </c>
      <c r="N25" s="562"/>
      <c r="O25" s="165" t="s">
        <v>401</v>
      </c>
      <c r="P25" s="174"/>
      <c r="Q25" s="217"/>
      <c r="R25" s="161"/>
      <c r="S25" s="217"/>
      <c r="T25" s="161"/>
      <c r="U25" s="214"/>
      <c r="V25" s="212"/>
      <c r="W25" s="219"/>
      <c r="X25" s="174">
        <f>G25/$G$1</f>
        <v>0.45702620870220362</v>
      </c>
      <c r="Y25" s="217">
        <f>1/G25</f>
        <v>41.884816753926771</v>
      </c>
      <c r="Z25" s="161">
        <f>H25/$H$1</f>
        <v>0.28920680643820262</v>
      </c>
      <c r="AA25" s="217">
        <f>1/H25</f>
        <v>43.126684636118597</v>
      </c>
      <c r="AB25" s="161">
        <f>I25/$I$1</f>
        <v>0.46591636357960164</v>
      </c>
      <c r="AC25" s="219">
        <f>1/I25</f>
        <v>37.0297225239459</v>
      </c>
      <c r="AD25" s="174"/>
      <c r="AE25" s="161"/>
      <c r="AF25" s="161"/>
      <c r="AG25" s="217"/>
    </row>
    <row r="26" spans="1:33" x14ac:dyDescent="0.25">
      <c r="A26" s="562"/>
      <c r="B26" s="179" t="s">
        <v>171</v>
      </c>
      <c r="C26" s="182"/>
      <c r="D26" s="169"/>
      <c r="E26" s="169"/>
      <c r="F26" s="169"/>
      <c r="G26" s="169"/>
      <c r="H26" s="169"/>
      <c r="I26" s="169"/>
      <c r="J26" s="169"/>
      <c r="K26" s="169"/>
      <c r="L26" s="169"/>
      <c r="N26" s="562"/>
      <c r="O26" s="165" t="s">
        <v>171</v>
      </c>
      <c r="P26" s="174"/>
      <c r="Q26" s="217"/>
      <c r="R26" s="161"/>
      <c r="S26" s="217"/>
      <c r="T26" s="161"/>
      <c r="U26" s="214"/>
      <c r="V26" s="212"/>
      <c r="W26" s="174"/>
      <c r="X26" s="174"/>
      <c r="Y26" s="217"/>
      <c r="Z26" s="161"/>
      <c r="AA26" s="217"/>
      <c r="AB26" s="161"/>
      <c r="AC26" s="219"/>
      <c r="AD26" s="174"/>
      <c r="AE26" s="219"/>
      <c r="AF26" s="174"/>
      <c r="AG26" s="219"/>
    </row>
    <row r="27" spans="1:33" x14ac:dyDescent="0.25">
      <c r="A27" s="562"/>
      <c r="B27" s="165" t="s">
        <v>172</v>
      </c>
      <c r="C27" s="183"/>
      <c r="D27" s="160"/>
      <c r="E27" s="160"/>
      <c r="F27" s="160"/>
      <c r="G27" s="160"/>
      <c r="H27" s="160"/>
      <c r="I27" s="160"/>
      <c r="J27" s="160"/>
      <c r="K27" s="160"/>
      <c r="L27" s="160"/>
      <c r="N27" s="562"/>
      <c r="O27" s="165" t="s">
        <v>172</v>
      </c>
      <c r="P27" s="175"/>
      <c r="Q27" s="218"/>
      <c r="R27" s="162"/>
      <c r="S27" s="218"/>
      <c r="T27" s="162"/>
      <c r="U27" s="224"/>
      <c r="V27" s="213"/>
      <c r="W27" s="175"/>
      <c r="X27" s="175"/>
      <c r="Y27" s="218"/>
      <c r="Z27" s="162"/>
      <c r="AA27" s="162"/>
      <c r="AB27" s="175"/>
      <c r="AC27" s="175"/>
      <c r="AD27" s="175" t="e">
        <f>J27/$J$1</f>
        <v>#DIV/0!</v>
      </c>
      <c r="AE27" s="221" t="e">
        <f>1/J27</f>
        <v>#DIV/0!</v>
      </c>
      <c r="AF27" s="175">
        <f>K27/$K$1</f>
        <v>0</v>
      </c>
      <c r="AG27" s="221" t="e">
        <f>1/K27</f>
        <v>#DIV/0!</v>
      </c>
    </row>
    <row r="28" spans="1:33" x14ac:dyDescent="0.25">
      <c r="Q28" s="139"/>
      <c r="S28" s="139"/>
      <c r="U28" s="139"/>
    </row>
    <row r="29" spans="1:33" x14ac:dyDescent="0.25">
      <c r="Q29" s="139"/>
      <c r="S29" s="139"/>
      <c r="U29" s="139"/>
    </row>
    <row r="30" spans="1:33" x14ac:dyDescent="0.25">
      <c r="B30" s="163" t="s">
        <v>166</v>
      </c>
      <c r="Q30" s="139"/>
      <c r="S30" s="139"/>
      <c r="U30" s="139"/>
    </row>
    <row r="31" spans="1:33" x14ac:dyDescent="0.25">
      <c r="B31" s="164">
        <v>42724</v>
      </c>
      <c r="Q31" s="139"/>
      <c r="S31" s="139"/>
    </row>
    <row r="32" spans="1:33" x14ac:dyDescent="0.25">
      <c r="Q32" s="139"/>
    </row>
    <row r="33" spans="17:17" x14ac:dyDescent="0.25">
      <c r="Q33" s="139"/>
    </row>
    <row r="34" spans="17:17" x14ac:dyDescent="0.25">
      <c r="Q34" s="139"/>
    </row>
  </sheetData>
  <mergeCells count="8">
    <mergeCell ref="A22:A27"/>
    <mergeCell ref="N22:N27"/>
    <mergeCell ref="A4:A9"/>
    <mergeCell ref="N4:N9"/>
    <mergeCell ref="A10:A15"/>
    <mergeCell ref="N10:N15"/>
    <mergeCell ref="A16:A21"/>
    <mergeCell ref="N16:N21"/>
  </mergeCells>
  <pageMargins left="0.7" right="0.7" top="0.75" bottom="0.75" header="0.3" footer="0.3"/>
  <pageSetup paperSize="9" fitToWidth="0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E26B0A"/>
  </sheetPr>
  <dimension ref="B2:Y17"/>
  <sheetViews>
    <sheetView workbookViewId="0">
      <selection activeCell="B12" sqref="B12"/>
    </sheetView>
  </sheetViews>
  <sheetFormatPr baseColWidth="10" defaultColWidth="11.42578125" defaultRowHeight="15" x14ac:dyDescent="0.25"/>
  <cols>
    <col min="1" max="1" width="5.5703125" customWidth="1"/>
    <col min="2" max="2" width="6" customWidth="1"/>
    <col min="3" max="3" width="13.7109375" customWidth="1"/>
    <col min="4" max="4" width="6" customWidth="1"/>
    <col min="5" max="5" width="4.7109375" customWidth="1"/>
    <col min="6" max="9" width="4.5703125" customWidth="1"/>
    <col min="10" max="10" width="5.140625" customWidth="1"/>
    <col min="11" max="11" width="4.5703125" customWidth="1"/>
    <col min="12" max="12" width="5.5703125" customWidth="1"/>
    <col min="13" max="13" width="6" customWidth="1"/>
    <col min="14" max="14" width="11.7109375" customWidth="1"/>
    <col min="15" max="15" width="7.42578125" customWidth="1"/>
    <col min="16" max="16" width="7.7109375" customWidth="1"/>
    <col min="17" max="17" width="7.42578125" customWidth="1"/>
    <col min="18" max="18" width="5.5703125" customWidth="1"/>
    <col min="19" max="19" width="6.42578125" customWidth="1"/>
    <col min="20" max="20" width="6.85546875" customWidth="1"/>
    <col min="21" max="21" width="6.42578125" customWidth="1"/>
    <col min="22" max="22" width="5.5703125" customWidth="1"/>
    <col min="23" max="24" width="4.5703125" customWidth="1"/>
  </cols>
  <sheetData>
    <row r="2" spans="2:25" x14ac:dyDescent="0.25">
      <c r="B2" s="146" t="s">
        <v>83</v>
      </c>
      <c r="C2" s="146" t="s">
        <v>84</v>
      </c>
      <c r="D2" s="146" t="s">
        <v>187</v>
      </c>
      <c r="E2" s="146" t="s">
        <v>14</v>
      </c>
      <c r="F2" s="146" t="s">
        <v>37</v>
      </c>
      <c r="G2" s="146" t="s">
        <v>168</v>
      </c>
      <c r="H2" s="146" t="s">
        <v>30</v>
      </c>
      <c r="I2" s="146" t="s">
        <v>170</v>
      </c>
      <c r="J2" s="146" t="s">
        <v>171</v>
      </c>
      <c r="K2" s="146" t="s">
        <v>172</v>
      </c>
      <c r="M2" s="90">
        <v>352</v>
      </c>
      <c r="N2" s="57" t="s">
        <v>405</v>
      </c>
      <c r="O2" s="45" t="s">
        <v>264</v>
      </c>
      <c r="P2" s="45" t="s">
        <v>406</v>
      </c>
      <c r="Q2" s="45" t="s">
        <v>264</v>
      </c>
      <c r="R2" s="45" t="s">
        <v>28</v>
      </c>
      <c r="S2" s="45" t="s">
        <v>266</v>
      </c>
      <c r="T2" s="45" t="s">
        <v>267</v>
      </c>
      <c r="U2" s="45" t="s">
        <v>266</v>
      </c>
      <c r="V2" s="45" t="s">
        <v>261</v>
      </c>
      <c r="W2" s="45" t="s">
        <v>407</v>
      </c>
      <c r="X2" s="45" t="s">
        <v>408</v>
      </c>
    </row>
    <row r="3" spans="2:25" x14ac:dyDescent="0.25">
      <c r="B3" t="s">
        <v>14</v>
      </c>
      <c r="C3" t="str">
        <f>Evaluacion!A3</f>
        <v>D. Gehmacher</v>
      </c>
      <c r="D3" s="57"/>
      <c r="E3" s="71">
        <f>Evaluacion!K3</f>
        <v>9.9499999999999993</v>
      </c>
      <c r="F3" s="71">
        <f>Evaluacion!L3</f>
        <v>3.95</v>
      </c>
      <c r="G3" s="71">
        <f>Evaluacion!M3</f>
        <v>0</v>
      </c>
      <c r="H3" s="71">
        <f>Evaluacion!N3</f>
        <v>0</v>
      </c>
      <c r="I3" s="71">
        <f>Evaluacion!O3</f>
        <v>0</v>
      </c>
      <c r="J3" s="71">
        <f>Evaluacion!P3</f>
        <v>0</v>
      </c>
      <c r="K3" s="71">
        <f>Evaluacion!Q3</f>
        <v>14.95</v>
      </c>
      <c r="M3" t="s">
        <v>14</v>
      </c>
      <c r="N3" s="189">
        <v>1</v>
      </c>
      <c r="O3" s="130">
        <f ca="1">Evaluacion!X3</f>
        <v>9.5503789770380312</v>
      </c>
      <c r="P3" s="130">
        <f ca="1">Evaluacion!Y3</f>
        <v>14.022090789640433</v>
      </c>
      <c r="Q3" s="130">
        <f ca="1">Evaluacion!Z3</f>
        <v>9.5503789770380312</v>
      </c>
      <c r="R3" s="130">
        <v>0</v>
      </c>
      <c r="S3" s="130">
        <v>0</v>
      </c>
      <c r="T3" s="130">
        <v>0</v>
      </c>
      <c r="U3" s="130">
        <v>0</v>
      </c>
      <c r="V3" s="130">
        <v>0</v>
      </c>
      <c r="W3" s="130">
        <f>Evaluacion!T3</f>
        <v>0.44849999999999995</v>
      </c>
      <c r="X3" s="130">
        <f>Evaluacion!U3</f>
        <v>0.60649999999999993</v>
      </c>
      <c r="Y3" s="193"/>
    </row>
    <row r="4" spans="2:25" x14ac:dyDescent="0.25">
      <c r="B4" t="s">
        <v>409</v>
      </c>
      <c r="C4" t="str">
        <f>Evaluacion!A6</f>
        <v>S. Embe</v>
      </c>
      <c r="D4" s="57"/>
      <c r="E4" s="71">
        <f>Evaluacion!K6</f>
        <v>0</v>
      </c>
      <c r="F4" s="71">
        <f>Evaluacion!L6</f>
        <v>12.416666666666666</v>
      </c>
      <c r="G4" s="71">
        <f>Evaluacion!M6</f>
        <v>6.2</v>
      </c>
      <c r="H4" s="71">
        <f>Evaluacion!N6</f>
        <v>1</v>
      </c>
      <c r="I4" s="71">
        <f>Evaluacion!O6</f>
        <v>5</v>
      </c>
      <c r="J4" s="71">
        <f>Evaluacion!P6</f>
        <v>7</v>
      </c>
      <c r="K4" s="71">
        <f>Evaluacion!Q6</f>
        <v>19.8</v>
      </c>
      <c r="M4" t="s">
        <v>409</v>
      </c>
      <c r="N4" s="189">
        <v>1</v>
      </c>
      <c r="O4" s="130">
        <f ca="1">Evaluacion!AI6</f>
        <v>13.200736538652183</v>
      </c>
      <c r="P4" s="130">
        <f ca="1">Evaluacion!AJ6</f>
        <v>5.9403314423934814</v>
      </c>
      <c r="Q4" s="130">
        <v>0</v>
      </c>
      <c r="R4" s="130">
        <f ca="1">Evaluacion!AK6</f>
        <v>1.358037320965487</v>
      </c>
      <c r="S4" s="130">
        <f ca="1">Evaluacion!AL6</f>
        <v>1.7239924833994387</v>
      </c>
      <c r="T4" s="130">
        <v>0</v>
      </c>
      <c r="U4" s="130">
        <v>0</v>
      </c>
      <c r="V4" s="130">
        <f>Evaluacion!R6</f>
        <v>3.177083333333333</v>
      </c>
      <c r="W4" s="130">
        <f>Evaluacion!T6</f>
        <v>0.94400000000000017</v>
      </c>
      <c r="X4" s="130">
        <f>Evaluacion!U6</f>
        <v>1.0906666666666667</v>
      </c>
    </row>
    <row r="5" spans="2:25" x14ac:dyDescent="0.25">
      <c r="B5" t="s">
        <v>410</v>
      </c>
      <c r="C5" t="str">
        <f>Evaluacion!A14</f>
        <v>S. Gencel</v>
      </c>
      <c r="D5" s="57"/>
      <c r="E5" s="71">
        <f>Evaluacion!K14</f>
        <v>0</v>
      </c>
      <c r="F5" s="71">
        <f>Evaluacion!L14</f>
        <v>9</v>
      </c>
      <c r="G5" s="71">
        <f>Evaluacion!M14</f>
        <v>14</v>
      </c>
      <c r="H5" s="71">
        <f>Evaluacion!N14</f>
        <v>0</v>
      </c>
      <c r="I5" s="71">
        <f>Evaluacion!O14</f>
        <v>2</v>
      </c>
      <c r="J5" s="71">
        <f>Evaluacion!P14</f>
        <v>7.1785714285714288</v>
      </c>
      <c r="K5" s="71">
        <f>Evaluacion!Q14</f>
        <v>16</v>
      </c>
      <c r="M5" t="s">
        <v>410</v>
      </c>
      <c r="N5" s="189">
        <v>1</v>
      </c>
      <c r="O5" s="130">
        <f ca="1">(Evaluacion!AA14+Evaluacion!AC14)/2</f>
        <v>4.1450814700251328</v>
      </c>
      <c r="P5" s="130">
        <f ca="1">Evaluacion!AB14</f>
        <v>10.710804832106286</v>
      </c>
      <c r="Q5" s="130">
        <f ca="1">O5</f>
        <v>4.1450814700251328</v>
      </c>
      <c r="R5" s="130">
        <f ca="1">Evaluacion!AD14</f>
        <v>3.7391715500412959</v>
      </c>
      <c r="S5" s="130">
        <v>0</v>
      </c>
      <c r="T5" s="130">
        <v>0</v>
      </c>
      <c r="U5" s="130">
        <v>0</v>
      </c>
      <c r="V5" s="130">
        <f>Evaluacion!R14</f>
        <v>2</v>
      </c>
      <c r="W5" s="130">
        <f>Evaluacion!T14</f>
        <v>0.83892857142857147</v>
      </c>
      <c r="X5" s="130">
        <f>Evaluacion!U14</f>
        <v>0.84000000000000008</v>
      </c>
    </row>
    <row r="6" spans="2:25" x14ac:dyDescent="0.25">
      <c r="B6" t="s">
        <v>409</v>
      </c>
      <c r="C6" t="str">
        <f>Evaluacion!A9</f>
        <v>E. Deus</v>
      </c>
      <c r="D6" s="57" t="str">
        <f>Evaluacion!D9</f>
        <v>IMP</v>
      </c>
      <c r="E6" s="71">
        <f>Evaluacion!K9</f>
        <v>0</v>
      </c>
      <c r="F6" s="71">
        <f>Evaluacion!L9</f>
        <v>12.333333333333334</v>
      </c>
      <c r="G6" s="71">
        <f>Evaluacion!M9</f>
        <v>8.8000000000000007</v>
      </c>
      <c r="H6" s="71">
        <f>Evaluacion!N9</f>
        <v>1</v>
      </c>
      <c r="I6" s="71">
        <f>Evaluacion!O9</f>
        <v>6</v>
      </c>
      <c r="J6" s="71">
        <f>Evaluacion!P9</f>
        <v>6</v>
      </c>
      <c r="K6" s="71">
        <f>Evaluacion!Q9</f>
        <v>18.5</v>
      </c>
      <c r="M6" t="s">
        <v>409</v>
      </c>
      <c r="N6" s="189">
        <v>1</v>
      </c>
      <c r="O6" s="130">
        <v>0</v>
      </c>
      <c r="P6" s="130">
        <f ca="1">Evaluacion!AJ9</f>
        <v>5.9329997909074219</v>
      </c>
      <c r="Q6" s="130">
        <f ca="1">Evaluacion!AI9</f>
        <v>13.184443979794272</v>
      </c>
      <c r="R6" s="130">
        <f ca="1">Evaluacion!AK9</f>
        <v>1.8031965340133806</v>
      </c>
      <c r="S6" s="130">
        <v>0</v>
      </c>
      <c r="T6" s="130">
        <f>0</f>
        <v>0</v>
      </c>
      <c r="U6" s="130">
        <f ca="1">Evaluacion!AL9</f>
        <v>1.7625794131728612</v>
      </c>
      <c r="V6" s="130">
        <f>Evaluacion!R9</f>
        <v>3.416666666666667</v>
      </c>
      <c r="W6" s="130">
        <f>Evaluacion!T9</f>
        <v>0.85500000000000009</v>
      </c>
      <c r="X6" s="130">
        <f>Evaluacion!U9</f>
        <v>1.0483333333333333</v>
      </c>
    </row>
    <row r="7" spans="2:25" x14ac:dyDescent="0.25">
      <c r="B7" t="s">
        <v>253</v>
      </c>
      <c r="C7" t="str">
        <f>Evaluacion!A12</f>
        <v>R. Forsyth</v>
      </c>
      <c r="D7" s="57" t="str">
        <f>Evaluacion!D12</f>
        <v>POT</v>
      </c>
      <c r="E7" s="71">
        <f>Evaluacion!K12</f>
        <v>0</v>
      </c>
      <c r="F7" s="71">
        <f>Evaluacion!L12</f>
        <v>9.75</v>
      </c>
      <c r="G7" s="71">
        <f>Evaluacion!M12</f>
        <v>14.538461538461538</v>
      </c>
      <c r="H7" s="71">
        <f>Evaluacion!N12</f>
        <v>3</v>
      </c>
      <c r="I7" s="71">
        <f>Evaluacion!O12</f>
        <v>4</v>
      </c>
      <c r="J7" s="71">
        <f>Evaluacion!P12</f>
        <v>7</v>
      </c>
      <c r="K7" s="71">
        <f>Evaluacion!Q12</f>
        <v>18.25</v>
      </c>
      <c r="M7" t="s">
        <v>253</v>
      </c>
      <c r="N7" s="189">
        <v>0.82499999999999984</v>
      </c>
      <c r="O7" s="130">
        <f ca="1">Evaluacion!BE12*N7</f>
        <v>2.8344508298083904</v>
      </c>
      <c r="P7" s="130">
        <f ca="1">Evaluacion!BF12*N7</f>
        <v>3.3896525387399303</v>
      </c>
      <c r="Q7" s="130">
        <v>0</v>
      </c>
      <c r="R7" s="130">
        <f ca="1">Evaluacion!BG12*N7</f>
        <v>12.061649093985062</v>
      </c>
      <c r="S7" s="130">
        <f ca="1">Evaluacion!BH12*N7</f>
        <v>3.9684548331603415</v>
      </c>
      <c r="T7" s="130">
        <f ca="1">Evaluacion!BI12*N7</f>
        <v>1.204188036885987</v>
      </c>
      <c r="U7" s="130">
        <v>0</v>
      </c>
      <c r="V7" s="130">
        <v>0</v>
      </c>
      <c r="W7" s="130">
        <f>Evaluacion!T12*N7</f>
        <v>0.74043749999999986</v>
      </c>
      <c r="X7" s="130">
        <f>Evaluacion!U12*N7</f>
        <v>0.77343749999999989</v>
      </c>
    </row>
    <row r="8" spans="2:25" x14ac:dyDescent="0.25">
      <c r="B8" t="s">
        <v>122</v>
      </c>
      <c r="C8" t="str">
        <f>Evaluacion!A15</f>
        <v>I. Conteanu</v>
      </c>
      <c r="D8" s="57"/>
      <c r="E8" s="71">
        <f>Evaluacion!K15</f>
        <v>0</v>
      </c>
      <c r="F8" s="71">
        <f>Evaluacion!L15</f>
        <v>10</v>
      </c>
      <c r="G8" s="71">
        <f>Evaluacion!M15</f>
        <v>14</v>
      </c>
      <c r="H8" s="71">
        <f>Evaluacion!N15</f>
        <v>3</v>
      </c>
      <c r="I8" s="71">
        <f>Evaluacion!O15</f>
        <v>3</v>
      </c>
      <c r="J8" s="71">
        <f>Evaluacion!P15</f>
        <v>7.25</v>
      </c>
      <c r="K8" s="71">
        <f>Evaluacion!Q15</f>
        <v>17.25</v>
      </c>
      <c r="M8" t="s">
        <v>122</v>
      </c>
      <c r="N8" s="189">
        <v>0.82499999999999984</v>
      </c>
      <c r="O8" s="130">
        <f ca="1">((Evaluacion!AX15+Evaluacion!AZ15)/2)*N8</f>
        <v>1.4344148867861077</v>
      </c>
      <c r="P8" s="130">
        <f ca="1">Evaluacion!AY15*N8</f>
        <v>4.0477316029237613</v>
      </c>
      <c r="Q8" s="130">
        <f ca="1">O8</f>
        <v>1.4344148867861077</v>
      </c>
      <c r="R8" s="130">
        <f ca="1">Evaluacion!BA15*N8</f>
        <v>13.419329007309402</v>
      </c>
      <c r="S8" s="130">
        <f ca="1">((Evaluacion!BB15+Evaluacion!BD15)/2)*N8</f>
        <v>0.82433642913695915</v>
      </c>
      <c r="T8" s="130">
        <f ca="1">Evaluacion!BC15*N8</f>
        <v>3.1300377830274813</v>
      </c>
      <c r="U8" s="130">
        <f ca="1">S8</f>
        <v>0.82433642913695915</v>
      </c>
      <c r="V8" s="130">
        <v>0</v>
      </c>
      <c r="W8" s="130">
        <f>Evaluacion!T15*N8</f>
        <v>0.72599999999999998</v>
      </c>
      <c r="X8" s="130">
        <f>Evaluacion!U15*N8</f>
        <v>0.75693749999999993</v>
      </c>
    </row>
    <row r="9" spans="2:25" x14ac:dyDescent="0.25">
      <c r="B9" t="s">
        <v>253</v>
      </c>
      <c r="C9" t="str">
        <f>Evaluacion!A13</f>
        <v>Dusty Ware</v>
      </c>
      <c r="D9" s="57" t="str">
        <f>Evaluacion!D13</f>
        <v>POT</v>
      </c>
      <c r="E9" s="71">
        <f>Evaluacion!K13</f>
        <v>0</v>
      </c>
      <c r="F9" s="71">
        <f>Evaluacion!L13</f>
        <v>9.25</v>
      </c>
      <c r="G9" s="71">
        <f>Evaluacion!M13</f>
        <v>14.153846153846153</v>
      </c>
      <c r="H9" s="71">
        <f>Evaluacion!N13</f>
        <v>4</v>
      </c>
      <c r="I9" s="71">
        <f>Evaluacion!O13</f>
        <v>3</v>
      </c>
      <c r="J9" s="71">
        <f>Evaluacion!P13</f>
        <v>8</v>
      </c>
      <c r="K9" s="71">
        <f>Evaluacion!Q13</f>
        <v>17.25</v>
      </c>
      <c r="M9" t="s">
        <v>253</v>
      </c>
      <c r="N9" s="189">
        <v>0.82499999999999984</v>
      </c>
      <c r="O9" s="130">
        <v>0</v>
      </c>
      <c r="P9" s="130">
        <f ca="1">Evaluacion!BF13*N9</f>
        <v>3.068738038617234</v>
      </c>
      <c r="Q9" s="130">
        <f ca="1">Evaluacion!BE13*N9</f>
        <v>2.566099911602342</v>
      </c>
      <c r="R9" s="130">
        <f ca="1">Evaluacion!BG13*N9</f>
        <v>11.333083417613434</v>
      </c>
      <c r="S9" s="130">
        <v>0</v>
      </c>
      <c r="T9" s="130">
        <f ca="1">Evaluacion!BI13*N9</f>
        <v>0.88253302386998145</v>
      </c>
      <c r="U9" s="130">
        <f ca="1">Evaluacion!BH13*N9</f>
        <v>3.7290348888813827</v>
      </c>
      <c r="V9" s="130">
        <v>0</v>
      </c>
      <c r="W9" s="130">
        <f>Evaluacion!T13*N9</f>
        <v>0.75693749999999993</v>
      </c>
      <c r="X9" s="130">
        <f>Evaluacion!U13*N9</f>
        <v>0.73218749999999988</v>
      </c>
    </row>
    <row r="10" spans="2:25" x14ac:dyDescent="0.25">
      <c r="B10" t="s">
        <v>256</v>
      </c>
      <c r="C10" t="e">
        <f>#REF!</f>
        <v>#REF!</v>
      </c>
      <c r="D10" s="57" t="e">
        <f>#REF!</f>
        <v>#REF!</v>
      </c>
      <c r="E10" s="71" t="e">
        <f>#REF!</f>
        <v>#REF!</v>
      </c>
      <c r="F10" s="71" t="e">
        <f>#REF!</f>
        <v>#REF!</v>
      </c>
      <c r="G10" s="71" t="e">
        <f>#REF!</f>
        <v>#REF!</v>
      </c>
      <c r="H10" s="71" t="e">
        <f>#REF!</f>
        <v>#REF!</v>
      </c>
      <c r="I10" s="71" t="e">
        <f>#REF!</f>
        <v>#REF!</v>
      </c>
      <c r="J10" s="71" t="e">
        <f>#REF!</f>
        <v>#REF!</v>
      </c>
      <c r="K10" s="71" t="e">
        <f>#REF!</f>
        <v>#REF!</v>
      </c>
      <c r="M10" t="s">
        <v>256</v>
      </c>
      <c r="N10" s="189">
        <v>1</v>
      </c>
      <c r="O10" s="130" t="e">
        <f>#REF!</f>
        <v>#REF!</v>
      </c>
      <c r="P10" s="130" t="e">
        <f>#REF!</f>
        <v>#REF!</v>
      </c>
      <c r="Q10" s="130">
        <v>0</v>
      </c>
      <c r="R10" s="130" t="e">
        <f>#REF!</f>
        <v>#REF!</v>
      </c>
      <c r="S10" s="130" t="e">
        <f>#REF!</f>
        <v>#REF!</v>
      </c>
      <c r="T10" s="130" t="e">
        <f>#REF!</f>
        <v>#REF!</v>
      </c>
      <c r="U10" s="130">
        <v>0</v>
      </c>
      <c r="V10" s="130">
        <v>0</v>
      </c>
      <c r="W10" s="130" t="e">
        <f>#REF!*N10</f>
        <v>#REF!</v>
      </c>
      <c r="X10" s="130" t="e">
        <f>#REF!*N10</f>
        <v>#REF!</v>
      </c>
    </row>
    <row r="11" spans="2:25" x14ac:dyDescent="0.25">
      <c r="B11" t="s">
        <v>256</v>
      </c>
      <c r="C11" t="str">
        <f>Evaluacion!A10</f>
        <v>M.A. Balbinot</v>
      </c>
      <c r="D11" s="57" t="str">
        <f>Evaluacion!D10</f>
        <v>RAP</v>
      </c>
      <c r="E11" s="71">
        <f>Evaluacion!K10</f>
        <v>0</v>
      </c>
      <c r="F11" s="71">
        <f>Evaluacion!L10</f>
        <v>8</v>
      </c>
      <c r="G11" s="71">
        <f>Evaluacion!M10</f>
        <v>14</v>
      </c>
      <c r="H11" s="71">
        <f>Evaluacion!N10</f>
        <v>7</v>
      </c>
      <c r="I11" s="71">
        <f>Evaluacion!O10</f>
        <v>8</v>
      </c>
      <c r="J11" s="71">
        <f>Evaluacion!P10</f>
        <v>9.0625</v>
      </c>
      <c r="K11" s="71">
        <f>Evaluacion!Q10</f>
        <v>15.5</v>
      </c>
      <c r="M11" t="s">
        <v>256</v>
      </c>
      <c r="N11" s="189">
        <v>1</v>
      </c>
      <c r="O11" s="130">
        <v>0</v>
      </c>
      <c r="P11" s="130">
        <f ca="1">Evaluacion!BU10</f>
        <v>2.3809672165880511</v>
      </c>
      <c r="Q11" s="130">
        <f ca="1">Evaluacion!BT10</f>
        <v>2.7712897111106818</v>
      </c>
      <c r="R11" s="130">
        <f ca="1">Evaluacion!BV10</f>
        <v>7.1699183751949311</v>
      </c>
      <c r="S11" s="130">
        <v>0</v>
      </c>
      <c r="T11" s="130">
        <f ca="1">Evaluacion!BX10</f>
        <v>1.1807255459309596</v>
      </c>
      <c r="U11" s="130">
        <f ca="1">Evaluacion!BW10</f>
        <v>9.9479330982768879</v>
      </c>
      <c r="V11" s="130">
        <v>0</v>
      </c>
      <c r="W11" s="130">
        <f>Evaluacion!T10*N11</f>
        <v>0.91812499999999986</v>
      </c>
      <c r="X11" s="130">
        <f>Evaluacion!U10*N11</f>
        <v>0.78499999999999992</v>
      </c>
    </row>
    <row r="12" spans="2:25" x14ac:dyDescent="0.25">
      <c r="B12" t="s">
        <v>21</v>
      </c>
      <c r="C12" t="str">
        <f>Evaluacion!A18</f>
        <v>G. Piscaer</v>
      </c>
      <c r="D12" s="57" t="str">
        <f>Evaluacion!D18</f>
        <v>IMP</v>
      </c>
      <c r="E12" s="71">
        <f>Evaluacion!K18</f>
        <v>0</v>
      </c>
      <c r="F12" s="71">
        <f>Evaluacion!L18</f>
        <v>6.4</v>
      </c>
      <c r="G12" s="71">
        <f>Evaluacion!M18</f>
        <v>14.846153846153847</v>
      </c>
      <c r="H12" s="71">
        <f>Evaluacion!N18</f>
        <v>3</v>
      </c>
      <c r="I12" s="71">
        <f>Evaluacion!O18</f>
        <v>2</v>
      </c>
      <c r="J12" s="71">
        <f>Evaluacion!P18</f>
        <v>8.5769230769230766</v>
      </c>
      <c r="K12" s="71">
        <f>Evaluacion!Q18</f>
        <v>17.75</v>
      </c>
      <c r="M12" t="s">
        <v>21</v>
      </c>
      <c r="N12" s="189">
        <v>0.94499999999999995</v>
      </c>
      <c r="O12" s="130">
        <v>0</v>
      </c>
      <c r="P12" s="130">
        <v>0</v>
      </c>
      <c r="Q12" s="130">
        <v>0</v>
      </c>
      <c r="R12" s="130">
        <f ca="1">N12*Evaluacion!CK18</f>
        <v>3.9932572283457954</v>
      </c>
      <c r="S12" s="130">
        <f ca="1">N12*Evaluacion!CH18</f>
        <v>4.2130116284223389</v>
      </c>
      <c r="T12" s="130">
        <f ca="1">N12*Evaluacion!CI18</f>
        <v>11.463135428575425</v>
      </c>
      <c r="U12" s="130">
        <f ca="1">S12</f>
        <v>4.2130116284223389</v>
      </c>
      <c r="V12" s="130">
        <v>0</v>
      </c>
      <c r="W12" s="130">
        <f>Evaluacion!T18*N12</f>
        <v>0.90847211538461548</v>
      </c>
      <c r="X12" s="130">
        <f>Evaluacion!U18*N12</f>
        <v>0.74513250000000009</v>
      </c>
    </row>
    <row r="13" spans="2:25" x14ac:dyDescent="0.25">
      <c r="B13" t="s">
        <v>123</v>
      </c>
      <c r="C13" t="str">
        <f>Evaluacion!A19</f>
        <v>M. Bondarewski</v>
      </c>
      <c r="D13" s="57" t="str">
        <f>Evaluacion!D19</f>
        <v>RAP</v>
      </c>
      <c r="E13" s="71">
        <f>Evaluacion!K19</f>
        <v>0</v>
      </c>
      <c r="F13" s="71">
        <f>Evaluacion!L19</f>
        <v>4.75</v>
      </c>
      <c r="G13" s="71">
        <f>Evaluacion!M19</f>
        <v>14.692307692307692</v>
      </c>
      <c r="H13" s="71">
        <f>Evaluacion!N19</f>
        <v>5</v>
      </c>
      <c r="I13" s="71">
        <f>Evaluacion!O19</f>
        <v>4</v>
      </c>
      <c r="J13" s="71">
        <f>Evaluacion!P19</f>
        <v>8.5769230769230766</v>
      </c>
      <c r="K13" s="71">
        <f>Evaluacion!Q19</f>
        <v>19.8</v>
      </c>
      <c r="M13" t="s">
        <v>123</v>
      </c>
      <c r="N13" s="189">
        <f>1-0.055</f>
        <v>0.94499999999999995</v>
      </c>
      <c r="O13" s="130">
        <v>0</v>
      </c>
      <c r="P13" s="130">
        <v>0</v>
      </c>
      <c r="Q13" s="130">
        <v>0</v>
      </c>
      <c r="R13" s="130">
        <f ca="1">N13*Evaluacion!CD19</f>
        <v>6.429578343786166</v>
      </c>
      <c r="S13" s="130">
        <f ca="1">N13*Evaluacion!CE19</f>
        <v>3.6718395201712211</v>
      </c>
      <c r="T13" s="130">
        <f ca="1">N13*Evaluacion!CF19</f>
        <v>8.9760095133273783</v>
      </c>
      <c r="U13" s="130">
        <f ca="1">S13</f>
        <v>3.6718395201712211</v>
      </c>
      <c r="V13" s="130">
        <v>0</v>
      </c>
      <c r="W13" s="130">
        <f>Evaluacion!T19*N13</f>
        <v>0.96658961538461519</v>
      </c>
      <c r="X13" s="130">
        <f>Evaluacion!U19*N13</f>
        <v>0.74087999999999998</v>
      </c>
    </row>
    <row r="14" spans="2:25" x14ac:dyDescent="0.25">
      <c r="N14" s="57"/>
      <c r="O14" s="190" t="e">
        <f t="shared" ref="O14:X14" ca="1" si="0">SUM(O3:O13)</f>
        <v>#REF!</v>
      </c>
      <c r="P14" s="190" t="e">
        <f t="shared" ca="1" si="0"/>
        <v>#REF!</v>
      </c>
      <c r="Q14" s="190">
        <f t="shared" ca="1" si="0"/>
        <v>33.65170893635657</v>
      </c>
      <c r="R14" s="190" t="e">
        <f t="shared" ca="1" si="0"/>
        <v>#REF!</v>
      </c>
      <c r="S14" s="190" t="e">
        <f t="shared" ca="1" si="0"/>
        <v>#REF!</v>
      </c>
      <c r="T14" s="190" t="e">
        <f t="shared" ca="1" si="0"/>
        <v>#REF!</v>
      </c>
      <c r="U14" s="190">
        <f t="shared" ca="1" si="0"/>
        <v>24.148734978061654</v>
      </c>
      <c r="V14" s="190">
        <f t="shared" si="0"/>
        <v>8.59375</v>
      </c>
      <c r="W14" s="190" t="e">
        <f t="shared" si="0"/>
        <v>#REF!</v>
      </c>
      <c r="X14" s="190" t="e">
        <f t="shared" si="0"/>
        <v>#REF!</v>
      </c>
    </row>
    <row r="15" spans="2:25" ht="15.75" x14ac:dyDescent="0.25">
      <c r="N15" t="s">
        <v>411</v>
      </c>
      <c r="O15" s="192" t="e">
        <f ca="1">O14*0.34</f>
        <v>#REF!</v>
      </c>
      <c r="P15" s="192" t="e">
        <f ca="1">P14*0.245</f>
        <v>#REF!</v>
      </c>
      <c r="Q15" s="192">
        <f ca="1">Q14*0.34</f>
        <v>11.441581038361235</v>
      </c>
      <c r="R15" s="192" t="e">
        <f ca="1">R14*0.125</f>
        <v>#REF!</v>
      </c>
      <c r="S15" s="192" t="e">
        <f ca="1">S14*0.25</f>
        <v>#REF!</v>
      </c>
      <c r="T15" s="192" t="e">
        <f ca="1">T14*0.19</f>
        <v>#REF!</v>
      </c>
      <c r="U15" s="192">
        <f ca="1">U14*0.25</f>
        <v>6.0371837445154135</v>
      </c>
    </row>
    <row r="16" spans="2:25" ht="15.75" x14ac:dyDescent="0.25">
      <c r="N16" t="s">
        <v>412</v>
      </c>
      <c r="O16" s="197" t="e">
        <f ca="1">O15*1.2/1.05</f>
        <v>#REF!</v>
      </c>
      <c r="P16" s="197" t="e">
        <f ca="1">P15*1.2/1.05</f>
        <v>#REF!</v>
      </c>
      <c r="Q16" s="197">
        <f ca="1">Q15*1.2/1.05</f>
        <v>13.076092615269983</v>
      </c>
      <c r="R16" s="197" t="e">
        <f ca="1">R15</f>
        <v>#REF!</v>
      </c>
      <c r="S16" s="197" t="e">
        <f ca="1">S15*0.925/1.05</f>
        <v>#REF!</v>
      </c>
      <c r="T16" s="197" t="e">
        <f ca="1">T15*0.925/1.05</f>
        <v>#REF!</v>
      </c>
      <c r="U16" s="197">
        <f ca="1">U15*0.925/1.05</f>
        <v>5.3184713939778643</v>
      </c>
    </row>
    <row r="17" spans="14:21" ht="15.75" x14ac:dyDescent="0.25">
      <c r="N17" t="s">
        <v>413</v>
      </c>
      <c r="O17" s="197" t="e">
        <f ca="1">O15*0.925/1.05</f>
        <v>#REF!</v>
      </c>
      <c r="P17" s="197" t="e">
        <f ca="1">P15*0.925/1.05</f>
        <v>#REF!</v>
      </c>
      <c r="Q17" s="197">
        <f ca="1">Q15*0.925/1.05</f>
        <v>10.079488057603944</v>
      </c>
      <c r="R17" s="197" t="e">
        <f ca="1">R16</f>
        <v>#REF!</v>
      </c>
      <c r="S17" s="197" t="e">
        <f ca="1">S15*1.135/1.05</f>
        <v>#REF!</v>
      </c>
      <c r="T17" s="197" t="e">
        <f ca="1">T15*1.135/1.05</f>
        <v>#REF!</v>
      </c>
      <c r="U17" s="197">
        <f ca="1">U15*1.135/1.05</f>
        <v>6.5259081428809473</v>
      </c>
    </row>
  </sheetData>
  <conditionalFormatting sqref="E3:K1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 pageOrder="overThenDown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E26B0A"/>
  </sheetPr>
  <dimension ref="A1:AA16"/>
  <sheetViews>
    <sheetView workbookViewId="0">
      <selection activeCell="Q12" sqref="Q12"/>
    </sheetView>
  </sheetViews>
  <sheetFormatPr baseColWidth="10" defaultColWidth="11.42578125" defaultRowHeight="15" x14ac:dyDescent="0.25"/>
  <cols>
    <col min="1" max="1" width="6" customWidth="1"/>
    <col min="2" max="2" width="13.7109375" customWidth="1"/>
    <col min="3" max="3" width="4.5703125" customWidth="1"/>
    <col min="4" max="7" width="5.5703125" customWidth="1"/>
    <col min="8" max="8" width="4.5703125" customWidth="1"/>
    <col min="9" max="9" width="5.140625" customWidth="1"/>
    <col min="10" max="11" width="5.5703125" customWidth="1"/>
    <col min="12" max="12" width="6" customWidth="1"/>
    <col min="13" max="13" width="13.7109375" customWidth="1"/>
    <col min="14" max="14" width="7.42578125" customWidth="1"/>
    <col min="15" max="15" width="7.7109375" customWidth="1"/>
    <col min="16" max="16" width="7.42578125" customWidth="1"/>
    <col min="17" max="20" width="7" customWidth="1"/>
    <col min="21" max="23" width="6.5703125" customWidth="1"/>
  </cols>
  <sheetData>
    <row r="1" spans="1:27" x14ac:dyDescent="0.25">
      <c r="A1" s="146" t="s">
        <v>83</v>
      </c>
      <c r="B1" s="146" t="s">
        <v>84</v>
      </c>
      <c r="C1" s="146" t="s">
        <v>187</v>
      </c>
      <c r="D1" s="146" t="s">
        <v>14</v>
      </c>
      <c r="E1" s="146" t="s">
        <v>37</v>
      </c>
      <c r="F1" s="146" t="s">
        <v>168</v>
      </c>
      <c r="G1" s="146" t="s">
        <v>30</v>
      </c>
      <c r="H1" s="146" t="s">
        <v>170</v>
      </c>
      <c r="I1" s="146" t="s">
        <v>171</v>
      </c>
      <c r="J1" s="146" t="s">
        <v>172</v>
      </c>
      <c r="L1" s="90">
        <v>541</v>
      </c>
      <c r="M1" s="57" t="s">
        <v>405</v>
      </c>
      <c r="N1" s="45" t="s">
        <v>264</v>
      </c>
      <c r="O1" s="45" t="s">
        <v>406</v>
      </c>
      <c r="P1" s="45" t="s">
        <v>264</v>
      </c>
      <c r="Q1" s="45" t="s">
        <v>28</v>
      </c>
      <c r="R1" s="45" t="s">
        <v>266</v>
      </c>
      <c r="S1" s="45" t="s">
        <v>267</v>
      </c>
      <c r="T1" s="45" t="s">
        <v>266</v>
      </c>
      <c r="U1" s="45" t="s">
        <v>261</v>
      </c>
      <c r="V1" s="45" t="s">
        <v>407</v>
      </c>
      <c r="W1" s="45" t="s">
        <v>408</v>
      </c>
    </row>
    <row r="2" spans="1:27" x14ac:dyDescent="0.25">
      <c r="A2" t="s">
        <v>14</v>
      </c>
      <c r="B2" t="str">
        <f>Evaluacion!A3</f>
        <v>D. Gehmacher</v>
      </c>
      <c r="C2">
        <f>Evaluacion!D3</f>
        <v>0</v>
      </c>
      <c r="D2" s="71">
        <f>Evaluacion!K3</f>
        <v>9.9499999999999993</v>
      </c>
      <c r="E2" s="71">
        <f>Evaluacion!L3</f>
        <v>3.95</v>
      </c>
      <c r="F2" s="71">
        <f>Evaluacion!M3</f>
        <v>0</v>
      </c>
      <c r="G2" s="71">
        <f>Evaluacion!N3</f>
        <v>0</v>
      </c>
      <c r="H2" s="71">
        <f>Evaluacion!O3</f>
        <v>0</v>
      </c>
      <c r="I2" s="71">
        <f>Evaluacion!P3</f>
        <v>0</v>
      </c>
      <c r="J2" s="71">
        <f>Evaluacion!Q3</f>
        <v>14.95</v>
      </c>
      <c r="L2" t="str">
        <f t="shared" ref="L2:L12" si="0">A2</f>
        <v>POR</v>
      </c>
      <c r="M2" s="189">
        <v>1</v>
      </c>
      <c r="N2" s="130">
        <f ca="1">Evaluacion!X3</f>
        <v>9.5503789770380312</v>
      </c>
      <c r="O2" s="130">
        <f ca="1">Evaluacion!Y3</f>
        <v>14.022090789640433</v>
      </c>
      <c r="P2" s="130">
        <f ca="1">Evaluacion!Z3</f>
        <v>9.5503789770380312</v>
      </c>
      <c r="Q2" s="130">
        <v>0</v>
      </c>
      <c r="R2" s="130">
        <v>0</v>
      </c>
      <c r="S2" s="130">
        <v>0</v>
      </c>
      <c r="T2" s="130">
        <v>0</v>
      </c>
      <c r="U2" s="130">
        <v>0</v>
      </c>
      <c r="V2" s="130">
        <f>Evaluacion!T3</f>
        <v>0.44849999999999995</v>
      </c>
      <c r="W2" s="130">
        <f>Evaluacion!U3</f>
        <v>0.60649999999999993</v>
      </c>
      <c r="AA2" s="49"/>
    </row>
    <row r="3" spans="1:27" x14ac:dyDescent="0.25">
      <c r="A3" t="s">
        <v>409</v>
      </c>
      <c r="B3" t="str">
        <f>Evaluacion!A9</f>
        <v>E. Deus</v>
      </c>
      <c r="C3" t="str">
        <f>Evaluacion!D9</f>
        <v>IMP</v>
      </c>
      <c r="D3" s="71">
        <f>Evaluacion!K9</f>
        <v>0</v>
      </c>
      <c r="E3" s="71">
        <f>Evaluacion!L9</f>
        <v>12.333333333333334</v>
      </c>
      <c r="F3" s="71">
        <f>Evaluacion!M9</f>
        <v>8.8000000000000007</v>
      </c>
      <c r="G3" s="71">
        <f>Evaluacion!N9</f>
        <v>1</v>
      </c>
      <c r="H3" s="71">
        <f>Evaluacion!O9</f>
        <v>6</v>
      </c>
      <c r="I3" s="71">
        <f>Evaluacion!P9</f>
        <v>6</v>
      </c>
      <c r="J3" s="71">
        <f>Evaluacion!Q9</f>
        <v>18.5</v>
      </c>
      <c r="L3" t="str">
        <f t="shared" si="0"/>
        <v>LATN</v>
      </c>
      <c r="M3" s="189">
        <v>1</v>
      </c>
      <c r="N3" s="130">
        <f ca="1">Evaluacion!AI9</f>
        <v>13.184443979794272</v>
      </c>
      <c r="O3" s="130">
        <f ca="1">Evaluacion!AJ9</f>
        <v>5.9329997909074219</v>
      </c>
      <c r="P3" s="130">
        <v>0</v>
      </c>
      <c r="Q3" s="130">
        <f ca="1">Evaluacion!AK9</f>
        <v>1.8031965340133806</v>
      </c>
      <c r="R3" s="130">
        <f ca="1">Evaluacion!AL9</f>
        <v>1.7625794131728612</v>
      </c>
      <c r="S3" s="130">
        <v>0</v>
      </c>
      <c r="T3" s="130">
        <v>0</v>
      </c>
      <c r="U3" s="130">
        <f>Evaluacion!R9</f>
        <v>3.416666666666667</v>
      </c>
      <c r="V3" s="130">
        <f>Evaluacion!T9</f>
        <v>0.85500000000000009</v>
      </c>
      <c r="W3" s="130">
        <f>Evaluacion!U9</f>
        <v>1.0483333333333333</v>
      </c>
      <c r="AA3" s="49"/>
    </row>
    <row r="4" spans="1:27" x14ac:dyDescent="0.25">
      <c r="A4" t="s">
        <v>414</v>
      </c>
      <c r="B4" t="str">
        <f>Evaluacion!A7</f>
        <v>S. Swärdborn</v>
      </c>
      <c r="C4" t="str">
        <f>Evaluacion!D7</f>
        <v>IMP</v>
      </c>
      <c r="D4" s="71">
        <f>Evaluacion!K7</f>
        <v>0</v>
      </c>
      <c r="E4" s="71">
        <f>Evaluacion!L7</f>
        <v>13.23076923076923</v>
      </c>
      <c r="F4" s="71">
        <f>Evaluacion!M7</f>
        <v>9.3333333333333339</v>
      </c>
      <c r="G4" s="71">
        <f>Evaluacion!N7</f>
        <v>1</v>
      </c>
      <c r="H4" s="71">
        <f>Evaluacion!O7</f>
        <v>3</v>
      </c>
      <c r="I4" s="71">
        <f>Evaluacion!P7</f>
        <v>7.25</v>
      </c>
      <c r="J4" s="71">
        <f>Evaluacion!Q7</f>
        <v>18.25</v>
      </c>
      <c r="L4" t="str">
        <f t="shared" si="0"/>
        <v>DCHL</v>
      </c>
      <c r="M4" s="189">
        <v>0.9</v>
      </c>
      <c r="N4" s="130">
        <f ca="1">M4*Evaluacion!AM7</f>
        <v>10.392524005090456</v>
      </c>
      <c r="O4" s="130">
        <f ca="1">M4*Evaluacion!AN7</f>
        <v>9.7584973416499228</v>
      </c>
      <c r="P4" s="130">
        <v>0</v>
      </c>
      <c r="Q4" s="130">
        <f ca="1">M4*Evaluacion!AO7</f>
        <v>3.0561828366712285</v>
      </c>
      <c r="R4" s="130">
        <f ca="1">M4*Evaluacion!AP7</f>
        <v>1.2604197791326939</v>
      </c>
      <c r="S4" s="130">
        <v>0</v>
      </c>
      <c r="T4" s="130">
        <v>0</v>
      </c>
      <c r="U4" s="130">
        <f>Evaluacion!R7</f>
        <v>2.7788461538461537</v>
      </c>
      <c r="V4" s="130">
        <f>Evaluacion!T7*M4</f>
        <v>0.81899999999999995</v>
      </c>
      <c r="W4" s="130">
        <f>Evaluacion!U7*M4</f>
        <v>0.96905769230769234</v>
      </c>
      <c r="AA4" s="49"/>
    </row>
    <row r="5" spans="1:27" x14ac:dyDescent="0.25">
      <c r="A5" t="s">
        <v>121</v>
      </c>
      <c r="B5" t="str">
        <f>Evaluacion!A6</f>
        <v>S. Embe</v>
      </c>
      <c r="C5">
        <f>Evaluacion!D6</f>
        <v>0</v>
      </c>
      <c r="D5" s="71">
        <f>Evaluacion!K6</f>
        <v>0</v>
      </c>
      <c r="E5" s="71">
        <f>Evaluacion!L6</f>
        <v>12.416666666666666</v>
      </c>
      <c r="F5" s="71">
        <f>Evaluacion!M6</f>
        <v>6.2</v>
      </c>
      <c r="G5" s="71">
        <f>Evaluacion!N6</f>
        <v>1</v>
      </c>
      <c r="H5" s="71">
        <f>Evaluacion!O6</f>
        <v>5</v>
      </c>
      <c r="I5" s="71">
        <f>Evaluacion!P6</f>
        <v>7</v>
      </c>
      <c r="J5" s="71">
        <f>Evaluacion!Q6</f>
        <v>19.8</v>
      </c>
      <c r="L5" t="str">
        <f t="shared" si="0"/>
        <v>DCN</v>
      </c>
      <c r="M5" s="189">
        <v>0.9</v>
      </c>
      <c r="N5" s="130">
        <f ca="1">M5*(Evaluacion!AA6+Evaluacion!AC6)/2</f>
        <v>4.9976266700136467</v>
      </c>
      <c r="O5" s="130">
        <f ca="1">M5*Evaluacion!AB6</f>
        <v>12.913764005203221</v>
      </c>
      <c r="P5" s="130">
        <f ca="1">N5</f>
        <v>4.9976266700136467</v>
      </c>
      <c r="Q5" s="130">
        <f ca="1">M5*Evaluacion!AD6</f>
        <v>1.741865833238367</v>
      </c>
      <c r="R5" s="130">
        <v>0</v>
      </c>
      <c r="S5" s="130">
        <f>0</f>
        <v>0</v>
      </c>
      <c r="T5" s="130">
        <v>0</v>
      </c>
      <c r="U5" s="130">
        <f>Evaluacion!R6</f>
        <v>3.177083333333333</v>
      </c>
      <c r="V5" s="130">
        <f>Evaluacion!T6*M5</f>
        <v>0.84960000000000013</v>
      </c>
      <c r="W5" s="130">
        <f>Evaluacion!U6*M5</f>
        <v>0.98160000000000003</v>
      </c>
      <c r="AA5" s="49"/>
    </row>
    <row r="6" spans="1:27" x14ac:dyDescent="0.25">
      <c r="A6" t="s">
        <v>414</v>
      </c>
      <c r="B6" t="str">
        <f>Evaluacion!A5</f>
        <v>V. Gardner</v>
      </c>
      <c r="C6">
        <f>Evaluacion!D5</f>
        <v>0</v>
      </c>
      <c r="D6" s="71">
        <f>Evaluacion!K5</f>
        <v>0</v>
      </c>
      <c r="E6" s="71">
        <f>Evaluacion!L5</f>
        <v>13.583333333333334</v>
      </c>
      <c r="F6" s="71">
        <f>Evaluacion!M5</f>
        <v>7.8</v>
      </c>
      <c r="G6" s="71">
        <f>Evaluacion!N5</f>
        <v>3</v>
      </c>
      <c r="H6" s="71">
        <f>Evaluacion!O5</f>
        <v>5</v>
      </c>
      <c r="I6" s="71">
        <f>Evaluacion!P5</f>
        <v>7.166666666666667</v>
      </c>
      <c r="J6" s="71">
        <f>Evaluacion!Q5</f>
        <v>18.75</v>
      </c>
      <c r="L6" t="str">
        <f t="shared" si="0"/>
        <v>DCHL</v>
      </c>
      <c r="M6" s="189">
        <v>0.9</v>
      </c>
      <c r="N6" s="130">
        <v>0</v>
      </c>
      <c r="O6" s="130">
        <f ca="1">M6*Evaluacion!AN5</f>
        <v>9.9536173023259451</v>
      </c>
      <c r="P6" s="130">
        <f ca="1">M6*Evaluacion!AM5</f>
        <v>10.600321251347122</v>
      </c>
      <c r="Q6" s="130">
        <f ca="1">M6*Evaluacion!AO5</f>
        <v>3.1243665105768823</v>
      </c>
      <c r="R6" s="130">
        <v>0</v>
      </c>
      <c r="S6" s="130">
        <v>0</v>
      </c>
      <c r="T6" s="130">
        <f ca="1">M6*Evaluacion!AP5</f>
        <v>1.3894290721325873</v>
      </c>
      <c r="U6" s="130">
        <f>Evaluacion!R5</f>
        <v>3.322916666666667</v>
      </c>
      <c r="V6" s="130">
        <f>Evaluacion!T5*M6</f>
        <v>0.8287500000000001</v>
      </c>
      <c r="W6" s="130">
        <f>Evaluacion!U5*M6</f>
        <v>0.99525000000000008</v>
      </c>
      <c r="AA6" s="49"/>
    </row>
    <row r="7" spans="1:27" x14ac:dyDescent="0.25">
      <c r="A7" t="s">
        <v>409</v>
      </c>
      <c r="B7" t="e">
        <f>#REF!</f>
        <v>#REF!</v>
      </c>
      <c r="C7" t="e">
        <f>#REF!</f>
        <v>#REF!</v>
      </c>
      <c r="D7" s="71" t="e">
        <f>#REF!</f>
        <v>#REF!</v>
      </c>
      <c r="E7" s="71" t="e">
        <f>#REF!</f>
        <v>#REF!</v>
      </c>
      <c r="F7" s="71" t="e">
        <f>#REF!</f>
        <v>#REF!</v>
      </c>
      <c r="G7" s="71" t="e">
        <f>#REF!</f>
        <v>#REF!</v>
      </c>
      <c r="H7" s="71" t="e">
        <f>#REF!</f>
        <v>#REF!</v>
      </c>
      <c r="I7" s="71" t="e">
        <f>#REF!</f>
        <v>#REF!</v>
      </c>
      <c r="J7" s="71" t="e">
        <f>#REF!</f>
        <v>#REF!</v>
      </c>
      <c r="L7" t="str">
        <f t="shared" si="0"/>
        <v>LATN</v>
      </c>
      <c r="M7" s="189">
        <v>1</v>
      </c>
      <c r="N7" s="130">
        <v>0</v>
      </c>
      <c r="O7" s="130" t="e">
        <f>#REF!</f>
        <v>#REF!</v>
      </c>
      <c r="P7" s="130" t="e">
        <f>#REF!</f>
        <v>#REF!</v>
      </c>
      <c r="Q7" s="130" t="e">
        <f>#REF!</f>
        <v>#REF!</v>
      </c>
      <c r="R7" s="130">
        <v>0</v>
      </c>
      <c r="S7" s="130">
        <v>0</v>
      </c>
      <c r="T7" s="130" t="e">
        <f>#REF!</f>
        <v>#REF!</v>
      </c>
      <c r="U7" s="130" t="e">
        <f>#REF!</f>
        <v>#REF!</v>
      </c>
      <c r="V7" s="130" t="e">
        <f>#REF!</f>
        <v>#REF!</v>
      </c>
      <c r="W7" s="130" t="e">
        <f>#REF!</f>
        <v>#REF!</v>
      </c>
      <c r="AA7" s="49"/>
    </row>
    <row r="8" spans="1:27" x14ac:dyDescent="0.25">
      <c r="A8" t="s">
        <v>253</v>
      </c>
      <c r="B8" t="str">
        <f>Evaluacion!A13</f>
        <v>Dusty Ware</v>
      </c>
      <c r="C8" t="str">
        <f>Evaluacion!D13</f>
        <v>POT</v>
      </c>
      <c r="D8" s="71">
        <f>Evaluacion!K13</f>
        <v>0</v>
      </c>
      <c r="E8" s="71">
        <f>Evaluacion!L13</f>
        <v>9.25</v>
      </c>
      <c r="F8" s="71">
        <f>Evaluacion!M13</f>
        <v>14.153846153846153</v>
      </c>
      <c r="G8" s="71">
        <f>Evaluacion!N13</f>
        <v>4</v>
      </c>
      <c r="H8" s="71">
        <f>Evaluacion!O13</f>
        <v>3</v>
      </c>
      <c r="I8" s="71">
        <f>Evaluacion!P13</f>
        <v>8</v>
      </c>
      <c r="J8" s="71">
        <f>Evaluacion!Q13</f>
        <v>17.25</v>
      </c>
      <c r="L8" t="str">
        <f t="shared" si="0"/>
        <v>IHL</v>
      </c>
      <c r="M8" s="189">
        <f>1-0.065</f>
        <v>0.93500000000000005</v>
      </c>
      <c r="N8" s="130">
        <f ca="1">M8*Evaluacion!BE13</f>
        <v>2.9082465664826551</v>
      </c>
      <c r="O8" s="130">
        <f ca="1">M8*Evaluacion!BF13</f>
        <v>3.4779031104328659</v>
      </c>
      <c r="P8" s="130">
        <v>0</v>
      </c>
      <c r="Q8" s="130">
        <f ca="1">Evaluacion!BG13*M8</f>
        <v>12.844161206628563</v>
      </c>
      <c r="R8" s="130">
        <f ca="1">Evaluacion!BH13*M8</f>
        <v>4.2262395407322346</v>
      </c>
      <c r="S8" s="130">
        <f ca="1">Evaluacion!BI13*M8</f>
        <v>1.0002040937193126</v>
      </c>
      <c r="T8" s="130">
        <v>0</v>
      </c>
      <c r="U8" s="130">
        <v>0</v>
      </c>
      <c r="V8" s="130">
        <f>Evaluacion!T13*M8</f>
        <v>0.85786250000000008</v>
      </c>
      <c r="W8" s="130">
        <f>Evaluacion!U13*M8</f>
        <v>0.82981249999999995</v>
      </c>
      <c r="AA8" s="49"/>
    </row>
    <row r="9" spans="1:27" x14ac:dyDescent="0.25">
      <c r="A9" t="s">
        <v>253</v>
      </c>
      <c r="B9" t="str">
        <f>Evaluacion!A12</f>
        <v>R. Forsyth</v>
      </c>
      <c r="C9" t="str">
        <f>Evaluacion!D12</f>
        <v>POT</v>
      </c>
      <c r="D9" s="71">
        <f>Evaluacion!K12</f>
        <v>0</v>
      </c>
      <c r="E9" s="71">
        <f>Evaluacion!L12</f>
        <v>9.75</v>
      </c>
      <c r="F9" s="71">
        <f>Evaluacion!M12</f>
        <v>14.538461538461538</v>
      </c>
      <c r="G9" s="71">
        <f>Evaluacion!N12</f>
        <v>3</v>
      </c>
      <c r="H9" s="71">
        <f>Evaluacion!O12</f>
        <v>4</v>
      </c>
      <c r="I9" s="71">
        <f>Evaluacion!P12</f>
        <v>7</v>
      </c>
      <c r="J9" s="71">
        <f>Evaluacion!Q12</f>
        <v>18.25</v>
      </c>
      <c r="L9" t="str">
        <f t="shared" si="0"/>
        <v>IHL</v>
      </c>
      <c r="M9" s="189">
        <f>1-0.065</f>
        <v>0.93500000000000005</v>
      </c>
      <c r="N9" s="130">
        <v>0</v>
      </c>
      <c r="O9" s="130">
        <f ca="1">M9*Evaluacion!BF12</f>
        <v>3.8416062105719222</v>
      </c>
      <c r="P9" s="130">
        <f ca="1">M9*Evaluacion!BE12</f>
        <v>3.2123776071161765</v>
      </c>
      <c r="Q9" s="130">
        <f ca="1">Evaluacion!BG12*M9</f>
        <v>13.669868973183075</v>
      </c>
      <c r="R9" s="130">
        <v>0</v>
      </c>
      <c r="S9" s="130">
        <f ca="1">Evaluacion!BI12*M9</f>
        <v>1.3647464418041189</v>
      </c>
      <c r="T9" s="130">
        <f ca="1">Evaluacion!BH12*M9</f>
        <v>4.4975821442483879</v>
      </c>
      <c r="U9" s="130">
        <v>0</v>
      </c>
      <c r="V9" s="130">
        <f>Evaluacion!T12*M9</f>
        <v>0.83916250000000003</v>
      </c>
      <c r="W9" s="130">
        <f>Evaluacion!U12*M9</f>
        <v>0.87656250000000002</v>
      </c>
      <c r="AA9" s="49"/>
    </row>
    <row r="10" spans="1:27" x14ac:dyDescent="0.25">
      <c r="A10" t="s">
        <v>256</v>
      </c>
      <c r="B10" t="str">
        <f>Evaluacion!A10</f>
        <v>M.A. Balbinot</v>
      </c>
      <c r="C10" t="str">
        <f>Evaluacion!D10</f>
        <v>RAP</v>
      </c>
      <c r="D10" s="71">
        <f>Evaluacion!K10</f>
        <v>0</v>
      </c>
      <c r="E10" s="71">
        <f>Evaluacion!L10</f>
        <v>8</v>
      </c>
      <c r="F10" s="71">
        <f>Evaluacion!M10</f>
        <v>14</v>
      </c>
      <c r="G10" s="71">
        <f>Evaluacion!N10</f>
        <v>7</v>
      </c>
      <c r="H10" s="71">
        <f>Evaluacion!O10</f>
        <v>8</v>
      </c>
      <c r="I10" s="71">
        <f>Evaluacion!P10</f>
        <v>9.0625</v>
      </c>
      <c r="J10" s="71">
        <f>Evaluacion!Q10</f>
        <v>15.5</v>
      </c>
      <c r="L10" t="str">
        <f t="shared" si="0"/>
        <v>EXTN</v>
      </c>
      <c r="M10" s="189">
        <v>1</v>
      </c>
      <c r="N10" s="130">
        <f ca="1">Evaluacion!BT10</f>
        <v>2.7712897111106818</v>
      </c>
      <c r="O10" s="130">
        <f ca="1">Evaluacion!BU10</f>
        <v>2.3809672165880511</v>
      </c>
      <c r="P10" s="130">
        <v>0</v>
      </c>
      <c r="Q10" s="130">
        <f ca="1">Evaluacion!BV10</f>
        <v>7.1699183751949311</v>
      </c>
      <c r="R10" s="130">
        <f ca="1">Evaluacion!BW10</f>
        <v>9.9479330982768879</v>
      </c>
      <c r="S10" s="130">
        <f ca="1">Evaluacion!BX10</f>
        <v>1.1807255459309596</v>
      </c>
      <c r="T10" s="130">
        <v>0</v>
      </c>
      <c r="U10" s="130">
        <v>0</v>
      </c>
      <c r="V10" s="130">
        <f>Evaluacion!T10</f>
        <v>0.91812499999999986</v>
      </c>
      <c r="W10" s="130">
        <f>Evaluacion!U10</f>
        <v>0.78499999999999992</v>
      </c>
      <c r="AA10" s="49"/>
    </row>
    <row r="11" spans="1:27" x14ac:dyDescent="0.25">
      <c r="A11" t="s">
        <v>256</v>
      </c>
      <c r="B11" t="str">
        <f>Evaluacion!A11</f>
        <v>P. Tuderek</v>
      </c>
      <c r="C11" t="str">
        <f>Evaluacion!D11</f>
        <v>CAB</v>
      </c>
      <c r="D11" s="71">
        <f>Evaluacion!K11</f>
        <v>0</v>
      </c>
      <c r="E11" s="71">
        <f>Evaluacion!L11</f>
        <v>8.8333333333333339</v>
      </c>
      <c r="F11" s="71">
        <f>Evaluacion!M11</f>
        <v>13.909090909090908</v>
      </c>
      <c r="G11" s="71">
        <f>Evaluacion!N11</f>
        <v>2</v>
      </c>
      <c r="H11" s="71">
        <f>Evaluacion!O11</f>
        <v>3</v>
      </c>
      <c r="I11" s="71">
        <f>Evaluacion!P11</f>
        <v>7.416666666666667</v>
      </c>
      <c r="J11" s="71">
        <f>Evaluacion!Q11</f>
        <v>19.600000000000001</v>
      </c>
      <c r="L11" t="str">
        <f t="shared" si="0"/>
        <v>EXTN</v>
      </c>
      <c r="M11" s="189">
        <v>1</v>
      </c>
      <c r="N11" s="130">
        <v>0</v>
      </c>
      <c r="O11" s="130">
        <f ca="1">Evaluacion!BU11</f>
        <v>2.6322730877958547</v>
      </c>
      <c r="P11" s="130">
        <f ca="1">Evaluacion!BT11</f>
        <v>3.063793266123044</v>
      </c>
      <c r="Q11" s="130">
        <f ca="1">Evaluacion!BV11</f>
        <v>7.2180117254414755</v>
      </c>
      <c r="R11" s="130">
        <v>0</v>
      </c>
      <c r="S11" s="130">
        <f ca="1">Evaluacion!BX11</f>
        <v>0.59951520610641429</v>
      </c>
      <c r="T11" s="130">
        <f ca="1">Evaluacion!BW11</f>
        <v>4.6257756063298103</v>
      </c>
      <c r="U11" s="130">
        <v>0</v>
      </c>
      <c r="V11" s="130">
        <f>Evaluacion!T11</f>
        <v>0.95883333333333332</v>
      </c>
      <c r="W11" s="130">
        <f>Evaluacion!U11</f>
        <v>0.94133333333333336</v>
      </c>
      <c r="AA11" s="49"/>
    </row>
    <row r="12" spans="1:27" x14ac:dyDescent="0.25">
      <c r="A12" t="s">
        <v>123</v>
      </c>
      <c r="B12" t="str">
        <f>Evaluacion!A19</f>
        <v>M. Bondarewski</v>
      </c>
      <c r="C12" t="str">
        <f>Evaluacion!D19</f>
        <v>RAP</v>
      </c>
      <c r="D12" s="71">
        <f>Evaluacion!K19</f>
        <v>0</v>
      </c>
      <c r="E12" s="71">
        <f>Evaluacion!L19</f>
        <v>4.75</v>
      </c>
      <c r="F12" s="71">
        <f>Evaluacion!M19</f>
        <v>14.692307692307692</v>
      </c>
      <c r="G12" s="71">
        <f>Evaluacion!N19</f>
        <v>5</v>
      </c>
      <c r="H12" s="71">
        <f>Evaluacion!O19</f>
        <v>4</v>
      </c>
      <c r="I12" s="71">
        <f>Evaluacion!P19</f>
        <v>8.5769230769230766</v>
      </c>
      <c r="J12" s="71">
        <f>Evaluacion!Q19</f>
        <v>19.8</v>
      </c>
      <c r="L12" t="str">
        <f t="shared" si="0"/>
        <v>DD</v>
      </c>
      <c r="M12" s="189">
        <v>1</v>
      </c>
      <c r="N12" s="130">
        <v>0</v>
      </c>
      <c r="O12" s="130">
        <v>0</v>
      </c>
      <c r="P12" s="130">
        <v>0</v>
      </c>
      <c r="Q12" s="130">
        <f ca="1">M12*Evaluacion!CD19</f>
        <v>6.8037866071811282</v>
      </c>
      <c r="R12" s="130">
        <f ca="1">M12*Evaluacion!CE19</f>
        <v>3.8855444657896521</v>
      </c>
      <c r="S12" s="130">
        <f ca="1">M12*Evaluacion!CF19</f>
        <v>9.4984227654257971</v>
      </c>
      <c r="T12" s="130">
        <f ca="1">R12</f>
        <v>3.8855444657896521</v>
      </c>
      <c r="U12" s="130">
        <v>0</v>
      </c>
      <c r="V12" s="130">
        <f>Evaluacion!T19*M12</f>
        <v>1.0228461538461537</v>
      </c>
      <c r="W12" s="130">
        <f>Evaluacion!U19*M12</f>
        <v>0.78400000000000003</v>
      </c>
      <c r="AA12" s="49"/>
    </row>
    <row r="13" spans="1:27" x14ac:dyDescent="0.25">
      <c r="M13" s="57"/>
      <c r="N13" s="190">
        <f t="shared" ref="N13:W13" ca="1" si="1">SUM(N2:N12)</f>
        <v>43.804509909529742</v>
      </c>
      <c r="O13" s="190" t="e">
        <f t="shared" ca="1" si="1"/>
        <v>#REF!</v>
      </c>
      <c r="P13" s="190" t="e">
        <f t="shared" ca="1" si="1"/>
        <v>#REF!</v>
      </c>
      <c r="Q13" s="190" t="e">
        <f t="shared" ca="1" si="1"/>
        <v>#REF!</v>
      </c>
      <c r="R13" s="190">
        <f t="shared" ca="1" si="1"/>
        <v>21.08271629710433</v>
      </c>
      <c r="S13" s="190">
        <f t="shared" ca="1" si="1"/>
        <v>13.643614052986603</v>
      </c>
      <c r="T13" s="190" t="e">
        <f t="shared" ca="1" si="1"/>
        <v>#REF!</v>
      </c>
      <c r="U13" s="191" t="e">
        <f t="shared" si="1"/>
        <v>#REF!</v>
      </c>
      <c r="V13" s="191" t="e">
        <f t="shared" si="1"/>
        <v>#REF!</v>
      </c>
      <c r="W13" s="191" t="e">
        <f t="shared" si="1"/>
        <v>#REF!</v>
      </c>
    </row>
    <row r="14" spans="1:27" ht="15.75" x14ac:dyDescent="0.25">
      <c r="M14" t="s">
        <v>411</v>
      </c>
      <c r="N14" s="192">
        <f ca="1">N13*0.34</f>
        <v>14.893533369240114</v>
      </c>
      <c r="O14" s="192" t="e">
        <f ca="1">O13*0.245</f>
        <v>#REF!</v>
      </c>
      <c r="P14" s="192" t="e">
        <f ca="1">P13*0.34</f>
        <v>#REF!</v>
      </c>
      <c r="Q14" s="192" t="e">
        <f ca="1">Q13*0.125</f>
        <v>#REF!</v>
      </c>
      <c r="R14" s="192">
        <f ca="1">R13*0.25</f>
        <v>5.2706790742760825</v>
      </c>
      <c r="S14" s="192">
        <f ca="1">S13*0.19</f>
        <v>2.5922866700674545</v>
      </c>
      <c r="T14" s="192" t="e">
        <f ca="1">T13*0.25</f>
        <v>#REF!</v>
      </c>
    </row>
    <row r="15" spans="1:27" ht="15.75" x14ac:dyDescent="0.25">
      <c r="M15" t="s">
        <v>412</v>
      </c>
      <c r="N15" s="197">
        <f ca="1">N14*1.2/1.05</f>
        <v>17.021180993417271</v>
      </c>
      <c r="O15" s="197" t="e">
        <f ca="1">O14*1.2/1.05</f>
        <v>#REF!</v>
      </c>
      <c r="P15" s="197" t="e">
        <f ca="1">P14*1.2/1.05</f>
        <v>#REF!</v>
      </c>
      <c r="Q15" s="197" t="e">
        <f ca="1">Q14</f>
        <v>#REF!</v>
      </c>
      <c r="R15" s="197">
        <f ca="1">R14*0.925/1.05</f>
        <v>4.6432172797194067</v>
      </c>
      <c r="S15" s="197">
        <f ca="1">S14*0.925/1.05</f>
        <v>2.2836811141070434</v>
      </c>
      <c r="T15" s="197" t="e">
        <f ca="1">T14*0.925/1.05</f>
        <v>#REF!</v>
      </c>
    </row>
    <row r="16" spans="1:27" ht="15.75" x14ac:dyDescent="0.25">
      <c r="M16" t="s">
        <v>413</v>
      </c>
      <c r="N16" s="197">
        <f ca="1">N14*0.925/1.05</f>
        <v>13.120493682425815</v>
      </c>
      <c r="O16" s="197" t="e">
        <f ca="1">O14*0.925/1.05</f>
        <v>#REF!</v>
      </c>
      <c r="P16" s="197" t="e">
        <f ca="1">P14*0.925/1.05</f>
        <v>#REF!</v>
      </c>
      <c r="Q16" s="197" t="e">
        <f ca="1">Q15</f>
        <v>#REF!</v>
      </c>
      <c r="R16" s="197">
        <f ca="1">R14*1.135/1.05</f>
        <v>5.6973530945746225</v>
      </c>
      <c r="S16" s="197">
        <f ca="1">S14*1.135/1.05</f>
        <v>2.8021384481205338</v>
      </c>
      <c r="T16" s="197" t="e">
        <f ca="1">T14*1.135/1.05</f>
        <v>#REF!</v>
      </c>
    </row>
  </sheetData>
  <conditionalFormatting sqref="D2:J1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 pageOrder="overThenDown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DA9694"/>
  </sheetPr>
  <dimension ref="A1:AE25"/>
  <sheetViews>
    <sheetView workbookViewId="0">
      <selection activeCell="M12" sqref="M12"/>
    </sheetView>
  </sheetViews>
  <sheetFormatPr baseColWidth="10" defaultColWidth="11.42578125" defaultRowHeight="15" x14ac:dyDescent="0.25"/>
  <cols>
    <col min="1" max="1" width="4" customWidth="1"/>
    <col min="2" max="2" width="20.7109375" customWidth="1"/>
    <col min="3" max="3" width="5.5703125" customWidth="1"/>
    <col min="4" max="4" width="5" customWidth="1"/>
    <col min="5" max="11" width="5.5703125" customWidth="1"/>
    <col min="12" max="12" width="6.42578125" style="57" customWidth="1"/>
    <col min="13" max="13" width="8.28515625" style="57" customWidth="1"/>
    <col min="14" max="14" width="5.5703125" bestFit="1" customWidth="1"/>
    <col min="15" max="15" width="5.85546875" bestFit="1" customWidth="1"/>
    <col min="16" max="16" width="5.5703125" bestFit="1" customWidth="1"/>
    <col min="17" max="17" width="5.7109375" bestFit="1" customWidth="1"/>
    <col min="18" max="21" width="5.5703125" bestFit="1" customWidth="1"/>
    <col min="22" max="22" width="3.5703125" bestFit="1" customWidth="1"/>
    <col min="23" max="23" width="4.7109375" bestFit="1" customWidth="1"/>
    <col min="24" max="24" width="12.42578125" customWidth="1"/>
    <col min="27" max="27" width="6" customWidth="1"/>
    <col min="28" max="28" width="13.7109375" customWidth="1"/>
    <col min="30" max="30" width="5.7109375" customWidth="1"/>
    <col min="31" max="31" width="13.7109375" customWidth="1"/>
  </cols>
  <sheetData>
    <row r="1" spans="1:31" x14ac:dyDescent="0.25">
      <c r="B1" t="s">
        <v>415</v>
      </c>
      <c r="AA1" t="s">
        <v>416</v>
      </c>
      <c r="AD1" t="s">
        <v>417</v>
      </c>
    </row>
    <row r="2" spans="1:31" x14ac:dyDescent="0.25">
      <c r="B2" s="73">
        <v>44035</v>
      </c>
      <c r="X2" s="203"/>
      <c r="AA2" s="146" t="s">
        <v>83</v>
      </c>
      <c r="AB2" s="146" t="s">
        <v>84</v>
      </c>
      <c r="AD2" s="146" t="s">
        <v>83</v>
      </c>
      <c r="AE2" s="146" t="s">
        <v>84</v>
      </c>
    </row>
    <row r="3" spans="1:31" x14ac:dyDescent="0.25">
      <c r="A3" s="79" t="s">
        <v>418</v>
      </c>
      <c r="B3" s="79" t="str">
        <f>PLANTILLA!D3</f>
        <v>Jugador</v>
      </c>
      <c r="C3" s="79" t="str">
        <f>PLANTILLA!E3</f>
        <v>Anys</v>
      </c>
      <c r="D3" s="79" t="str">
        <f>PLANTILLA!F3</f>
        <v>Dias</v>
      </c>
      <c r="E3" s="79" t="str">
        <f>PLANTILLA!X3</f>
        <v>Po</v>
      </c>
      <c r="F3" s="79" t="str">
        <f>PLANTILLA!Y3</f>
        <v>De</v>
      </c>
      <c r="G3" s="79" t="str">
        <f>PLANTILLA!Z3</f>
        <v>Cr</v>
      </c>
      <c r="H3" s="79" t="str">
        <f>PLANTILLA!AA3</f>
        <v>Ex</v>
      </c>
      <c r="I3" s="79" t="str">
        <f>PLANTILLA!AB3</f>
        <v>Ps</v>
      </c>
      <c r="J3" s="79" t="str">
        <f>PLANTILLA!AC3</f>
        <v>An</v>
      </c>
      <c r="K3" s="79" t="str">
        <f>PLANTILLA!AD3</f>
        <v>PA</v>
      </c>
      <c r="L3" s="198">
        <v>1</v>
      </c>
      <c r="M3" s="79" t="s">
        <v>419</v>
      </c>
      <c r="N3" s="201" t="s">
        <v>14</v>
      </c>
      <c r="O3" s="200" t="s">
        <v>410</v>
      </c>
      <c r="P3" s="199" t="s">
        <v>421</v>
      </c>
      <c r="Q3" s="313" t="s">
        <v>488</v>
      </c>
      <c r="R3" s="199" t="s">
        <v>422</v>
      </c>
      <c r="S3" s="199" t="s">
        <v>122</v>
      </c>
      <c r="T3" s="199" t="s">
        <v>253</v>
      </c>
      <c r="U3" s="199" t="s">
        <v>423</v>
      </c>
      <c r="V3" s="200" t="s">
        <v>123</v>
      </c>
      <c r="W3" s="200" t="s">
        <v>21</v>
      </c>
      <c r="X3" s="201" t="s">
        <v>424</v>
      </c>
      <c r="AA3" t="s">
        <v>14</v>
      </c>
      <c r="AB3" t="s">
        <v>126</v>
      </c>
      <c r="AD3" t="s">
        <v>14</v>
      </c>
      <c r="AE3" t="s">
        <v>126</v>
      </c>
    </row>
    <row r="4" spans="1:31" x14ac:dyDescent="0.25">
      <c r="A4" s="4" t="str">
        <f>PLANTILLA!A7</f>
        <v>#3</v>
      </c>
      <c r="B4" s="310" t="str">
        <f>PLANTILLA!D7</f>
        <v>S. Embe</v>
      </c>
      <c r="C4" s="4">
        <f>PLANTILLA!E7</f>
        <v>26</v>
      </c>
      <c r="D4" s="265">
        <f ca="1">PLANTILLA!F7</f>
        <v>20</v>
      </c>
      <c r="E4" s="48">
        <f>PLANTILLA!X7</f>
        <v>0</v>
      </c>
      <c r="F4" s="48">
        <f>PLANTILLA!Y7</f>
        <v>12.416666666666666</v>
      </c>
      <c r="G4" s="48">
        <f>PLANTILLA!Z7</f>
        <v>6.2</v>
      </c>
      <c r="H4" s="48">
        <f>PLANTILLA!AA7</f>
        <v>1</v>
      </c>
      <c r="I4" s="48">
        <f>PLANTILLA!AB7</f>
        <v>5</v>
      </c>
      <c r="J4" s="48">
        <f>PLANTILLA!AC7</f>
        <v>7</v>
      </c>
      <c r="K4" s="48">
        <f>PLANTILLA!AD7</f>
        <v>19.8</v>
      </c>
      <c r="L4" s="94">
        <f>1/10</f>
        <v>0.1</v>
      </c>
      <c r="M4" s="94">
        <f t="shared" ref="M4:M15" si="0">L4/6</f>
        <v>1.6666666666666666E-2</v>
      </c>
      <c r="N4" s="114"/>
      <c r="O4" s="114">
        <f>L4*(0.245*1+0.34*0.516+0.34*0.258)/(0.245+0.34)</f>
        <v>8.6864957264957285E-2</v>
      </c>
      <c r="P4" s="114">
        <f>L4*(0.245*0.708+0.34*0.754)/(0.245+0.34)</f>
        <v>7.3473504273504284E-2</v>
      </c>
      <c r="Q4" s="114">
        <f>L4*(0.245*0.479+0.34*1)/(0.245+0.34)</f>
        <v>7.8180341880341897E-2</v>
      </c>
      <c r="R4" s="114">
        <f>L4*(0.245*0.414+0.34*0.919)/(0.245+0.34)</f>
        <v>7.0750427350427358E-2</v>
      </c>
      <c r="S4" s="114"/>
      <c r="T4" s="114"/>
      <c r="U4" s="114"/>
      <c r="V4" s="114"/>
      <c r="W4" s="114"/>
      <c r="X4" s="114">
        <f t="shared" ref="X4:X25" si="1">MAX(N4:U4)</f>
        <v>8.6864957264957285E-2</v>
      </c>
      <c r="AA4" t="s">
        <v>409</v>
      </c>
      <c r="AB4" t="s">
        <v>425</v>
      </c>
      <c r="AD4" t="s">
        <v>409</v>
      </c>
      <c r="AE4" t="str">
        <f>AB4</f>
        <v>B. Pinczehelyi</v>
      </c>
    </row>
    <row r="5" spans="1:31" x14ac:dyDescent="0.25">
      <c r="A5" s="4" t="str">
        <f>PLANTILLA!A10</f>
        <v>#4</v>
      </c>
      <c r="B5" s="310" t="str">
        <f>PLANTILLA!D10</f>
        <v>E. Deus</v>
      </c>
      <c r="C5" s="4">
        <f>PLANTILLA!E10</f>
        <v>25</v>
      </c>
      <c r="D5" s="265">
        <f ca="1">PLANTILLA!F10</f>
        <v>3</v>
      </c>
      <c r="E5" s="48">
        <f>PLANTILLA!X10</f>
        <v>0</v>
      </c>
      <c r="F5" s="48">
        <f>PLANTILLA!Y10</f>
        <v>12.333333333333334</v>
      </c>
      <c r="G5" s="48">
        <f>PLANTILLA!Z10</f>
        <v>8.8000000000000007</v>
      </c>
      <c r="H5" s="48">
        <f>PLANTILLA!AA10</f>
        <v>1</v>
      </c>
      <c r="I5" s="48">
        <f>PLANTILLA!AB10</f>
        <v>6</v>
      </c>
      <c r="J5" s="48">
        <f>PLANTILLA!AC10</f>
        <v>6</v>
      </c>
      <c r="K5" s="48">
        <f>PLANTILLA!AD10</f>
        <v>18.5</v>
      </c>
      <c r="L5" s="94">
        <f>1/10</f>
        <v>0.1</v>
      </c>
      <c r="M5" s="94">
        <f t="shared" si="0"/>
        <v>1.6666666666666666E-2</v>
      </c>
      <c r="N5" s="114"/>
      <c r="O5" s="114">
        <f>L5*(0.245*1+0.34*0.516+0.34*0.258)/(0.245+0.34)</f>
        <v>8.6864957264957285E-2</v>
      </c>
      <c r="P5" s="114">
        <f>L5*(0.245*0.708+0.34*0.754)/(0.245+0.34)</f>
        <v>7.3473504273504284E-2</v>
      </c>
      <c r="Q5" s="114">
        <f>L5*(0.245*0.479+0.34*1)/(0.245+0.34)</f>
        <v>7.8180341880341897E-2</v>
      </c>
      <c r="R5" s="114">
        <f>L5*(0.245*0.414+0.34*0.919)/(0.245+0.34)</f>
        <v>7.0750427350427358E-2</v>
      </c>
      <c r="S5" s="114"/>
      <c r="T5" s="114"/>
      <c r="U5" s="114"/>
      <c r="V5" s="114"/>
      <c r="W5" s="114"/>
      <c r="X5" s="114">
        <f t="shared" si="1"/>
        <v>8.6864957264957285E-2</v>
      </c>
      <c r="AA5" t="s">
        <v>410</v>
      </c>
      <c r="AB5" t="s">
        <v>178</v>
      </c>
      <c r="AD5" t="s">
        <v>414</v>
      </c>
      <c r="AE5" t="s">
        <v>177</v>
      </c>
    </row>
    <row r="6" spans="1:31" x14ac:dyDescent="0.25">
      <c r="A6" s="4" t="str">
        <f>PLANTILLA!A5</f>
        <v>#1</v>
      </c>
      <c r="B6" s="310" t="str">
        <f>PLANTILLA!D5</f>
        <v>L. Guangwei</v>
      </c>
      <c r="C6" s="4">
        <f>PLANTILLA!E5</f>
        <v>26</v>
      </c>
      <c r="D6" s="265">
        <f ca="1">PLANTILLA!F5</f>
        <v>35</v>
      </c>
      <c r="E6" s="48">
        <f>PLANTILLA!X5</f>
        <v>15</v>
      </c>
      <c r="F6" s="48">
        <f>PLANTILLA!Y5</f>
        <v>6.6</v>
      </c>
      <c r="G6" s="48">
        <f>PLANTILLA!Z5</f>
        <v>3</v>
      </c>
      <c r="H6" s="48">
        <f>PLANTILLA!AA5</f>
        <v>1</v>
      </c>
      <c r="I6" s="48">
        <f>PLANTILLA!AB5</f>
        <v>5</v>
      </c>
      <c r="J6" s="48">
        <f>PLANTILLA!AC5</f>
        <v>5</v>
      </c>
      <c r="K6" s="48">
        <f>PLANTILLA!AD5</f>
        <v>21.5</v>
      </c>
      <c r="L6" s="94">
        <f>1/4</f>
        <v>0.25</v>
      </c>
      <c r="M6" s="94">
        <f t="shared" si="0"/>
        <v>4.1666666666666664E-2</v>
      </c>
      <c r="N6" s="114">
        <f>L6*(0.245*0.425+0.34*0.276)/(0.245+0.34)</f>
        <v>8.460042735042736E-2</v>
      </c>
      <c r="O6" s="114"/>
      <c r="P6" s="114"/>
      <c r="Q6" s="114"/>
      <c r="R6" s="114"/>
      <c r="S6" s="114"/>
      <c r="T6" s="114"/>
      <c r="U6" s="114"/>
      <c r="V6" s="114"/>
      <c r="W6" s="114"/>
      <c r="X6" s="114">
        <f t="shared" si="1"/>
        <v>8.460042735042736E-2</v>
      </c>
      <c r="AA6" t="s">
        <v>409</v>
      </c>
      <c r="AB6" t="s">
        <v>129</v>
      </c>
      <c r="AD6" t="s">
        <v>121</v>
      </c>
      <c r="AE6" t="s">
        <v>129</v>
      </c>
    </row>
    <row r="7" spans="1:31" x14ac:dyDescent="0.25">
      <c r="A7" s="4" t="str">
        <f>PLANTILLA!A8</f>
        <v>#2</v>
      </c>
      <c r="B7" s="310" t="str">
        <f>PLANTILLA!D8</f>
        <v>S. Swärdborn</v>
      </c>
      <c r="C7" s="4">
        <f>PLANTILLA!E8</f>
        <v>25</v>
      </c>
      <c r="D7" s="265">
        <f ca="1">PLANTILLA!F8</f>
        <v>64</v>
      </c>
      <c r="E7" s="48">
        <f>PLANTILLA!X8</f>
        <v>0</v>
      </c>
      <c r="F7" s="48">
        <f>PLANTILLA!Y8</f>
        <v>13.23076923076923</v>
      </c>
      <c r="G7" s="48">
        <f>PLANTILLA!Z8</f>
        <v>9.3333333333333339</v>
      </c>
      <c r="H7" s="48">
        <f>PLANTILLA!AA8</f>
        <v>1</v>
      </c>
      <c r="I7" s="48">
        <f>PLANTILLA!AB8</f>
        <v>3</v>
      </c>
      <c r="J7" s="48">
        <f>PLANTILLA!AC8</f>
        <v>7.25</v>
      </c>
      <c r="K7" s="48">
        <f>PLANTILLA!AD8</f>
        <v>18.25</v>
      </c>
      <c r="L7" s="94">
        <f>1/11</f>
        <v>9.0909090909090912E-2</v>
      </c>
      <c r="M7" s="94">
        <f t="shared" si="0"/>
        <v>1.5151515151515152E-2</v>
      </c>
      <c r="N7" s="114"/>
      <c r="O7" s="114">
        <f>L7*(0.245*1+0.34*0.516+0.34*0.258)/(0.245+0.34)</f>
        <v>7.8968142968142974E-2</v>
      </c>
      <c r="P7" s="114">
        <f>L7*(0.245*0.708+0.34*0.754)/(0.245+0.34)</f>
        <v>6.6794094794094788E-2</v>
      </c>
      <c r="Q7" s="114">
        <f>L7*(0.245*0.479+0.34*1)/(0.245+0.34)</f>
        <v>7.1073038073038081E-2</v>
      </c>
      <c r="R7" s="114">
        <f>L7*(0.245*0.414+0.34*0.919)/(0.245+0.34)</f>
        <v>6.4318570318570328E-2</v>
      </c>
      <c r="S7" s="114"/>
      <c r="T7" s="114"/>
      <c r="U7" s="114"/>
      <c r="V7" s="114"/>
      <c r="W7" s="114"/>
      <c r="X7" s="114">
        <f t="shared" si="1"/>
        <v>7.8968142968142974E-2</v>
      </c>
      <c r="AA7" t="s">
        <v>253</v>
      </c>
      <c r="AB7" t="s">
        <v>131</v>
      </c>
      <c r="AD7" t="s">
        <v>414</v>
      </c>
      <c r="AE7" t="s">
        <v>176</v>
      </c>
    </row>
    <row r="8" spans="1:31" x14ac:dyDescent="0.25">
      <c r="A8" s="4" t="str">
        <f>PLANTILLA!A9</f>
        <v>#19</v>
      </c>
      <c r="B8" s="310" t="str">
        <f>PLANTILLA!D9</f>
        <v>A. Grimaud</v>
      </c>
      <c r="C8" s="4">
        <f>PLANTILLA!E9</f>
        <v>25</v>
      </c>
      <c r="D8" s="265">
        <f ca="1">PLANTILLA!F9</f>
        <v>87</v>
      </c>
      <c r="E8" s="48">
        <f>PLANTILLA!X9</f>
        <v>0</v>
      </c>
      <c r="F8" s="48">
        <f>PLANTILLA!Y9</f>
        <v>13.23076923076923</v>
      </c>
      <c r="G8" s="48">
        <f>PLANTILLA!Z9</f>
        <v>9.5</v>
      </c>
      <c r="H8" s="48">
        <f>PLANTILLA!AA9</f>
        <v>3</v>
      </c>
      <c r="I8" s="48">
        <f>PLANTILLA!AB9</f>
        <v>3</v>
      </c>
      <c r="J8" s="48">
        <f>PLANTILLA!AC9</f>
        <v>6.125</v>
      </c>
      <c r="K8" s="48">
        <f>PLANTILLA!AD9</f>
        <v>17.75</v>
      </c>
      <c r="L8" s="94">
        <f>1/11</f>
        <v>9.0909090909090912E-2</v>
      </c>
      <c r="M8" s="94">
        <f t="shared" si="0"/>
        <v>1.5151515151515152E-2</v>
      </c>
      <c r="N8" s="114"/>
      <c r="O8" s="114">
        <f>L8*(0.245*1+0.34*0.516+0.34*0.258)/(0.245+0.34)</f>
        <v>7.8968142968142974E-2</v>
      </c>
      <c r="P8" s="114">
        <f>L8*(0.245*0.708+0.34*0.754)/(0.245+0.34)</f>
        <v>6.6794094794094788E-2</v>
      </c>
      <c r="Q8" s="114">
        <f>L8*(0.245*0.479+0.34*1)/(0.245+0.34)</f>
        <v>7.1073038073038081E-2</v>
      </c>
      <c r="R8" s="114">
        <f>L8*(0.245*0.414+0.34*0.919)/(0.245+0.34)</f>
        <v>6.4318570318570328E-2</v>
      </c>
      <c r="S8" s="114"/>
      <c r="T8" s="114"/>
      <c r="U8" s="114"/>
      <c r="V8" s="114"/>
      <c r="W8" s="114"/>
      <c r="X8" s="114">
        <f t="shared" si="1"/>
        <v>7.8968142968142974E-2</v>
      </c>
      <c r="AA8" t="s">
        <v>122</v>
      </c>
      <c r="AB8" t="s">
        <v>181</v>
      </c>
      <c r="AD8" t="s">
        <v>409</v>
      </c>
      <c r="AE8" t="s">
        <v>130</v>
      </c>
    </row>
    <row r="9" spans="1:31" x14ac:dyDescent="0.25">
      <c r="A9" s="4" t="str">
        <f>PLANTILLA!A6</f>
        <v>#22</v>
      </c>
      <c r="B9" s="310" t="str">
        <f>PLANTILLA!D6</f>
        <v>V. Gardner</v>
      </c>
      <c r="C9" s="4">
        <f>PLANTILLA!E6</f>
        <v>25</v>
      </c>
      <c r="D9" s="265">
        <f ca="1">PLANTILLA!F6</f>
        <v>76</v>
      </c>
      <c r="E9" s="48">
        <f>PLANTILLA!X6</f>
        <v>0</v>
      </c>
      <c r="F9" s="48">
        <f>PLANTILLA!Y6</f>
        <v>13.583333333333334</v>
      </c>
      <c r="G9" s="48">
        <f>PLANTILLA!Z6</f>
        <v>7.8</v>
      </c>
      <c r="H9" s="48">
        <f>PLANTILLA!AA6</f>
        <v>3</v>
      </c>
      <c r="I9" s="48">
        <f>PLANTILLA!AB6</f>
        <v>5</v>
      </c>
      <c r="J9" s="48">
        <f>PLANTILLA!AC6</f>
        <v>7.166666666666667</v>
      </c>
      <c r="K9" s="48">
        <f>PLANTILLA!AD6</f>
        <v>18.75</v>
      </c>
      <c r="L9" s="94">
        <f>1/11</f>
        <v>9.0909090909090912E-2</v>
      </c>
      <c r="M9" s="94">
        <f t="shared" si="0"/>
        <v>1.5151515151515152E-2</v>
      </c>
      <c r="N9" s="114"/>
      <c r="O9" s="114">
        <f>L9*(0.245*1+0.34*0.516+0.34*0.258)/(0.245+0.34)</f>
        <v>7.8968142968142974E-2</v>
      </c>
      <c r="P9" s="114">
        <f>L9*(0.245*0.708+0.34*0.754)/(0.245+0.34)</f>
        <v>6.6794094794094788E-2</v>
      </c>
      <c r="Q9" s="114">
        <f>L9*(0.245*0.479+0.34*1)/(0.245+0.34)</f>
        <v>7.1073038073038081E-2</v>
      </c>
      <c r="R9" s="114">
        <f>L9*(0.245*0.414+0.34*0.919)/(0.245+0.34)</f>
        <v>6.4318570318570328E-2</v>
      </c>
      <c r="S9" s="114"/>
      <c r="T9" s="114"/>
      <c r="U9" s="114"/>
      <c r="V9" s="114"/>
      <c r="W9" s="114"/>
      <c r="X9" s="114">
        <f t="shared" si="1"/>
        <v>7.8968142968142974E-2</v>
      </c>
      <c r="AA9" t="s">
        <v>253</v>
      </c>
      <c r="AB9" t="s">
        <v>179</v>
      </c>
      <c r="AD9" t="s">
        <v>253</v>
      </c>
      <c r="AE9" t="s">
        <v>179</v>
      </c>
    </row>
    <row r="10" spans="1:31" x14ac:dyDescent="0.25">
      <c r="A10" s="4" t="str">
        <f>PLANTILLA!A18</f>
        <v>#8</v>
      </c>
      <c r="B10" s="312" t="str">
        <f>PLANTILLA!D18</f>
        <v>I. Stone</v>
      </c>
      <c r="C10" s="4">
        <f>PLANTILLA!E18</f>
        <v>25</v>
      </c>
      <c r="D10" s="265">
        <f ca="1">PLANTILLA!F18</f>
        <v>6</v>
      </c>
      <c r="E10" s="48">
        <f>PLANTILLA!X18</f>
        <v>0</v>
      </c>
      <c r="F10" s="48">
        <f>PLANTILLA!Y18</f>
        <v>6</v>
      </c>
      <c r="G10" s="48">
        <f>PLANTILLA!Z18</f>
        <v>13.727272727272727</v>
      </c>
      <c r="H10" s="48">
        <f>PLANTILLA!AA18</f>
        <v>2</v>
      </c>
      <c r="I10" s="48">
        <f>PLANTILLA!AB18</f>
        <v>6</v>
      </c>
      <c r="J10" s="48">
        <f>PLANTILLA!AC18</f>
        <v>9.5</v>
      </c>
      <c r="K10" s="48">
        <f>PLANTILLA!AD18</f>
        <v>18.5</v>
      </c>
      <c r="L10" s="94">
        <f>1/3</f>
        <v>0.33333333333333331</v>
      </c>
      <c r="M10" s="94">
        <f t="shared" si="0"/>
        <v>5.5555555555555552E-2</v>
      </c>
      <c r="N10" s="114"/>
      <c r="O10" s="114"/>
      <c r="P10" s="114"/>
      <c r="Q10" s="114"/>
      <c r="R10" s="114"/>
      <c r="S10" s="114">
        <f t="shared" ref="S10:S15" si="2">L10*(0.245*0.4+0.34*0.189+0.34*0.095)</f>
        <v>6.4853333333333332E-2</v>
      </c>
      <c r="T10" s="114">
        <f t="shared" ref="T10:T15" si="3">L10*(0.245*0.348+0.34*0.291)</f>
        <v>6.1399999999999989E-2</v>
      </c>
      <c r="U10" s="114">
        <f t="shared" ref="U10:U15" si="4">L10*(0.245*0.201+0.34*0.349)</f>
        <v>5.5968333333333328E-2</v>
      </c>
      <c r="V10" s="114"/>
      <c r="W10" s="114"/>
      <c r="X10" s="114">
        <f t="shared" si="1"/>
        <v>6.4853333333333332E-2</v>
      </c>
      <c r="AA10" t="s">
        <v>256</v>
      </c>
      <c r="AB10" t="s">
        <v>130</v>
      </c>
      <c r="AD10" t="s">
        <v>253</v>
      </c>
      <c r="AE10" t="s">
        <v>131</v>
      </c>
    </row>
    <row r="11" spans="1:31" x14ac:dyDescent="0.25">
      <c r="A11" s="4" t="str">
        <f>PLANTILLA!A20</f>
        <v>#9</v>
      </c>
      <c r="B11" s="312" t="str">
        <f>PLANTILLA!D20</f>
        <v>M. Bondarewski</v>
      </c>
      <c r="C11" s="4">
        <f>PLANTILLA!E20</f>
        <v>25</v>
      </c>
      <c r="D11" s="265">
        <f ca="1">PLANTILLA!F20</f>
        <v>79</v>
      </c>
      <c r="E11" s="48">
        <f>PLANTILLA!X20</f>
        <v>0</v>
      </c>
      <c r="F11" s="48">
        <f>PLANTILLA!Y20</f>
        <v>4.75</v>
      </c>
      <c r="G11" s="48">
        <f>PLANTILLA!Z20</f>
        <v>14.692307692307692</v>
      </c>
      <c r="H11" s="48">
        <f>PLANTILLA!AA20</f>
        <v>5</v>
      </c>
      <c r="I11" s="48">
        <f>PLANTILLA!AB20</f>
        <v>4</v>
      </c>
      <c r="J11" s="48">
        <f>PLANTILLA!AC20</f>
        <v>8.5769230769230766</v>
      </c>
      <c r="K11" s="48">
        <f>PLANTILLA!AD20</f>
        <v>19.8</v>
      </c>
      <c r="L11" s="94">
        <f>1/3</f>
        <v>0.33333333333333331</v>
      </c>
      <c r="M11" s="94">
        <f t="shared" si="0"/>
        <v>5.5555555555555552E-2</v>
      </c>
      <c r="N11" s="114"/>
      <c r="O11" s="114"/>
      <c r="P11" s="114"/>
      <c r="Q11" s="114"/>
      <c r="R11" s="114"/>
      <c r="S11" s="114">
        <f t="shared" si="2"/>
        <v>6.4853333333333332E-2</v>
      </c>
      <c r="T11" s="114">
        <f t="shared" si="3"/>
        <v>6.1399999999999989E-2</v>
      </c>
      <c r="U11" s="114">
        <f t="shared" si="4"/>
        <v>5.5968333333333328E-2</v>
      </c>
      <c r="V11" s="114"/>
      <c r="W11" s="114"/>
      <c r="X11" s="114">
        <f t="shared" si="1"/>
        <v>6.4853333333333332E-2</v>
      </c>
      <c r="AA11" t="s">
        <v>256</v>
      </c>
      <c r="AB11" t="s">
        <v>182</v>
      </c>
      <c r="AD11" t="s">
        <v>256</v>
      </c>
      <c r="AE11" t="s">
        <v>182</v>
      </c>
    </row>
    <row r="12" spans="1:31" x14ac:dyDescent="0.25">
      <c r="A12" s="4" t="str">
        <f>PLANTILLA!A17</f>
        <v>#16</v>
      </c>
      <c r="B12" s="311" t="str">
        <f>PLANTILLA!D17</f>
        <v>I. Vanags</v>
      </c>
      <c r="C12" s="4">
        <f>PLANTILLA!E17</f>
        <v>25</v>
      </c>
      <c r="D12" s="265">
        <f ca="1">PLANTILLA!F17</f>
        <v>63</v>
      </c>
      <c r="E12" s="48">
        <f>PLANTILLA!X17</f>
        <v>0</v>
      </c>
      <c r="F12" s="48">
        <f>PLANTILLA!Y17</f>
        <v>7.166666666666667</v>
      </c>
      <c r="G12" s="48">
        <f>PLANTILLA!Z17</f>
        <v>14.692307692307692</v>
      </c>
      <c r="H12" s="48">
        <f>PLANTILLA!AA17</f>
        <v>3</v>
      </c>
      <c r="I12" s="48">
        <f>PLANTILLA!AB17</f>
        <v>4</v>
      </c>
      <c r="J12" s="48">
        <f>PLANTILLA!AC17</f>
        <v>7.6818181818181817</v>
      </c>
      <c r="K12" s="48">
        <f>PLANTILLA!AD17</f>
        <v>19</v>
      </c>
      <c r="L12" s="94">
        <f>1/4</f>
        <v>0.25</v>
      </c>
      <c r="M12" s="94">
        <f t="shared" si="0"/>
        <v>4.1666666666666664E-2</v>
      </c>
      <c r="N12" s="114"/>
      <c r="O12" s="114"/>
      <c r="P12" s="114"/>
      <c r="Q12" s="114"/>
      <c r="R12" s="114"/>
      <c r="S12" s="114">
        <f t="shared" si="2"/>
        <v>4.8640000000000003E-2</v>
      </c>
      <c r="T12" s="114">
        <f t="shared" si="3"/>
        <v>4.6049999999999994E-2</v>
      </c>
      <c r="U12" s="114">
        <f t="shared" si="4"/>
        <v>4.197625E-2</v>
      </c>
      <c r="V12" s="114"/>
      <c r="W12" s="114"/>
      <c r="X12" s="114">
        <f t="shared" si="1"/>
        <v>4.8640000000000003E-2</v>
      </c>
      <c r="AA12" t="s">
        <v>21</v>
      </c>
      <c r="AB12" t="s">
        <v>180</v>
      </c>
      <c r="AD12" t="s">
        <v>256</v>
      </c>
      <c r="AE12" t="s">
        <v>160</v>
      </c>
    </row>
    <row r="13" spans="1:31" x14ac:dyDescent="0.25">
      <c r="A13" s="4" t="str">
        <f>PLANTILLA!A19</f>
        <v>#14</v>
      </c>
      <c r="B13" s="311" t="str">
        <f>PLANTILLA!D19</f>
        <v>G. Piscaer</v>
      </c>
      <c r="C13" s="4">
        <f>PLANTILLA!E19</f>
        <v>25</v>
      </c>
      <c r="D13" s="265">
        <f ca="1">PLANTILLA!F19</f>
        <v>79</v>
      </c>
      <c r="E13" s="48">
        <f>PLANTILLA!X19</f>
        <v>0</v>
      </c>
      <c r="F13" s="48">
        <f>PLANTILLA!Y19</f>
        <v>6.4</v>
      </c>
      <c r="G13" s="48">
        <f>PLANTILLA!Z19</f>
        <v>14.846153846153847</v>
      </c>
      <c r="H13" s="48">
        <f>PLANTILLA!AA19</f>
        <v>3</v>
      </c>
      <c r="I13" s="48">
        <f>PLANTILLA!AB19</f>
        <v>2</v>
      </c>
      <c r="J13" s="48">
        <f>PLANTILLA!AC19</f>
        <v>8.5769230769230766</v>
      </c>
      <c r="K13" s="48">
        <f>PLANTILLA!AD19</f>
        <v>17.75</v>
      </c>
      <c r="L13" s="94">
        <f>1/4</f>
        <v>0.25</v>
      </c>
      <c r="M13" s="94">
        <f t="shared" si="0"/>
        <v>4.1666666666666664E-2</v>
      </c>
      <c r="N13" s="114"/>
      <c r="O13" s="114"/>
      <c r="P13" s="114"/>
      <c r="Q13" s="114"/>
      <c r="R13" s="114"/>
      <c r="S13" s="114">
        <f t="shared" si="2"/>
        <v>4.8640000000000003E-2</v>
      </c>
      <c r="T13" s="114">
        <f t="shared" si="3"/>
        <v>4.6049999999999994E-2</v>
      </c>
      <c r="U13" s="114">
        <f t="shared" si="4"/>
        <v>4.197625E-2</v>
      </c>
      <c r="V13" s="114"/>
      <c r="W13" s="114"/>
      <c r="X13" s="114">
        <f t="shared" si="1"/>
        <v>4.8640000000000003E-2</v>
      </c>
      <c r="AA13" t="s">
        <v>21</v>
      </c>
      <c r="AB13" t="s">
        <v>160</v>
      </c>
      <c r="AD13" t="s">
        <v>21</v>
      </c>
      <c r="AE13" t="s">
        <v>180</v>
      </c>
    </row>
    <row r="14" spans="1:31" x14ac:dyDescent="0.25">
      <c r="A14" s="4" t="str">
        <f>PLANTILLA!A12</f>
        <v>#12</v>
      </c>
      <c r="B14" s="311" t="str">
        <f>PLANTILLA!D12</f>
        <v>P. Tuderek</v>
      </c>
      <c r="C14" s="4">
        <f>PLANTILLA!E12</f>
        <v>25</v>
      </c>
      <c r="D14" s="265">
        <f ca="1">PLANTILLA!F12</f>
        <v>65</v>
      </c>
      <c r="E14" s="48">
        <f>PLANTILLA!X12</f>
        <v>0</v>
      </c>
      <c r="F14" s="48">
        <f>PLANTILLA!Y12</f>
        <v>8.8333333333333339</v>
      </c>
      <c r="G14" s="48">
        <f>PLANTILLA!Z12</f>
        <v>13.909090909090908</v>
      </c>
      <c r="H14" s="48">
        <f>PLANTILLA!AA12</f>
        <v>2</v>
      </c>
      <c r="I14" s="48">
        <f>PLANTILLA!AB12</f>
        <v>3</v>
      </c>
      <c r="J14" s="48">
        <f>PLANTILLA!AC12</f>
        <v>7.416666666666667</v>
      </c>
      <c r="K14" s="48">
        <f>PLANTILLA!AD12</f>
        <v>19.600000000000001</v>
      </c>
      <c r="L14" s="94">
        <f>1/5</f>
        <v>0.2</v>
      </c>
      <c r="M14" s="94">
        <f t="shared" si="0"/>
        <v>3.3333333333333333E-2</v>
      </c>
      <c r="N14" s="114"/>
      <c r="O14" s="114"/>
      <c r="P14" s="114"/>
      <c r="Q14" s="114"/>
      <c r="R14" s="114"/>
      <c r="S14" s="114">
        <f t="shared" si="2"/>
        <v>3.8912000000000002E-2</v>
      </c>
      <c r="T14" s="114">
        <f t="shared" si="3"/>
        <v>3.6839999999999998E-2</v>
      </c>
      <c r="U14" s="114">
        <f t="shared" si="4"/>
        <v>3.3581E-2</v>
      </c>
      <c r="V14" s="114"/>
      <c r="W14" s="114"/>
      <c r="X14" s="114">
        <f t="shared" si="1"/>
        <v>3.8912000000000002E-2</v>
      </c>
    </row>
    <row r="15" spans="1:31" x14ac:dyDescent="0.25">
      <c r="A15" s="4" t="str">
        <f>PLANTILLA!A13</f>
        <v>#10</v>
      </c>
      <c r="B15" s="311" t="str">
        <f>PLANTILLA!D13</f>
        <v>R. Forsyth</v>
      </c>
      <c r="C15" s="4">
        <f>PLANTILLA!E13</f>
        <v>26</v>
      </c>
      <c r="D15" s="265">
        <f ca="1">PLANTILLA!F13</f>
        <v>8</v>
      </c>
      <c r="E15" s="48">
        <f>PLANTILLA!X13</f>
        <v>0</v>
      </c>
      <c r="F15" s="48">
        <f>PLANTILLA!Y13</f>
        <v>9.75</v>
      </c>
      <c r="G15" s="48">
        <f>PLANTILLA!Z13</f>
        <v>14.538461538461538</v>
      </c>
      <c r="H15" s="48">
        <f>PLANTILLA!AA13</f>
        <v>3</v>
      </c>
      <c r="I15" s="48">
        <f>PLANTILLA!AB13</f>
        <v>4</v>
      </c>
      <c r="J15" s="48">
        <f>PLANTILLA!AC13</f>
        <v>7</v>
      </c>
      <c r="K15" s="48">
        <f>PLANTILLA!AD13</f>
        <v>18.25</v>
      </c>
      <c r="L15" s="94">
        <f>1/6</f>
        <v>0.16666666666666666</v>
      </c>
      <c r="M15" s="94">
        <f t="shared" si="0"/>
        <v>2.7777777777777776E-2</v>
      </c>
      <c r="N15" s="114"/>
      <c r="O15" s="114"/>
      <c r="P15" s="114"/>
      <c r="Q15" s="114"/>
      <c r="R15" s="114"/>
      <c r="S15" s="114">
        <f t="shared" si="2"/>
        <v>3.2426666666666666E-2</v>
      </c>
      <c r="T15" s="114">
        <f t="shared" si="3"/>
        <v>3.0699999999999995E-2</v>
      </c>
      <c r="U15" s="114">
        <f t="shared" si="4"/>
        <v>2.7984166666666664E-2</v>
      </c>
      <c r="V15" s="114"/>
      <c r="W15" s="114"/>
      <c r="X15" s="114">
        <f t="shared" si="1"/>
        <v>3.2426666666666666E-2</v>
      </c>
    </row>
    <row r="16" spans="1:31" x14ac:dyDescent="0.25">
      <c r="A16" s="4" t="str">
        <f>PLANTILLA!A14</f>
        <v>#11</v>
      </c>
      <c r="B16" s="309" t="str">
        <f>PLANTILLA!D14</f>
        <v>Dusty Ware</v>
      </c>
      <c r="C16" s="4">
        <f>PLANTILLA!E14</f>
        <v>26</v>
      </c>
      <c r="D16" s="265">
        <f ca="1">PLANTILLA!F14</f>
        <v>102</v>
      </c>
      <c r="E16" s="48">
        <f>PLANTILLA!X14</f>
        <v>0</v>
      </c>
      <c r="F16" s="48">
        <f>PLANTILLA!Y14</f>
        <v>9.25</v>
      </c>
      <c r="G16" s="48">
        <f>PLANTILLA!Z14</f>
        <v>14.153846153846153</v>
      </c>
      <c r="H16" s="48">
        <f>PLANTILLA!AA14</f>
        <v>4</v>
      </c>
      <c r="I16" s="48">
        <f>PLANTILLA!AB14</f>
        <v>3</v>
      </c>
      <c r="J16" s="48">
        <f>PLANTILLA!AC14</f>
        <v>8</v>
      </c>
      <c r="K16" s="48">
        <f>PLANTILLA!AD14</f>
        <v>17.25</v>
      </c>
      <c r="L16" s="94"/>
      <c r="M16" s="94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>
        <f t="shared" si="1"/>
        <v>0</v>
      </c>
    </row>
    <row r="17" spans="1:24" x14ac:dyDescent="0.25">
      <c r="A17" s="4" t="str">
        <f>PLANTILLA!A4</f>
        <v>#69</v>
      </c>
      <c r="B17" s="309" t="str">
        <f>PLANTILLA!D4</f>
        <v>D. Gehmacher</v>
      </c>
      <c r="C17" s="4">
        <f>PLANTILLA!E4</f>
        <v>41</v>
      </c>
      <c r="D17" s="265">
        <f ca="1">PLANTILLA!F4</f>
        <v>108</v>
      </c>
      <c r="E17" s="48">
        <f>PLANTILLA!X4</f>
        <v>9.9499999999999993</v>
      </c>
      <c r="F17" s="48">
        <f>PLANTILLA!Y4</f>
        <v>3.95</v>
      </c>
      <c r="G17" s="48">
        <f>PLANTILLA!Z4</f>
        <v>0</v>
      </c>
      <c r="H17" s="48">
        <f>PLANTILLA!AA4</f>
        <v>0</v>
      </c>
      <c r="I17" s="48">
        <f>PLANTILLA!AB4</f>
        <v>0</v>
      </c>
      <c r="J17" s="48">
        <f>PLANTILLA!AC4</f>
        <v>0</v>
      </c>
      <c r="K17" s="48">
        <f>PLANTILLA!AD4</f>
        <v>14.95</v>
      </c>
      <c r="L17" s="94"/>
      <c r="M17" s="9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>
        <f t="shared" si="1"/>
        <v>0</v>
      </c>
    </row>
    <row r="18" spans="1:24" x14ac:dyDescent="0.25">
      <c r="A18" s="4" t="str">
        <f>PLANTILLA!A11</f>
        <v>#17</v>
      </c>
      <c r="B18" s="309" t="str">
        <f>PLANTILLA!D11</f>
        <v>M.A. Balbinot</v>
      </c>
      <c r="C18" s="4">
        <f>PLANTILLA!E11</f>
        <v>29</v>
      </c>
      <c r="D18" s="265">
        <f ca="1">PLANTILLA!F11</f>
        <v>53</v>
      </c>
      <c r="E18" s="48">
        <f>PLANTILLA!X11</f>
        <v>0</v>
      </c>
      <c r="F18" s="48">
        <f>PLANTILLA!Y11</f>
        <v>8</v>
      </c>
      <c r="G18" s="48">
        <f>PLANTILLA!Z11</f>
        <v>14</v>
      </c>
      <c r="H18" s="48">
        <f>PLANTILLA!AA11</f>
        <v>7</v>
      </c>
      <c r="I18" s="48">
        <f>PLANTILLA!AB11</f>
        <v>8</v>
      </c>
      <c r="J18" s="48">
        <f>PLANTILLA!AC11</f>
        <v>9.0625</v>
      </c>
      <c r="K18" s="48">
        <f>PLANTILLA!AD11</f>
        <v>15.5</v>
      </c>
      <c r="L18" s="94"/>
      <c r="M18" s="9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>
        <f t="shared" si="1"/>
        <v>0</v>
      </c>
    </row>
    <row r="19" spans="1:24" x14ac:dyDescent="0.25">
      <c r="A19" s="4" t="e">
        <f>PLANTILLA!#REF!</f>
        <v>#REF!</v>
      </c>
      <c r="B19" s="309" t="e">
        <f>PLANTILLA!#REF!</f>
        <v>#REF!</v>
      </c>
      <c r="C19" s="4" t="e">
        <f>PLANTILLA!#REF!</f>
        <v>#REF!</v>
      </c>
      <c r="D19" s="265" t="e">
        <f>PLANTILLA!#REF!</f>
        <v>#REF!</v>
      </c>
      <c r="E19" s="48" t="e">
        <f>PLANTILLA!#REF!</f>
        <v>#REF!</v>
      </c>
      <c r="F19" s="48" t="e">
        <f>PLANTILLA!#REF!</f>
        <v>#REF!</v>
      </c>
      <c r="G19" s="48" t="e">
        <f>PLANTILLA!#REF!</f>
        <v>#REF!</v>
      </c>
      <c r="H19" s="48" t="e">
        <f>PLANTILLA!#REF!</f>
        <v>#REF!</v>
      </c>
      <c r="I19" s="48" t="e">
        <f>PLANTILLA!#REF!</f>
        <v>#REF!</v>
      </c>
      <c r="J19" s="48" t="e">
        <f>PLANTILLA!#REF!</f>
        <v>#REF!</v>
      </c>
      <c r="K19" s="48" t="e">
        <f>PLANTILLA!#REF!</f>
        <v>#REF!</v>
      </c>
      <c r="L19" s="94"/>
      <c r="M19" s="9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>
        <f t="shared" si="1"/>
        <v>0</v>
      </c>
    </row>
    <row r="20" spans="1:24" x14ac:dyDescent="0.25">
      <c r="A20" s="4" t="e">
        <f>PLANTILLA!#REF!</f>
        <v>#REF!</v>
      </c>
      <c r="B20" s="309" t="e">
        <f>PLANTILLA!#REF!</f>
        <v>#REF!</v>
      </c>
      <c r="C20" s="4" t="e">
        <f>PLANTILLA!#REF!</f>
        <v>#REF!</v>
      </c>
      <c r="D20" s="265" t="e">
        <f>PLANTILLA!#REF!</f>
        <v>#REF!</v>
      </c>
      <c r="E20" s="48" t="e">
        <f>PLANTILLA!#REF!</f>
        <v>#REF!</v>
      </c>
      <c r="F20" s="48" t="e">
        <f>PLANTILLA!#REF!</f>
        <v>#REF!</v>
      </c>
      <c r="G20" s="48" t="e">
        <f>PLANTILLA!#REF!</f>
        <v>#REF!</v>
      </c>
      <c r="H20" s="48" t="e">
        <f>PLANTILLA!#REF!</f>
        <v>#REF!</v>
      </c>
      <c r="I20" s="48" t="e">
        <f>PLANTILLA!#REF!</f>
        <v>#REF!</v>
      </c>
      <c r="J20" s="48" t="e">
        <f>PLANTILLA!#REF!</f>
        <v>#REF!</v>
      </c>
      <c r="K20" s="48" t="e">
        <f>PLANTILLA!#REF!</f>
        <v>#REF!</v>
      </c>
      <c r="L20" s="94"/>
      <c r="M20" s="9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>
        <f t="shared" si="1"/>
        <v>0</v>
      </c>
    </row>
    <row r="21" spans="1:24" x14ac:dyDescent="0.25">
      <c r="A21" s="4" t="e">
        <f>PLANTILLA!#REF!</f>
        <v>#REF!</v>
      </c>
      <c r="B21" s="309" t="e">
        <f>PLANTILLA!#REF!</f>
        <v>#REF!</v>
      </c>
      <c r="C21" s="4" t="e">
        <f>PLANTILLA!#REF!</f>
        <v>#REF!</v>
      </c>
      <c r="D21" s="265" t="e">
        <f>PLANTILLA!#REF!</f>
        <v>#REF!</v>
      </c>
      <c r="E21" s="48" t="e">
        <f>PLANTILLA!#REF!</f>
        <v>#REF!</v>
      </c>
      <c r="F21" s="48" t="e">
        <f>PLANTILLA!#REF!</f>
        <v>#REF!</v>
      </c>
      <c r="G21" s="48" t="e">
        <f>PLANTILLA!#REF!</f>
        <v>#REF!</v>
      </c>
      <c r="H21" s="48" t="e">
        <f>PLANTILLA!#REF!</f>
        <v>#REF!</v>
      </c>
      <c r="I21" s="48" t="e">
        <f>PLANTILLA!#REF!</f>
        <v>#REF!</v>
      </c>
      <c r="J21" s="48" t="e">
        <f>PLANTILLA!#REF!</f>
        <v>#REF!</v>
      </c>
      <c r="K21" s="48" t="e">
        <f>PLANTILLA!#REF!</f>
        <v>#REF!</v>
      </c>
      <c r="L21" s="94"/>
      <c r="M21" s="9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>
        <f t="shared" si="1"/>
        <v>0</v>
      </c>
    </row>
    <row r="22" spans="1:24" x14ac:dyDescent="0.25">
      <c r="A22" s="4" t="str">
        <f>PLANTILLA!A16</f>
        <v>#7</v>
      </c>
      <c r="B22" s="309" t="str">
        <f>PLANTILLA!D16</f>
        <v>I. Conteanu</v>
      </c>
      <c r="C22" s="4">
        <f>PLANTILLA!E16</f>
        <v>30</v>
      </c>
      <c r="D22" s="265">
        <f ca="1">PLANTILLA!F16</f>
        <v>96</v>
      </c>
      <c r="E22" s="48">
        <f>PLANTILLA!X16</f>
        <v>0</v>
      </c>
      <c r="F22" s="48">
        <f>PLANTILLA!Y16</f>
        <v>10</v>
      </c>
      <c r="G22" s="48">
        <f>PLANTILLA!Z16</f>
        <v>14</v>
      </c>
      <c r="H22" s="48">
        <f>PLANTILLA!AA16</f>
        <v>3</v>
      </c>
      <c r="I22" s="48">
        <f>PLANTILLA!AB16</f>
        <v>3</v>
      </c>
      <c r="J22" s="48">
        <f>PLANTILLA!AC16</f>
        <v>7.25</v>
      </c>
      <c r="K22" s="48">
        <f>PLANTILLA!AD16</f>
        <v>17.25</v>
      </c>
      <c r="L22" s="94"/>
      <c r="M22" s="9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>
        <f t="shared" si="1"/>
        <v>0</v>
      </c>
    </row>
    <row r="23" spans="1:24" x14ac:dyDescent="0.25">
      <c r="A23" s="4" t="e">
        <f>PLANTILLA!#REF!</f>
        <v>#REF!</v>
      </c>
      <c r="B23" s="309" t="e">
        <f>PLANTILLA!#REF!</f>
        <v>#REF!</v>
      </c>
      <c r="C23" s="4" t="e">
        <f>PLANTILLA!#REF!</f>
        <v>#REF!</v>
      </c>
      <c r="D23" s="265" t="e">
        <f>PLANTILLA!#REF!</f>
        <v>#REF!</v>
      </c>
      <c r="E23" s="48" t="e">
        <f>PLANTILLA!#REF!</f>
        <v>#REF!</v>
      </c>
      <c r="F23" s="48" t="e">
        <f>PLANTILLA!#REF!</f>
        <v>#REF!</v>
      </c>
      <c r="G23" s="48" t="e">
        <f>PLANTILLA!#REF!</f>
        <v>#REF!</v>
      </c>
      <c r="H23" s="48" t="e">
        <f>PLANTILLA!#REF!</f>
        <v>#REF!</v>
      </c>
      <c r="I23" s="48" t="e">
        <f>PLANTILLA!#REF!</f>
        <v>#REF!</v>
      </c>
      <c r="J23" s="48" t="e">
        <f>PLANTILLA!#REF!</f>
        <v>#REF!</v>
      </c>
      <c r="K23" s="48" t="e">
        <f>PLANTILLA!#REF!</f>
        <v>#REF!</v>
      </c>
      <c r="L23" s="94"/>
      <c r="M23" s="9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>
        <f t="shared" si="1"/>
        <v>0</v>
      </c>
    </row>
    <row r="24" spans="1:24" x14ac:dyDescent="0.25">
      <c r="A24" s="4" t="e">
        <f>PLANTILLA!#REF!</f>
        <v>#REF!</v>
      </c>
      <c r="B24" s="309" t="e">
        <f>PLANTILLA!#REF!</f>
        <v>#REF!</v>
      </c>
      <c r="C24" s="4" t="e">
        <f>PLANTILLA!#REF!</f>
        <v>#REF!</v>
      </c>
      <c r="D24" s="265" t="e">
        <f>PLANTILLA!#REF!</f>
        <v>#REF!</v>
      </c>
      <c r="E24" s="48" t="e">
        <f>PLANTILLA!#REF!</f>
        <v>#REF!</v>
      </c>
      <c r="F24" s="48" t="e">
        <f>PLANTILLA!#REF!</f>
        <v>#REF!</v>
      </c>
      <c r="G24" s="48" t="e">
        <f>PLANTILLA!#REF!</f>
        <v>#REF!</v>
      </c>
      <c r="H24" s="48" t="e">
        <f>PLANTILLA!#REF!</f>
        <v>#REF!</v>
      </c>
      <c r="I24" s="48" t="e">
        <f>PLANTILLA!#REF!</f>
        <v>#REF!</v>
      </c>
      <c r="J24" s="48" t="e">
        <f>PLANTILLA!#REF!</f>
        <v>#REF!</v>
      </c>
      <c r="K24" s="48" t="e">
        <f>PLANTILLA!#REF!</f>
        <v>#REF!</v>
      </c>
      <c r="L24" s="94"/>
      <c r="M24" s="9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>
        <f t="shared" si="1"/>
        <v>0</v>
      </c>
    </row>
    <row r="25" spans="1:24" x14ac:dyDescent="0.25">
      <c r="A25" s="4" t="e">
        <f>PLANTILLA!#REF!</f>
        <v>#REF!</v>
      </c>
      <c r="B25" s="309" t="e">
        <f>PLANTILLA!#REF!</f>
        <v>#REF!</v>
      </c>
      <c r="C25" s="4" t="e">
        <f>PLANTILLA!#REF!</f>
        <v>#REF!</v>
      </c>
      <c r="D25" s="265" t="e">
        <f>PLANTILLA!#REF!</f>
        <v>#REF!</v>
      </c>
      <c r="E25" s="48" t="e">
        <f>PLANTILLA!#REF!</f>
        <v>#REF!</v>
      </c>
      <c r="F25" s="48" t="e">
        <f>PLANTILLA!#REF!</f>
        <v>#REF!</v>
      </c>
      <c r="G25" s="48" t="e">
        <f>PLANTILLA!#REF!</f>
        <v>#REF!</v>
      </c>
      <c r="H25" s="48" t="e">
        <f>PLANTILLA!#REF!</f>
        <v>#REF!</v>
      </c>
      <c r="I25" s="48" t="e">
        <f>PLANTILLA!#REF!</f>
        <v>#REF!</v>
      </c>
      <c r="J25" s="48" t="e">
        <f>PLANTILLA!#REF!</f>
        <v>#REF!</v>
      </c>
      <c r="K25" s="48" t="e">
        <f>PLANTILLA!#REF!</f>
        <v>#REF!</v>
      </c>
      <c r="M25" s="9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>
        <f t="shared" si="1"/>
        <v>0</v>
      </c>
    </row>
  </sheetData>
  <sortState xmlns:xlrd2="http://schemas.microsoft.com/office/spreadsheetml/2017/richdata2" ref="A4:X25">
    <sortCondition descending="1" ref="X4:X25"/>
  </sortState>
  <conditionalFormatting sqref="E4:K25">
    <cfRule type="colorScale" priority="1">
      <colorScale>
        <cfvo type="min"/>
        <cfvo type="max"/>
        <color rgb="FFFCFCFF"/>
        <color rgb="FFF8696B"/>
      </colorScale>
    </cfRule>
  </conditionalFormatting>
  <conditionalFormatting sqref="X4:X25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{775E8293-27D4-05AD-1C26-4977B4FAF230}</x14:id>
        </ext>
      </extLst>
    </cfRule>
  </conditionalFormatting>
  <conditionalFormatting sqref="M25:W25 L4:W24">
    <cfRule type="colorScale" priority="38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75E8293-27D4-05AD-1C26-4977B4FAF23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X4:X25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DA9694"/>
  </sheetPr>
  <dimension ref="A1:AE22"/>
  <sheetViews>
    <sheetView workbookViewId="0">
      <selection activeCell="K15" sqref="K15"/>
    </sheetView>
  </sheetViews>
  <sheetFormatPr baseColWidth="10" defaultColWidth="11.42578125" defaultRowHeight="15" x14ac:dyDescent="0.25"/>
  <cols>
    <col min="1" max="1" width="4" customWidth="1"/>
    <col min="2" max="2" width="20.7109375" customWidth="1"/>
    <col min="3" max="3" width="5.5703125" customWidth="1"/>
    <col min="4" max="4" width="5" customWidth="1"/>
    <col min="5" max="9" width="6" customWidth="1"/>
    <col min="10" max="10" width="5.5703125" customWidth="1"/>
    <col min="11" max="11" width="6" customWidth="1"/>
    <col min="12" max="13" width="6.5703125" style="57" customWidth="1"/>
    <col min="14" max="14" width="8.28515625" style="57" customWidth="1"/>
    <col min="15" max="15" width="4.5703125" style="57" customWidth="1"/>
    <col min="16" max="16" width="5.85546875" bestFit="1" customWidth="1"/>
    <col min="17" max="17" width="5.85546875" customWidth="1"/>
    <col min="18" max="21" width="5.5703125" bestFit="1" customWidth="1"/>
    <col min="22" max="22" width="3.5703125" bestFit="1" customWidth="1"/>
    <col min="23" max="23" width="4.7109375" customWidth="1"/>
    <col min="24" max="24" width="11.85546875" customWidth="1"/>
    <col min="27" max="27" width="6" customWidth="1"/>
    <col min="28" max="28" width="13.7109375" customWidth="1"/>
    <col min="30" max="30" width="5.7109375" customWidth="1"/>
    <col min="31" max="31" width="13.7109375" customWidth="1"/>
  </cols>
  <sheetData>
    <row r="1" spans="1:31" x14ac:dyDescent="0.25">
      <c r="B1" t="s">
        <v>415</v>
      </c>
      <c r="AA1" t="s">
        <v>416</v>
      </c>
      <c r="AD1" t="s">
        <v>417</v>
      </c>
    </row>
    <row r="2" spans="1:31" x14ac:dyDescent="0.25">
      <c r="B2" s="73">
        <v>44035</v>
      </c>
      <c r="X2" s="203"/>
      <c r="AA2" s="146" t="s">
        <v>83</v>
      </c>
      <c r="AB2" s="146" t="s">
        <v>84</v>
      </c>
      <c r="AD2" s="146" t="s">
        <v>83</v>
      </c>
      <c r="AE2" s="146" t="s">
        <v>84</v>
      </c>
    </row>
    <row r="3" spans="1:31" x14ac:dyDescent="0.25">
      <c r="A3" s="79" t="s">
        <v>418</v>
      </c>
      <c r="B3" s="79" t="str">
        <f>PLANTILLA!D3</f>
        <v>Jugador</v>
      </c>
      <c r="C3" s="79" t="str">
        <f>PLANTILLA!E3</f>
        <v>Anys</v>
      </c>
      <c r="D3" s="79" t="str">
        <f>PLANTILLA!F3</f>
        <v>Dias</v>
      </c>
      <c r="E3" s="79" t="str">
        <f>PLANTILLA!X3</f>
        <v>Po</v>
      </c>
      <c r="F3" s="79" t="str">
        <f>PLANTILLA!Y3</f>
        <v>De</v>
      </c>
      <c r="G3" s="79" t="str">
        <f>PLANTILLA!Z3</f>
        <v>Cr</v>
      </c>
      <c r="H3" s="79" t="str">
        <f>PLANTILLA!AA3</f>
        <v>Ex</v>
      </c>
      <c r="I3" s="79" t="str">
        <f>PLANTILLA!AB3</f>
        <v>Ps</v>
      </c>
      <c r="J3" s="79" t="str">
        <f>PLANTILLA!AC3</f>
        <v>An</v>
      </c>
      <c r="K3" s="79" t="str">
        <f>PLANTILLA!AD3</f>
        <v>PA</v>
      </c>
      <c r="L3" s="198">
        <v>1</v>
      </c>
      <c r="M3" s="198">
        <v>0.5</v>
      </c>
      <c r="N3" s="79" t="s">
        <v>426</v>
      </c>
      <c r="O3" s="200" t="s">
        <v>14</v>
      </c>
      <c r="P3" s="200" t="s">
        <v>410</v>
      </c>
      <c r="Q3" s="200" t="s">
        <v>490</v>
      </c>
      <c r="R3" s="199" t="s">
        <v>421</v>
      </c>
      <c r="S3" s="199" t="s">
        <v>422</v>
      </c>
      <c r="T3" s="199" t="s">
        <v>122</v>
      </c>
      <c r="U3" s="199" t="s">
        <v>489</v>
      </c>
      <c r="V3" s="200" t="s">
        <v>123</v>
      </c>
      <c r="W3" s="202" t="s">
        <v>21</v>
      </c>
      <c r="X3" s="201" t="s">
        <v>424</v>
      </c>
      <c r="AA3" t="s">
        <v>14</v>
      </c>
      <c r="AB3" t="s">
        <v>126</v>
      </c>
      <c r="AD3" t="s">
        <v>14</v>
      </c>
      <c r="AE3" t="s">
        <v>126</v>
      </c>
    </row>
    <row r="4" spans="1:31" x14ac:dyDescent="0.25">
      <c r="A4" s="4" t="str">
        <f>PLANTILLA!A17</f>
        <v>#16</v>
      </c>
      <c r="B4" s="50" t="str">
        <f>PLANTILLA!D17</f>
        <v>I. Vanags</v>
      </c>
      <c r="C4" s="4">
        <f>PLANTILLA!E17</f>
        <v>25</v>
      </c>
      <c r="D4" s="265">
        <f ca="1">PLANTILLA!F17</f>
        <v>63</v>
      </c>
      <c r="E4" s="48">
        <f>PLANTILLA!X17</f>
        <v>0</v>
      </c>
      <c r="F4" s="48">
        <f>PLANTILLA!Y17</f>
        <v>7.166666666666667</v>
      </c>
      <c r="G4" s="48">
        <f>PLANTILLA!Z17</f>
        <v>14.692307692307692</v>
      </c>
      <c r="H4" s="48">
        <f>PLANTILLA!AA17</f>
        <v>3</v>
      </c>
      <c r="I4" s="48">
        <f>PLANTILLA!AB17</f>
        <v>4</v>
      </c>
      <c r="J4" s="48">
        <f>PLANTILLA!AC17</f>
        <v>7.6818181818181817</v>
      </c>
      <c r="K4" s="48">
        <f>PLANTILLA!AD17</f>
        <v>19</v>
      </c>
      <c r="L4" s="94">
        <f>1/12.5</f>
        <v>0.08</v>
      </c>
      <c r="M4" s="94">
        <f t="shared" ref="M4:M14" si="0">L4*0.5</f>
        <v>0.04</v>
      </c>
      <c r="N4" s="94">
        <f t="shared" ref="N4:N14" si="1">L4*0.125</f>
        <v>0.01</v>
      </c>
      <c r="O4" s="114"/>
      <c r="P4" s="114"/>
      <c r="Q4" s="114"/>
      <c r="R4" s="114"/>
      <c r="S4" s="114"/>
      <c r="T4" s="114">
        <f t="shared" ref="T4:T9" si="2">L4*1</f>
        <v>0.08</v>
      </c>
      <c r="U4" s="114">
        <f>L4*0.631</f>
        <v>5.0480000000000004E-2</v>
      </c>
      <c r="V4" s="114"/>
      <c r="W4" s="114"/>
      <c r="X4" s="114">
        <f t="shared" ref="X4:X22" si="3">MAX(O4:W4)</f>
        <v>0.08</v>
      </c>
      <c r="AA4" t="s">
        <v>409</v>
      </c>
      <c r="AB4" t="s">
        <v>425</v>
      </c>
      <c r="AD4" t="s">
        <v>409</v>
      </c>
      <c r="AE4" t="str">
        <f>AB4</f>
        <v>B. Pinczehelyi</v>
      </c>
    </row>
    <row r="5" spans="1:31" x14ac:dyDescent="0.25">
      <c r="A5" s="4" t="str">
        <f>PLANTILLA!A18</f>
        <v>#8</v>
      </c>
      <c r="B5" s="50" t="str">
        <f>PLANTILLA!D18</f>
        <v>I. Stone</v>
      </c>
      <c r="C5" s="4">
        <f>PLANTILLA!E18</f>
        <v>25</v>
      </c>
      <c r="D5" s="265">
        <f ca="1">PLANTILLA!F18</f>
        <v>6</v>
      </c>
      <c r="E5" s="48">
        <f>PLANTILLA!X18</f>
        <v>0</v>
      </c>
      <c r="F5" s="48">
        <f>PLANTILLA!Y18</f>
        <v>6</v>
      </c>
      <c r="G5" s="48">
        <f>PLANTILLA!Z18</f>
        <v>13.727272727272727</v>
      </c>
      <c r="H5" s="48">
        <f>PLANTILLA!AA18</f>
        <v>2</v>
      </c>
      <c r="I5" s="48">
        <f>PLANTILLA!AB18</f>
        <v>6</v>
      </c>
      <c r="J5" s="48">
        <f>PLANTILLA!AC18</f>
        <v>9.5</v>
      </c>
      <c r="K5" s="48">
        <f>PLANTILLA!AD18</f>
        <v>18.5</v>
      </c>
      <c r="L5" s="94">
        <f>1/11</f>
        <v>9.0909090909090912E-2</v>
      </c>
      <c r="M5" s="94">
        <f t="shared" si="0"/>
        <v>4.5454545454545456E-2</v>
      </c>
      <c r="N5" s="94">
        <f t="shared" si="1"/>
        <v>1.1363636363636364E-2</v>
      </c>
      <c r="O5" s="114"/>
      <c r="P5" s="114"/>
      <c r="Q5" s="114"/>
      <c r="R5" s="114"/>
      <c r="S5" s="114"/>
      <c r="T5" s="114">
        <f t="shared" si="2"/>
        <v>9.0909090909090912E-2</v>
      </c>
      <c r="U5" s="114">
        <f t="shared" ref="U5:U9" si="4">L5*0.631</f>
        <v>5.7363636363636367E-2</v>
      </c>
      <c r="V5" s="114"/>
      <c r="W5" s="114"/>
      <c r="X5" s="114">
        <f t="shared" si="3"/>
        <v>9.0909090909090912E-2</v>
      </c>
      <c r="AA5" t="s">
        <v>410</v>
      </c>
      <c r="AB5" t="s">
        <v>178</v>
      </c>
      <c r="AD5" t="s">
        <v>414</v>
      </c>
      <c r="AE5" t="s">
        <v>177</v>
      </c>
    </row>
    <row r="6" spans="1:31" x14ac:dyDescent="0.25">
      <c r="A6" s="4" t="str">
        <f>PLANTILLA!A12</f>
        <v>#12</v>
      </c>
      <c r="B6" s="50" t="str">
        <f>PLANTILLA!D12</f>
        <v>P. Tuderek</v>
      </c>
      <c r="C6" s="4">
        <f>PLANTILLA!E12</f>
        <v>25</v>
      </c>
      <c r="D6" s="265">
        <f ca="1">PLANTILLA!F12</f>
        <v>65</v>
      </c>
      <c r="E6" s="48">
        <f>PLANTILLA!X12</f>
        <v>0</v>
      </c>
      <c r="F6" s="48">
        <f>PLANTILLA!Y12</f>
        <v>8.8333333333333339</v>
      </c>
      <c r="G6" s="48">
        <f>PLANTILLA!Z12</f>
        <v>13.909090909090908</v>
      </c>
      <c r="H6" s="48">
        <f>PLANTILLA!AA12</f>
        <v>2</v>
      </c>
      <c r="I6" s="48">
        <f>PLANTILLA!AB12</f>
        <v>3</v>
      </c>
      <c r="J6" s="48">
        <f>PLANTILLA!AC12</f>
        <v>7.416666666666667</v>
      </c>
      <c r="K6" s="48">
        <f>PLANTILLA!AD12</f>
        <v>19.600000000000001</v>
      </c>
      <c r="L6" s="94">
        <f>1/11</f>
        <v>9.0909090909090912E-2</v>
      </c>
      <c r="M6" s="94">
        <f t="shared" si="0"/>
        <v>4.5454545454545456E-2</v>
      </c>
      <c r="N6" s="94">
        <f t="shared" si="1"/>
        <v>1.1363636363636364E-2</v>
      </c>
      <c r="O6" s="114"/>
      <c r="P6" s="114"/>
      <c r="Q6" s="114"/>
      <c r="R6" s="114"/>
      <c r="S6" s="114"/>
      <c r="T6" s="114">
        <f t="shared" si="2"/>
        <v>9.0909090909090912E-2</v>
      </c>
      <c r="U6" s="114">
        <f t="shared" si="4"/>
        <v>5.7363636363636367E-2</v>
      </c>
      <c r="V6" s="114"/>
      <c r="W6" s="114"/>
      <c r="X6" s="114">
        <f t="shared" si="3"/>
        <v>9.0909090909090912E-2</v>
      </c>
      <c r="AA6" t="s">
        <v>409</v>
      </c>
      <c r="AB6" t="s">
        <v>129</v>
      </c>
      <c r="AD6" t="s">
        <v>121</v>
      </c>
      <c r="AE6" t="s">
        <v>129</v>
      </c>
    </row>
    <row r="7" spans="1:31" x14ac:dyDescent="0.25">
      <c r="A7" s="4" t="str">
        <f>PLANTILLA!A19</f>
        <v>#14</v>
      </c>
      <c r="B7" s="50" t="str">
        <f>PLANTILLA!D19</f>
        <v>G. Piscaer</v>
      </c>
      <c r="C7" s="4">
        <f>PLANTILLA!E19</f>
        <v>25</v>
      </c>
      <c r="D7" s="265">
        <f ca="1">PLANTILLA!F19</f>
        <v>79</v>
      </c>
      <c r="E7" s="48">
        <f>PLANTILLA!X19</f>
        <v>0</v>
      </c>
      <c r="F7" s="48">
        <f>PLANTILLA!Y19</f>
        <v>6.4</v>
      </c>
      <c r="G7" s="48">
        <f>PLANTILLA!Z19</f>
        <v>14.846153846153847</v>
      </c>
      <c r="H7" s="48">
        <f>PLANTILLA!AA19</f>
        <v>3</v>
      </c>
      <c r="I7" s="48">
        <f>PLANTILLA!AB19</f>
        <v>2</v>
      </c>
      <c r="J7" s="48">
        <f>PLANTILLA!AC19</f>
        <v>8.5769230769230766</v>
      </c>
      <c r="K7" s="48">
        <f>PLANTILLA!AD19</f>
        <v>17.75</v>
      </c>
      <c r="L7" s="94">
        <f>1/13</f>
        <v>7.6923076923076927E-2</v>
      </c>
      <c r="M7" s="94">
        <f t="shared" si="0"/>
        <v>3.8461538461538464E-2</v>
      </c>
      <c r="N7" s="94">
        <f t="shared" si="1"/>
        <v>9.6153846153846159E-3</v>
      </c>
      <c r="O7" s="114"/>
      <c r="P7" s="114"/>
      <c r="Q7" s="114"/>
      <c r="R7" s="114"/>
      <c r="S7" s="114"/>
      <c r="T7" s="114">
        <f t="shared" si="2"/>
        <v>7.6923076923076927E-2</v>
      </c>
      <c r="U7" s="114">
        <f t="shared" si="4"/>
        <v>4.8538461538461544E-2</v>
      </c>
      <c r="V7" s="114"/>
      <c r="W7" s="114"/>
      <c r="X7" s="114">
        <f t="shared" si="3"/>
        <v>7.6923076923076927E-2</v>
      </c>
      <c r="AA7" t="s">
        <v>253</v>
      </c>
      <c r="AB7" t="s">
        <v>131</v>
      </c>
      <c r="AD7" t="s">
        <v>414</v>
      </c>
      <c r="AE7" t="s">
        <v>176</v>
      </c>
    </row>
    <row r="8" spans="1:31" x14ac:dyDescent="0.25">
      <c r="A8" s="4" t="str">
        <f>PLANTILLA!A20</f>
        <v>#9</v>
      </c>
      <c r="B8" s="50" t="str">
        <f>PLANTILLA!D20</f>
        <v>M. Bondarewski</v>
      </c>
      <c r="C8" s="4">
        <f>PLANTILLA!E20</f>
        <v>25</v>
      </c>
      <c r="D8" s="265">
        <f ca="1">PLANTILLA!F20</f>
        <v>79</v>
      </c>
      <c r="E8" s="48">
        <f>PLANTILLA!X20</f>
        <v>0</v>
      </c>
      <c r="F8" s="48">
        <f>PLANTILLA!Y20</f>
        <v>4.75</v>
      </c>
      <c r="G8" s="48">
        <f>PLANTILLA!Z20</f>
        <v>14.692307692307692</v>
      </c>
      <c r="H8" s="48">
        <f>PLANTILLA!AA20</f>
        <v>5</v>
      </c>
      <c r="I8" s="48">
        <f>PLANTILLA!AB20</f>
        <v>4</v>
      </c>
      <c r="J8" s="48">
        <f>PLANTILLA!AC20</f>
        <v>8.5769230769230766</v>
      </c>
      <c r="K8" s="48">
        <f>PLANTILLA!AD20</f>
        <v>19.8</v>
      </c>
      <c r="L8" s="94">
        <f>1/13</f>
        <v>7.6923076923076927E-2</v>
      </c>
      <c r="M8" s="94">
        <f t="shared" si="0"/>
        <v>3.8461538461538464E-2</v>
      </c>
      <c r="N8" s="94">
        <f t="shared" si="1"/>
        <v>9.6153846153846159E-3</v>
      </c>
      <c r="O8" s="114"/>
      <c r="P8" s="114"/>
      <c r="Q8" s="114"/>
      <c r="R8" s="114"/>
      <c r="S8" s="114"/>
      <c r="T8" s="114">
        <f t="shared" si="2"/>
        <v>7.6923076923076927E-2</v>
      </c>
      <c r="U8" s="114">
        <f t="shared" si="4"/>
        <v>4.8538461538461544E-2</v>
      </c>
      <c r="V8" s="114"/>
      <c r="W8" s="114"/>
      <c r="X8" s="114">
        <f t="shared" si="3"/>
        <v>7.6923076923076927E-2</v>
      </c>
      <c r="AA8" t="s">
        <v>122</v>
      </c>
      <c r="AB8" t="s">
        <v>181</v>
      </c>
      <c r="AD8" t="s">
        <v>409</v>
      </c>
      <c r="AE8" t="s">
        <v>130</v>
      </c>
    </row>
    <row r="9" spans="1:31" x14ac:dyDescent="0.25">
      <c r="A9" s="4" t="str">
        <f>PLANTILLA!A13</f>
        <v>#10</v>
      </c>
      <c r="B9" s="50" t="str">
        <f>PLANTILLA!D13</f>
        <v>R. Forsyth</v>
      </c>
      <c r="C9" s="4">
        <f>PLANTILLA!E13</f>
        <v>26</v>
      </c>
      <c r="D9" s="265">
        <f ca="1">PLANTILLA!F13</f>
        <v>8</v>
      </c>
      <c r="E9" s="48">
        <f>PLANTILLA!X13</f>
        <v>0</v>
      </c>
      <c r="F9" s="48">
        <f>PLANTILLA!Y13</f>
        <v>9.75</v>
      </c>
      <c r="G9" s="48">
        <f>PLANTILLA!Z13</f>
        <v>14.538461538461538</v>
      </c>
      <c r="H9" s="48">
        <f>PLANTILLA!AA13</f>
        <v>3</v>
      </c>
      <c r="I9" s="48">
        <f>PLANTILLA!AB13</f>
        <v>4</v>
      </c>
      <c r="J9" s="48">
        <f>PLANTILLA!AC13</f>
        <v>7</v>
      </c>
      <c r="K9" s="48">
        <f>PLANTILLA!AD13</f>
        <v>18.25</v>
      </c>
      <c r="L9" s="94">
        <f>1/13</f>
        <v>7.6923076923076927E-2</v>
      </c>
      <c r="M9" s="94">
        <f t="shared" si="0"/>
        <v>3.8461538461538464E-2</v>
      </c>
      <c r="N9" s="94">
        <f t="shared" si="1"/>
        <v>9.6153846153846159E-3</v>
      </c>
      <c r="O9" s="114"/>
      <c r="P9" s="114"/>
      <c r="Q9" s="114"/>
      <c r="R9" s="114"/>
      <c r="S9" s="114"/>
      <c r="T9" s="114">
        <f t="shared" si="2"/>
        <v>7.6923076923076927E-2</v>
      </c>
      <c r="U9" s="114">
        <f t="shared" si="4"/>
        <v>4.8538461538461544E-2</v>
      </c>
      <c r="V9" s="114"/>
      <c r="W9" s="114"/>
      <c r="X9" s="114">
        <f t="shared" si="3"/>
        <v>7.6923076923076927E-2</v>
      </c>
      <c r="AA9" t="s">
        <v>253</v>
      </c>
      <c r="AB9" t="s">
        <v>179</v>
      </c>
      <c r="AD9" t="s">
        <v>253</v>
      </c>
      <c r="AE9" t="s">
        <v>179</v>
      </c>
    </row>
    <row r="10" spans="1:31" x14ac:dyDescent="0.25">
      <c r="A10" s="4" t="str">
        <f>PLANTILLA!A8</f>
        <v>#2</v>
      </c>
      <c r="B10" s="50" t="str">
        <f>PLANTILLA!D8</f>
        <v>S. Swärdborn</v>
      </c>
      <c r="C10" s="4">
        <f>PLANTILLA!E8</f>
        <v>25</v>
      </c>
      <c r="D10" s="265">
        <f ca="1">PLANTILLA!F8</f>
        <v>64</v>
      </c>
      <c r="E10" s="48">
        <f>PLANTILLA!X8</f>
        <v>0</v>
      </c>
      <c r="F10" s="48">
        <f>PLANTILLA!Y8</f>
        <v>13.23076923076923</v>
      </c>
      <c r="G10" s="48">
        <f>PLANTILLA!Z8</f>
        <v>9.3333333333333339</v>
      </c>
      <c r="H10" s="48">
        <f>PLANTILLA!AA8</f>
        <v>1</v>
      </c>
      <c r="I10" s="48">
        <f>PLANTILLA!AB8</f>
        <v>3</v>
      </c>
      <c r="J10" s="48">
        <f>PLANTILLA!AC8</f>
        <v>7.25</v>
      </c>
      <c r="K10" s="48">
        <f>PLANTILLA!AD8</f>
        <v>18.25</v>
      </c>
      <c r="L10" s="94">
        <f>1/5.5</f>
        <v>0.18181818181818182</v>
      </c>
      <c r="M10" s="94">
        <f t="shared" si="0"/>
        <v>9.0909090909090912E-2</v>
      </c>
      <c r="N10" s="94">
        <f t="shared" si="1"/>
        <v>2.2727272727272728E-2</v>
      </c>
      <c r="O10" s="114"/>
      <c r="P10" s="114">
        <f>L10*0.236</f>
        <v>4.2909090909090911E-2</v>
      </c>
      <c r="Q10" s="114">
        <f>L10*0.363</f>
        <v>6.6000000000000003E-2</v>
      </c>
      <c r="R10" s="114">
        <f>L10*0.165</f>
        <v>3.0000000000000002E-2</v>
      </c>
      <c r="S10" s="114">
        <f>L10*0.167</f>
        <v>3.0363636363636367E-2</v>
      </c>
      <c r="T10" s="114"/>
      <c r="U10" s="114"/>
      <c r="V10" s="114"/>
      <c r="W10" s="114"/>
      <c r="X10" s="114">
        <f t="shared" si="3"/>
        <v>6.6000000000000003E-2</v>
      </c>
      <c r="AA10" t="s">
        <v>256</v>
      </c>
      <c r="AB10" t="s">
        <v>130</v>
      </c>
      <c r="AD10" t="s">
        <v>253</v>
      </c>
      <c r="AE10" t="s">
        <v>131</v>
      </c>
    </row>
    <row r="11" spans="1:31" x14ac:dyDescent="0.25">
      <c r="A11" s="4" t="str">
        <f>PLANTILLA!A9</f>
        <v>#19</v>
      </c>
      <c r="B11" s="50" t="str">
        <f>PLANTILLA!D9</f>
        <v>A. Grimaud</v>
      </c>
      <c r="C11" s="4">
        <f>PLANTILLA!E9</f>
        <v>25</v>
      </c>
      <c r="D11" s="265">
        <f ca="1">PLANTILLA!F9</f>
        <v>87</v>
      </c>
      <c r="E11" s="48">
        <f>PLANTILLA!X9</f>
        <v>0</v>
      </c>
      <c r="F11" s="48">
        <f>PLANTILLA!Y9</f>
        <v>13.23076923076923</v>
      </c>
      <c r="G11" s="48">
        <f>PLANTILLA!Z9</f>
        <v>9.5</v>
      </c>
      <c r="H11" s="48">
        <f>PLANTILLA!AA9</f>
        <v>3</v>
      </c>
      <c r="I11" s="48">
        <f>PLANTILLA!AB9</f>
        <v>3</v>
      </c>
      <c r="J11" s="48">
        <f>PLANTILLA!AC9</f>
        <v>6.125</v>
      </c>
      <c r="K11" s="48">
        <f>PLANTILLA!AD9</f>
        <v>17.75</v>
      </c>
      <c r="L11" s="94">
        <f>1/5.5</f>
        <v>0.18181818181818182</v>
      </c>
      <c r="M11" s="94">
        <f t="shared" si="0"/>
        <v>9.0909090909090912E-2</v>
      </c>
      <c r="N11" s="94">
        <f t="shared" si="1"/>
        <v>2.2727272727272728E-2</v>
      </c>
      <c r="O11" s="114"/>
      <c r="P11" s="114">
        <f>L11*0.236</f>
        <v>4.2909090909090911E-2</v>
      </c>
      <c r="Q11" s="114">
        <f t="shared" ref="Q11:Q14" si="5">L11*0.363</f>
        <v>6.6000000000000003E-2</v>
      </c>
      <c r="R11" s="114">
        <f>L11*0.165</f>
        <v>3.0000000000000002E-2</v>
      </c>
      <c r="S11" s="114">
        <f>L11*0.167</f>
        <v>3.0363636363636367E-2</v>
      </c>
      <c r="T11" s="114"/>
      <c r="U11" s="114"/>
      <c r="V11" s="114"/>
      <c r="W11" s="114"/>
      <c r="X11" s="114">
        <f t="shared" si="3"/>
        <v>6.6000000000000003E-2</v>
      </c>
      <c r="AA11" t="s">
        <v>256</v>
      </c>
      <c r="AB11" t="s">
        <v>182</v>
      </c>
      <c r="AD11" t="s">
        <v>256</v>
      </c>
      <c r="AE11" t="s">
        <v>182</v>
      </c>
    </row>
    <row r="12" spans="1:31" x14ac:dyDescent="0.25">
      <c r="A12" s="4" t="str">
        <f>PLANTILLA!A10</f>
        <v>#4</v>
      </c>
      <c r="B12" s="50" t="str">
        <f>PLANTILLA!D10</f>
        <v>E. Deus</v>
      </c>
      <c r="C12" s="4">
        <f>PLANTILLA!E10</f>
        <v>25</v>
      </c>
      <c r="D12" s="265">
        <f ca="1">PLANTILLA!F10</f>
        <v>3</v>
      </c>
      <c r="E12" s="48">
        <f>PLANTILLA!X10</f>
        <v>0</v>
      </c>
      <c r="F12" s="48">
        <f>PLANTILLA!Y10</f>
        <v>12.333333333333334</v>
      </c>
      <c r="G12" s="48">
        <f>PLANTILLA!Z10</f>
        <v>8.8000000000000007</v>
      </c>
      <c r="H12" s="48">
        <f>PLANTILLA!AA10</f>
        <v>1</v>
      </c>
      <c r="I12" s="48">
        <f>PLANTILLA!AB10</f>
        <v>6</v>
      </c>
      <c r="J12" s="48">
        <f>PLANTILLA!AC10</f>
        <v>6</v>
      </c>
      <c r="K12" s="48">
        <f>PLANTILLA!AD10</f>
        <v>18.5</v>
      </c>
      <c r="L12" s="94">
        <f>1/5.5</f>
        <v>0.18181818181818182</v>
      </c>
      <c r="M12" s="94">
        <f t="shared" si="0"/>
        <v>9.0909090909090912E-2</v>
      </c>
      <c r="N12" s="94">
        <f t="shared" si="1"/>
        <v>2.2727272727272728E-2</v>
      </c>
      <c r="O12" s="114"/>
      <c r="P12" s="114">
        <f>L12*0.236</f>
        <v>4.2909090909090911E-2</v>
      </c>
      <c r="Q12" s="114">
        <f t="shared" si="5"/>
        <v>6.6000000000000003E-2</v>
      </c>
      <c r="R12" s="114">
        <f>L12*0.165</f>
        <v>3.0000000000000002E-2</v>
      </c>
      <c r="S12" s="114">
        <f>L12*0.167</f>
        <v>3.0363636363636367E-2</v>
      </c>
      <c r="T12" s="114"/>
      <c r="U12" s="114"/>
      <c r="V12" s="114"/>
      <c r="W12" s="114"/>
      <c r="X12" s="114">
        <f t="shared" si="3"/>
        <v>6.6000000000000003E-2</v>
      </c>
      <c r="AA12" t="s">
        <v>21</v>
      </c>
      <c r="AB12" t="s">
        <v>180</v>
      </c>
      <c r="AD12" t="s">
        <v>256</v>
      </c>
      <c r="AE12" t="s">
        <v>160</v>
      </c>
    </row>
    <row r="13" spans="1:31" x14ac:dyDescent="0.25">
      <c r="A13" s="4" t="str">
        <f>PLANTILLA!A6</f>
        <v>#22</v>
      </c>
      <c r="B13" s="50" t="str">
        <f>PLANTILLA!D6</f>
        <v>V. Gardner</v>
      </c>
      <c r="C13" s="4">
        <f>PLANTILLA!E6</f>
        <v>25</v>
      </c>
      <c r="D13" s="265">
        <f ca="1">PLANTILLA!F6</f>
        <v>76</v>
      </c>
      <c r="E13" s="48">
        <f>PLANTILLA!X6</f>
        <v>0</v>
      </c>
      <c r="F13" s="48">
        <f>PLANTILLA!Y6</f>
        <v>13.583333333333334</v>
      </c>
      <c r="G13" s="48">
        <f>PLANTILLA!Z6</f>
        <v>7.8</v>
      </c>
      <c r="H13" s="48">
        <f>PLANTILLA!AA6</f>
        <v>3</v>
      </c>
      <c r="I13" s="48">
        <f>PLANTILLA!AB6</f>
        <v>5</v>
      </c>
      <c r="J13" s="48">
        <f>PLANTILLA!AC6</f>
        <v>7.166666666666667</v>
      </c>
      <c r="K13" s="48">
        <f>PLANTILLA!AD6</f>
        <v>18.75</v>
      </c>
      <c r="L13" s="94">
        <f>1/5.5</f>
        <v>0.18181818181818182</v>
      </c>
      <c r="M13" s="94">
        <f t="shared" si="0"/>
        <v>9.0909090909090912E-2</v>
      </c>
      <c r="N13" s="94">
        <f t="shared" si="1"/>
        <v>2.2727272727272728E-2</v>
      </c>
      <c r="O13" s="114"/>
      <c r="P13" s="114"/>
      <c r="Q13" s="114">
        <f>L13*0.363</f>
        <v>6.6000000000000003E-2</v>
      </c>
      <c r="R13" s="114">
        <f>L13*0.165</f>
        <v>3.0000000000000002E-2</v>
      </c>
      <c r="S13" s="114">
        <f>L13*0.167</f>
        <v>3.0363636363636367E-2</v>
      </c>
      <c r="T13" s="114"/>
      <c r="U13" s="114"/>
      <c r="V13" s="114"/>
      <c r="W13" s="114"/>
      <c r="X13" s="114">
        <f t="shared" si="3"/>
        <v>6.6000000000000003E-2</v>
      </c>
      <c r="AA13" t="s">
        <v>21</v>
      </c>
      <c r="AB13" t="s">
        <v>160</v>
      </c>
      <c r="AD13" t="s">
        <v>21</v>
      </c>
      <c r="AE13" t="s">
        <v>180</v>
      </c>
    </row>
    <row r="14" spans="1:31" x14ac:dyDescent="0.25">
      <c r="A14" s="4" t="str">
        <f>PLANTILLA!A7</f>
        <v>#3</v>
      </c>
      <c r="B14" s="50" t="str">
        <f>PLANTILLA!D7</f>
        <v>S. Embe</v>
      </c>
      <c r="C14" s="4">
        <f>PLANTILLA!E7</f>
        <v>26</v>
      </c>
      <c r="D14" s="265">
        <f ca="1">PLANTILLA!F7</f>
        <v>20</v>
      </c>
      <c r="E14" s="48">
        <f>PLANTILLA!X7</f>
        <v>0</v>
      </c>
      <c r="F14" s="48">
        <f>PLANTILLA!Y7</f>
        <v>12.416666666666666</v>
      </c>
      <c r="G14" s="48">
        <f>PLANTILLA!Z7</f>
        <v>6.2</v>
      </c>
      <c r="H14" s="48">
        <f>PLANTILLA!AA7</f>
        <v>1</v>
      </c>
      <c r="I14" s="48">
        <f>PLANTILLA!AB7</f>
        <v>5</v>
      </c>
      <c r="J14" s="48">
        <f>PLANTILLA!AC7</f>
        <v>7</v>
      </c>
      <c r="K14" s="48">
        <f>PLANTILLA!AD7</f>
        <v>19.8</v>
      </c>
      <c r="L14" s="94">
        <f>1/5.5</f>
        <v>0.18181818181818182</v>
      </c>
      <c r="M14" s="94">
        <f t="shared" si="0"/>
        <v>9.0909090909090912E-2</v>
      </c>
      <c r="N14" s="94">
        <f t="shared" si="1"/>
        <v>2.2727272727272728E-2</v>
      </c>
      <c r="O14" s="114"/>
      <c r="P14" s="114"/>
      <c r="Q14" s="114">
        <f t="shared" si="5"/>
        <v>6.6000000000000003E-2</v>
      </c>
      <c r="R14" s="114">
        <f>L14*0.165</f>
        <v>3.0000000000000002E-2</v>
      </c>
      <c r="S14" s="114">
        <f>L14*0.167</f>
        <v>3.0363636363636367E-2</v>
      </c>
      <c r="T14" s="114"/>
      <c r="U14" s="114"/>
      <c r="V14" s="114"/>
      <c r="W14" s="114"/>
      <c r="X14" s="114">
        <f t="shared" si="3"/>
        <v>6.6000000000000003E-2</v>
      </c>
    </row>
    <row r="15" spans="1:31" x14ac:dyDescent="0.25">
      <c r="A15" s="4" t="str">
        <f>PLANTILLA!A4</f>
        <v>#69</v>
      </c>
      <c r="B15" s="50" t="str">
        <f>PLANTILLA!D4</f>
        <v>D. Gehmacher</v>
      </c>
      <c r="C15" s="4">
        <f>PLANTILLA!E4</f>
        <v>41</v>
      </c>
      <c r="D15" s="265">
        <f ca="1">PLANTILLA!F4</f>
        <v>108</v>
      </c>
      <c r="E15" s="48">
        <f>PLANTILLA!X4</f>
        <v>9.9499999999999993</v>
      </c>
      <c r="F15" s="48">
        <f>PLANTILLA!Y4</f>
        <v>3.95</v>
      </c>
      <c r="G15" s="48">
        <f>PLANTILLA!Z4</f>
        <v>0</v>
      </c>
      <c r="H15" s="48">
        <f>PLANTILLA!AA4</f>
        <v>0</v>
      </c>
      <c r="I15" s="48">
        <f>PLANTILLA!AB4</f>
        <v>0</v>
      </c>
      <c r="J15" s="48">
        <f>PLANTILLA!AC4</f>
        <v>0</v>
      </c>
      <c r="K15" s="48">
        <f>PLANTILLA!AD4</f>
        <v>14.95</v>
      </c>
      <c r="L15" s="94"/>
      <c r="M15" s="94"/>
      <c r="N15" s="94"/>
      <c r="O15" s="114"/>
      <c r="P15" s="114"/>
      <c r="Q15" s="114"/>
      <c r="R15" s="114"/>
      <c r="S15" s="114"/>
      <c r="T15" s="114"/>
      <c r="U15" s="114"/>
      <c r="V15" s="114"/>
      <c r="W15" s="114"/>
      <c r="X15" s="114">
        <f t="shared" si="3"/>
        <v>0</v>
      </c>
    </row>
    <row r="16" spans="1:31" x14ac:dyDescent="0.25">
      <c r="A16" s="4" t="str">
        <f>PLANTILLA!A5</f>
        <v>#1</v>
      </c>
      <c r="B16" s="50" t="str">
        <f>PLANTILLA!D5</f>
        <v>L. Guangwei</v>
      </c>
      <c r="C16" s="4">
        <f>PLANTILLA!E5</f>
        <v>26</v>
      </c>
      <c r="D16" s="265">
        <f ca="1">PLANTILLA!F5</f>
        <v>35</v>
      </c>
      <c r="E16" s="48">
        <f>PLANTILLA!X5</f>
        <v>15</v>
      </c>
      <c r="F16" s="48">
        <f>PLANTILLA!Y5</f>
        <v>6.6</v>
      </c>
      <c r="G16" s="48">
        <f>PLANTILLA!Z5</f>
        <v>3</v>
      </c>
      <c r="H16" s="48">
        <f>PLANTILLA!AA5</f>
        <v>1</v>
      </c>
      <c r="I16" s="48">
        <f>PLANTILLA!AB5</f>
        <v>5</v>
      </c>
      <c r="J16" s="48">
        <f>PLANTILLA!AC5</f>
        <v>5</v>
      </c>
      <c r="K16" s="48">
        <f>PLANTILLA!AD5</f>
        <v>21.5</v>
      </c>
      <c r="L16" s="94"/>
      <c r="M16" s="94"/>
      <c r="N16" s="94"/>
      <c r="O16" s="114"/>
      <c r="P16" s="114"/>
      <c r="Q16" s="114"/>
      <c r="R16" s="114"/>
      <c r="S16" s="114"/>
      <c r="T16" s="114"/>
      <c r="U16" s="114"/>
      <c r="V16" s="114"/>
      <c r="W16" s="114"/>
      <c r="X16" s="114">
        <f t="shared" si="3"/>
        <v>0</v>
      </c>
    </row>
    <row r="17" spans="1:24" x14ac:dyDescent="0.25">
      <c r="A17" s="4" t="str">
        <f>PLANTILLA!A11</f>
        <v>#17</v>
      </c>
      <c r="B17" s="50" t="str">
        <f>PLANTILLA!D11</f>
        <v>M.A. Balbinot</v>
      </c>
      <c r="C17" s="4">
        <f>PLANTILLA!E11</f>
        <v>29</v>
      </c>
      <c r="D17" s="265">
        <f ca="1">PLANTILLA!F11</f>
        <v>53</v>
      </c>
      <c r="E17" s="48">
        <f>PLANTILLA!X11</f>
        <v>0</v>
      </c>
      <c r="F17" s="48">
        <f>PLANTILLA!Y11</f>
        <v>8</v>
      </c>
      <c r="G17" s="48">
        <f>PLANTILLA!Z11</f>
        <v>14</v>
      </c>
      <c r="H17" s="48">
        <f>PLANTILLA!AA11</f>
        <v>7</v>
      </c>
      <c r="I17" s="48">
        <f>PLANTILLA!AB11</f>
        <v>8</v>
      </c>
      <c r="J17" s="48">
        <f>PLANTILLA!AC11</f>
        <v>9.0625</v>
      </c>
      <c r="K17" s="48">
        <f>PLANTILLA!AD11</f>
        <v>15.5</v>
      </c>
      <c r="L17"/>
      <c r="M17" s="94"/>
      <c r="N17" s="94"/>
      <c r="O17" s="114"/>
      <c r="P17" s="114"/>
      <c r="Q17" s="114"/>
      <c r="R17" s="114"/>
      <c r="S17" s="114"/>
      <c r="T17" s="114"/>
      <c r="U17" s="114"/>
      <c r="V17" s="114"/>
      <c r="W17" s="114"/>
      <c r="X17" s="114">
        <f t="shared" si="3"/>
        <v>0</v>
      </c>
    </row>
    <row r="18" spans="1:24" x14ac:dyDescent="0.25">
      <c r="A18" s="4" t="e">
        <f>PLANTILLA!#REF!</f>
        <v>#REF!</v>
      </c>
      <c r="B18" s="50" t="e">
        <f>PLANTILLA!#REF!</f>
        <v>#REF!</v>
      </c>
      <c r="C18" s="4" t="e">
        <f>PLANTILLA!#REF!</f>
        <v>#REF!</v>
      </c>
      <c r="D18" s="265" t="e">
        <f>PLANTILLA!#REF!</f>
        <v>#REF!</v>
      </c>
      <c r="E18" s="48" t="e">
        <f>PLANTILLA!#REF!</f>
        <v>#REF!</v>
      </c>
      <c r="F18" s="48" t="e">
        <f>PLANTILLA!#REF!</f>
        <v>#REF!</v>
      </c>
      <c r="G18" s="48" t="e">
        <f>PLANTILLA!#REF!</f>
        <v>#REF!</v>
      </c>
      <c r="H18" s="48" t="e">
        <f>PLANTILLA!#REF!</f>
        <v>#REF!</v>
      </c>
      <c r="I18" s="48" t="e">
        <f>PLANTILLA!#REF!</f>
        <v>#REF!</v>
      </c>
      <c r="J18" s="48" t="e">
        <f>PLANTILLA!#REF!</f>
        <v>#REF!</v>
      </c>
      <c r="K18" s="48" t="e">
        <f>PLANTILLA!#REF!</f>
        <v>#REF!</v>
      </c>
      <c r="L18" s="94"/>
      <c r="M18" s="94"/>
      <c r="N18" s="94"/>
      <c r="O18" s="114"/>
      <c r="P18" s="114"/>
      <c r="Q18" s="114"/>
      <c r="R18" s="114"/>
      <c r="S18" s="114"/>
      <c r="T18" s="114"/>
      <c r="U18" s="114"/>
      <c r="V18" s="114"/>
      <c r="W18" s="114"/>
      <c r="X18" s="114">
        <f t="shared" si="3"/>
        <v>0</v>
      </c>
    </row>
    <row r="19" spans="1:24" x14ac:dyDescent="0.25">
      <c r="A19" s="4" t="str">
        <f>PLANTILLA!A16</f>
        <v>#7</v>
      </c>
      <c r="B19" s="50" t="str">
        <f>PLANTILLA!D16</f>
        <v>I. Conteanu</v>
      </c>
      <c r="C19" s="4">
        <f>PLANTILLA!E16</f>
        <v>30</v>
      </c>
      <c r="D19" s="265">
        <f ca="1">PLANTILLA!F16</f>
        <v>96</v>
      </c>
      <c r="E19" s="48">
        <f>PLANTILLA!X16</f>
        <v>0</v>
      </c>
      <c r="F19" s="48">
        <f>PLANTILLA!Y16</f>
        <v>10</v>
      </c>
      <c r="G19" s="48">
        <f>PLANTILLA!Z16</f>
        <v>14</v>
      </c>
      <c r="H19" s="48">
        <f>PLANTILLA!AA16</f>
        <v>3</v>
      </c>
      <c r="I19" s="48">
        <f>PLANTILLA!AB16</f>
        <v>3</v>
      </c>
      <c r="J19" s="48">
        <f>PLANTILLA!AC16</f>
        <v>7.25</v>
      </c>
      <c r="K19" s="48">
        <f>PLANTILLA!AD16</f>
        <v>17.25</v>
      </c>
      <c r="L19" s="94"/>
      <c r="M19" s="94"/>
      <c r="N19" s="94"/>
      <c r="O19" s="114"/>
      <c r="P19" s="114"/>
      <c r="Q19" s="114"/>
      <c r="R19" s="114"/>
      <c r="S19" s="114"/>
      <c r="T19" s="114"/>
      <c r="U19" s="114"/>
      <c r="V19" s="114"/>
      <c r="W19" s="114"/>
      <c r="X19" s="114">
        <f t="shared" si="3"/>
        <v>0</v>
      </c>
    </row>
    <row r="20" spans="1:24" x14ac:dyDescent="0.25">
      <c r="A20" s="4" t="e">
        <f>PLANTILLA!#REF!</f>
        <v>#REF!</v>
      </c>
      <c r="B20" s="50" t="e">
        <f>PLANTILLA!#REF!</f>
        <v>#REF!</v>
      </c>
      <c r="C20" s="4" t="e">
        <f>PLANTILLA!#REF!</f>
        <v>#REF!</v>
      </c>
      <c r="D20" s="265" t="e">
        <f>PLANTILLA!#REF!</f>
        <v>#REF!</v>
      </c>
      <c r="E20" s="48" t="e">
        <f>PLANTILLA!#REF!</f>
        <v>#REF!</v>
      </c>
      <c r="F20" s="48" t="e">
        <f>PLANTILLA!#REF!</f>
        <v>#REF!</v>
      </c>
      <c r="G20" s="48" t="e">
        <f>PLANTILLA!#REF!</f>
        <v>#REF!</v>
      </c>
      <c r="H20" s="48" t="e">
        <f>PLANTILLA!#REF!</f>
        <v>#REF!</v>
      </c>
      <c r="I20" s="48" t="e">
        <f>PLANTILLA!#REF!</f>
        <v>#REF!</v>
      </c>
      <c r="J20" s="48" t="e">
        <f>PLANTILLA!#REF!</f>
        <v>#REF!</v>
      </c>
      <c r="K20" s="48" t="e">
        <f>PLANTILLA!#REF!</f>
        <v>#REF!</v>
      </c>
      <c r="L20" s="94"/>
      <c r="M20" s="94"/>
      <c r="N20" s="94"/>
      <c r="O20" s="114"/>
      <c r="P20" s="114"/>
      <c r="Q20" s="114"/>
      <c r="R20" s="114"/>
      <c r="S20" s="114"/>
      <c r="T20" s="114"/>
      <c r="U20" s="114"/>
      <c r="V20" s="114"/>
      <c r="W20" s="114"/>
      <c r="X20" s="114">
        <f t="shared" si="3"/>
        <v>0</v>
      </c>
    </row>
    <row r="21" spans="1:24" x14ac:dyDescent="0.25">
      <c r="A21" s="4" t="e">
        <f>PLANTILLA!#REF!</f>
        <v>#REF!</v>
      </c>
      <c r="B21" s="50" t="e">
        <f>PLANTILLA!#REF!</f>
        <v>#REF!</v>
      </c>
      <c r="C21" s="4" t="e">
        <f>PLANTILLA!#REF!</f>
        <v>#REF!</v>
      </c>
      <c r="D21" s="265" t="e">
        <f>PLANTILLA!#REF!</f>
        <v>#REF!</v>
      </c>
      <c r="E21" s="48" t="e">
        <f>PLANTILLA!#REF!</f>
        <v>#REF!</v>
      </c>
      <c r="F21" s="48" t="e">
        <f>PLANTILLA!#REF!</f>
        <v>#REF!</v>
      </c>
      <c r="G21" s="48" t="e">
        <f>PLANTILLA!#REF!</f>
        <v>#REF!</v>
      </c>
      <c r="H21" s="48" t="e">
        <f>PLANTILLA!#REF!</f>
        <v>#REF!</v>
      </c>
      <c r="I21" s="48" t="e">
        <f>PLANTILLA!#REF!</f>
        <v>#REF!</v>
      </c>
      <c r="J21" s="48" t="e">
        <f>PLANTILLA!#REF!</f>
        <v>#REF!</v>
      </c>
      <c r="K21" s="48" t="e">
        <f>PLANTILLA!#REF!</f>
        <v>#REF!</v>
      </c>
      <c r="L21" s="94"/>
      <c r="M21" s="94"/>
      <c r="N21" s="94"/>
      <c r="O21" s="114"/>
      <c r="P21" s="114"/>
      <c r="Q21" s="114"/>
      <c r="R21" s="114"/>
      <c r="S21" s="114"/>
      <c r="T21" s="114"/>
      <c r="U21" s="114"/>
      <c r="V21" s="114"/>
      <c r="W21" s="114"/>
      <c r="X21" s="114">
        <f t="shared" si="3"/>
        <v>0</v>
      </c>
    </row>
    <row r="22" spans="1:24" x14ac:dyDescent="0.25">
      <c r="A22" s="4" t="e">
        <f>PLANTILLA!#REF!</f>
        <v>#REF!</v>
      </c>
      <c r="B22" s="50" t="e">
        <f>PLANTILLA!#REF!</f>
        <v>#REF!</v>
      </c>
      <c r="C22" s="4" t="e">
        <f>PLANTILLA!#REF!</f>
        <v>#REF!</v>
      </c>
      <c r="D22" s="265" t="e">
        <f>PLANTILLA!#REF!</f>
        <v>#REF!</v>
      </c>
      <c r="E22" s="48" t="e">
        <f>PLANTILLA!#REF!</f>
        <v>#REF!</v>
      </c>
      <c r="F22" s="48" t="e">
        <f>PLANTILLA!#REF!</f>
        <v>#REF!</v>
      </c>
      <c r="G22" s="48" t="e">
        <f>PLANTILLA!#REF!</f>
        <v>#REF!</v>
      </c>
      <c r="H22" s="48" t="e">
        <f>PLANTILLA!#REF!</f>
        <v>#REF!</v>
      </c>
      <c r="I22" s="48" t="e">
        <f>PLANTILLA!#REF!</f>
        <v>#REF!</v>
      </c>
      <c r="J22" s="48" t="e">
        <f>PLANTILLA!#REF!</f>
        <v>#REF!</v>
      </c>
      <c r="K22" s="48" t="e">
        <f>PLANTILLA!#REF!</f>
        <v>#REF!</v>
      </c>
      <c r="L22" s="94"/>
      <c r="M22" s="94"/>
      <c r="N22" s="94"/>
      <c r="O22" s="114"/>
      <c r="P22" s="114"/>
      <c r="Q22" s="114"/>
      <c r="R22" s="114"/>
      <c r="S22" s="114"/>
      <c r="T22" s="114"/>
      <c r="U22" s="114"/>
      <c r="V22" s="114"/>
      <c r="W22" s="114"/>
      <c r="X22" s="114">
        <f t="shared" si="3"/>
        <v>0</v>
      </c>
    </row>
  </sheetData>
  <sortState xmlns:xlrd2="http://schemas.microsoft.com/office/spreadsheetml/2017/richdata2" ref="A4:X22">
    <sortCondition descending="1" ref="X4:X22"/>
  </sortState>
  <conditionalFormatting sqref="E4:K22">
    <cfRule type="colorScale" priority="176">
      <colorScale>
        <cfvo type="min"/>
        <cfvo type="max"/>
        <color rgb="FFFCFCFF"/>
        <color rgb="FFF8696B"/>
      </colorScale>
    </cfRule>
  </conditionalFormatting>
  <conditionalFormatting sqref="X4:X22">
    <cfRule type="dataBar" priority="1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{4C2A8114-93B3-91EC-B0C5-EB4AAD25DE4E}</x14:id>
        </ext>
      </extLst>
    </cfRule>
  </conditionalFormatting>
  <conditionalFormatting sqref="L4:W22">
    <cfRule type="colorScale" priority="180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2A8114-93B3-91EC-B0C5-EB4AAD25DE4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X4:X22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60497A"/>
  </sheetPr>
  <dimension ref="A1:U60"/>
  <sheetViews>
    <sheetView workbookViewId="0">
      <selection activeCell="B16" sqref="B16"/>
    </sheetView>
  </sheetViews>
  <sheetFormatPr baseColWidth="10" defaultColWidth="11.42578125" defaultRowHeight="15" x14ac:dyDescent="0.25"/>
  <cols>
    <col min="1" max="1" width="3" customWidth="1"/>
    <col min="2" max="2" width="9.85546875" customWidth="1"/>
    <col min="3" max="3" width="23.5703125" customWidth="1"/>
    <col min="4" max="5" width="5" customWidth="1"/>
    <col min="6" max="6" width="6.7109375" customWidth="1"/>
    <col min="7" max="7" width="10.7109375" style="57" customWidth="1"/>
    <col min="8" max="8" width="20.42578125" customWidth="1"/>
    <col min="9" max="9" width="5" customWidth="1"/>
    <col min="10" max="10" width="4" customWidth="1"/>
    <col min="11" max="11" width="3" customWidth="1"/>
    <col min="12" max="12" width="5" customWidth="1"/>
    <col min="13" max="13" width="20.42578125" customWidth="1"/>
    <col min="14" max="14" width="7.7109375" customWidth="1"/>
    <col min="15" max="15" width="4.5703125" customWidth="1"/>
    <col min="16" max="16" width="4" customWidth="1"/>
    <col min="17" max="17" width="5.5703125" customWidth="1"/>
    <col min="18" max="18" width="3" customWidth="1"/>
    <col min="19" max="19" width="5.5703125" customWidth="1"/>
    <col min="20" max="20" width="23.5703125" customWidth="1"/>
    <col min="21" max="21" width="5" customWidth="1"/>
    <col min="22" max="22" width="4" customWidth="1"/>
    <col min="23" max="23" width="3.28515625" customWidth="1"/>
    <col min="24" max="24" width="5.85546875" customWidth="1"/>
    <col min="25" max="25" width="20.42578125" customWidth="1"/>
    <col min="26" max="26" width="5" customWidth="1"/>
  </cols>
  <sheetData>
    <row r="1" spans="1:21" ht="18.75" x14ac:dyDescent="0.3">
      <c r="A1" s="545" t="s">
        <v>0</v>
      </c>
      <c r="B1" s="545"/>
      <c r="C1" s="545"/>
      <c r="E1" s="546" t="s">
        <v>1</v>
      </c>
      <c r="F1" s="546"/>
      <c r="G1" s="546"/>
      <c r="H1" s="546"/>
    </row>
    <row r="2" spans="1:21" x14ac:dyDescent="0.25">
      <c r="A2" s="547">
        <v>44333</v>
      </c>
      <c r="B2" s="547"/>
      <c r="C2" s="547"/>
      <c r="E2" s="57" t="s">
        <v>2</v>
      </c>
      <c r="F2" s="2" t="s">
        <v>3</v>
      </c>
      <c r="G2" s="73">
        <v>43276</v>
      </c>
      <c r="H2" t="s">
        <v>4</v>
      </c>
    </row>
    <row r="3" spans="1:21" x14ac:dyDescent="0.25">
      <c r="E3" s="57" t="s">
        <v>5</v>
      </c>
      <c r="F3" s="145" t="s">
        <v>6</v>
      </c>
      <c r="G3" s="73">
        <v>43258</v>
      </c>
      <c r="H3" t="s">
        <v>7</v>
      </c>
    </row>
    <row r="4" spans="1:21" s="318" customFormat="1" ht="10.5" customHeight="1" x14ac:dyDescent="0.3"/>
    <row r="5" spans="1:21" s="318" customFormat="1" ht="18.75" x14ac:dyDescent="0.3">
      <c r="B5" s="544" t="s">
        <v>8</v>
      </c>
      <c r="C5" s="544"/>
      <c r="D5" s="319"/>
      <c r="G5" s="544" t="s">
        <v>9</v>
      </c>
      <c r="H5" s="544"/>
      <c r="I5" s="544"/>
      <c r="J5" s="320"/>
      <c r="K5" s="320"/>
      <c r="L5" s="544" t="s">
        <v>10</v>
      </c>
      <c r="M5" s="544"/>
      <c r="N5" s="319"/>
      <c r="O5" s="321" t="s">
        <v>11</v>
      </c>
      <c r="S5" s="544" t="s">
        <v>12</v>
      </c>
      <c r="T5" s="544"/>
    </row>
    <row r="6" spans="1:21" s="319" customFormat="1" x14ac:dyDescent="0.25">
      <c r="A6" s="319">
        <v>1</v>
      </c>
      <c r="B6" s="322">
        <v>123</v>
      </c>
      <c r="C6" s="323" t="s">
        <v>13</v>
      </c>
      <c r="D6" s="323" t="s">
        <v>14</v>
      </c>
      <c r="F6" s="324">
        <v>1</v>
      </c>
      <c r="G6" s="346">
        <v>436</v>
      </c>
      <c r="H6" s="342" t="s">
        <v>15</v>
      </c>
      <c r="I6" s="342" t="s">
        <v>16</v>
      </c>
      <c r="K6" s="324">
        <v>1</v>
      </c>
      <c r="L6" s="346">
        <v>283</v>
      </c>
      <c r="M6" s="342" t="s">
        <v>17</v>
      </c>
      <c r="N6" s="342" t="s">
        <v>18</v>
      </c>
      <c r="O6" s="365">
        <f>L6/G9</f>
        <v>0.80857142857142861</v>
      </c>
      <c r="P6" s="342"/>
      <c r="R6" s="319">
        <v>1</v>
      </c>
      <c r="S6" s="325" t="s">
        <v>19</v>
      </c>
      <c r="T6" s="326" t="s">
        <v>20</v>
      </c>
      <c r="U6" s="327" t="s">
        <v>21</v>
      </c>
    </row>
    <row r="7" spans="1:21" s="319" customFormat="1" x14ac:dyDescent="0.25">
      <c r="A7" s="319">
        <v>2</v>
      </c>
      <c r="B7" s="328">
        <v>66</v>
      </c>
      <c r="C7" s="326" t="s">
        <v>22</v>
      </c>
      <c r="D7" s="327" t="s">
        <v>14</v>
      </c>
      <c r="F7" s="324">
        <v>2</v>
      </c>
      <c r="G7" s="346">
        <v>419</v>
      </c>
      <c r="H7" s="342" t="s">
        <v>23</v>
      </c>
      <c r="I7" s="343" t="s">
        <v>24</v>
      </c>
      <c r="K7" s="324">
        <v>2</v>
      </c>
      <c r="L7" s="346">
        <v>132</v>
      </c>
      <c r="M7" s="342" t="s">
        <v>15</v>
      </c>
      <c r="N7" s="342" t="s">
        <v>16</v>
      </c>
      <c r="O7" s="365">
        <f>L7/G6</f>
        <v>0.30275229357798167</v>
      </c>
      <c r="P7" s="342"/>
      <c r="R7" s="319">
        <v>2</v>
      </c>
      <c r="S7" s="329" t="s">
        <v>25</v>
      </c>
      <c r="T7" s="323" t="s">
        <v>13</v>
      </c>
      <c r="U7" s="323" t="s">
        <v>14</v>
      </c>
    </row>
    <row r="8" spans="1:21" s="319" customFormat="1" x14ac:dyDescent="0.25">
      <c r="A8" s="319">
        <v>3</v>
      </c>
      <c r="B8" s="330">
        <v>62</v>
      </c>
      <c r="C8" s="331" t="s">
        <v>31</v>
      </c>
      <c r="D8" s="332" t="s">
        <v>14</v>
      </c>
      <c r="F8" s="324">
        <v>3</v>
      </c>
      <c r="G8" s="346">
        <v>364</v>
      </c>
      <c r="H8" s="342" t="s">
        <v>27</v>
      </c>
      <c r="I8" s="343" t="s">
        <v>28</v>
      </c>
      <c r="K8" s="324">
        <v>2</v>
      </c>
      <c r="L8" s="346">
        <v>132</v>
      </c>
      <c r="M8" s="342" t="s">
        <v>29</v>
      </c>
      <c r="N8" s="342" t="s">
        <v>30</v>
      </c>
      <c r="O8" s="365">
        <f>L8/G10</f>
        <v>0.38709677419354838</v>
      </c>
      <c r="P8" s="342"/>
      <c r="R8" s="319">
        <v>2</v>
      </c>
      <c r="S8" s="341" t="s">
        <v>25</v>
      </c>
      <c r="T8" s="342" t="s">
        <v>15</v>
      </c>
      <c r="U8" s="342" t="s">
        <v>16</v>
      </c>
    </row>
    <row r="9" spans="1:21" s="318" customFormat="1" ht="18.75" x14ac:dyDescent="0.3">
      <c r="A9" s="319">
        <v>4</v>
      </c>
      <c r="B9" s="325">
        <v>46</v>
      </c>
      <c r="C9" s="326" t="s">
        <v>26</v>
      </c>
      <c r="D9" s="327" t="s">
        <v>14</v>
      </c>
      <c r="F9" s="324">
        <v>4</v>
      </c>
      <c r="G9" s="333">
        <v>350</v>
      </c>
      <c r="H9" s="334" t="s">
        <v>32</v>
      </c>
      <c r="I9" s="335" t="s">
        <v>18</v>
      </c>
      <c r="K9" s="324">
        <v>4</v>
      </c>
      <c r="L9" s="333">
        <v>100</v>
      </c>
      <c r="M9" s="334" t="s">
        <v>33</v>
      </c>
      <c r="N9" s="334" t="s">
        <v>28</v>
      </c>
      <c r="O9" s="336">
        <f>L9/G11</f>
        <v>0.31948881789137379</v>
      </c>
      <c r="P9" s="334"/>
      <c r="R9" s="319">
        <v>2</v>
      </c>
      <c r="S9" s="341" t="s">
        <v>25</v>
      </c>
      <c r="T9" s="342" t="s">
        <v>27</v>
      </c>
      <c r="U9" s="343" t="s">
        <v>28</v>
      </c>
    </row>
    <row r="10" spans="1:21" s="319" customFormat="1" ht="18.75" x14ac:dyDescent="0.3">
      <c r="A10" s="319">
        <v>5</v>
      </c>
      <c r="B10" s="333">
        <v>2</v>
      </c>
      <c r="C10" s="334" t="s">
        <v>34</v>
      </c>
      <c r="D10" s="334" t="s">
        <v>14</v>
      </c>
      <c r="F10" s="324">
        <v>5</v>
      </c>
      <c r="G10" s="341">
        <v>341</v>
      </c>
      <c r="H10" s="342" t="s">
        <v>29</v>
      </c>
      <c r="I10" s="342" t="s">
        <v>30</v>
      </c>
      <c r="K10" s="324">
        <v>5</v>
      </c>
      <c r="L10" s="341">
        <v>95</v>
      </c>
      <c r="M10" s="342" t="s">
        <v>27</v>
      </c>
      <c r="N10" s="343" t="s">
        <v>28</v>
      </c>
      <c r="O10" s="365">
        <f>L10/G8</f>
        <v>0.26098901098901101</v>
      </c>
      <c r="P10" s="367"/>
      <c r="R10" s="319">
        <v>2</v>
      </c>
      <c r="S10" s="325" t="s">
        <v>25</v>
      </c>
      <c r="T10" s="326" t="s">
        <v>35</v>
      </c>
      <c r="U10" s="326" t="s">
        <v>21</v>
      </c>
    </row>
    <row r="11" spans="1:21" s="319" customFormat="1" x14ac:dyDescent="0.25">
      <c r="A11" s="319">
        <v>6</v>
      </c>
      <c r="B11" s="333">
        <v>1</v>
      </c>
      <c r="C11" s="334" t="s">
        <v>36</v>
      </c>
      <c r="D11" s="334" t="s">
        <v>37</v>
      </c>
      <c r="F11" s="324">
        <v>6</v>
      </c>
      <c r="G11" s="333">
        <v>313</v>
      </c>
      <c r="H11" s="334" t="s">
        <v>33</v>
      </c>
      <c r="I11" s="335" t="s">
        <v>28</v>
      </c>
      <c r="K11" s="324">
        <v>6</v>
      </c>
      <c r="L11" s="333">
        <v>90</v>
      </c>
      <c r="M11" s="334" t="s">
        <v>20</v>
      </c>
      <c r="N11" s="334" t="s">
        <v>21</v>
      </c>
      <c r="O11" s="336">
        <f>L11/G21</f>
        <v>0.61643835616438358</v>
      </c>
      <c r="P11" s="334">
        <v>169</v>
      </c>
      <c r="R11" s="319">
        <v>2</v>
      </c>
      <c r="S11" s="325" t="s">
        <v>25</v>
      </c>
      <c r="T11" s="326" t="s">
        <v>38</v>
      </c>
      <c r="U11" s="327" t="s">
        <v>24</v>
      </c>
    </row>
    <row r="12" spans="1:21" s="319" customFormat="1" ht="18.75" x14ac:dyDescent="0.3">
      <c r="A12" s="319">
        <v>6</v>
      </c>
      <c r="B12" s="333">
        <v>1</v>
      </c>
      <c r="C12" s="334" t="s">
        <v>39</v>
      </c>
      <c r="D12" s="334" t="s">
        <v>24</v>
      </c>
      <c r="F12" s="324">
        <v>7</v>
      </c>
      <c r="G12" s="333">
        <v>312</v>
      </c>
      <c r="H12" s="334" t="s">
        <v>40</v>
      </c>
      <c r="I12" s="335" t="s">
        <v>30</v>
      </c>
      <c r="K12" s="324">
        <v>7</v>
      </c>
      <c r="L12" s="333">
        <v>85</v>
      </c>
      <c r="M12" s="334" t="s">
        <v>40</v>
      </c>
      <c r="N12" s="335" t="s">
        <v>30</v>
      </c>
      <c r="O12" s="336">
        <f>L12/G12</f>
        <v>0.27243589743589741</v>
      </c>
      <c r="P12" s="338"/>
      <c r="R12" s="319">
        <v>7</v>
      </c>
      <c r="S12" s="333" t="s">
        <v>41</v>
      </c>
      <c r="T12" s="334" t="s">
        <v>42</v>
      </c>
      <c r="U12" s="334" t="s">
        <v>37</v>
      </c>
    </row>
    <row r="13" spans="1:21" s="319" customFormat="1" ht="18.75" x14ac:dyDescent="0.3">
      <c r="A13" s="319">
        <v>6</v>
      </c>
      <c r="B13" s="330">
        <v>1</v>
      </c>
      <c r="C13" s="331" t="s">
        <v>79</v>
      </c>
      <c r="D13" s="332" t="s">
        <v>37</v>
      </c>
      <c r="F13" s="324">
        <v>8</v>
      </c>
      <c r="G13" s="330">
        <v>308</v>
      </c>
      <c r="H13" s="331" t="s">
        <v>13</v>
      </c>
      <c r="I13" s="331" t="s">
        <v>14</v>
      </c>
      <c r="J13" s="318"/>
      <c r="K13" s="324">
        <v>7</v>
      </c>
      <c r="L13" s="333">
        <v>85</v>
      </c>
      <c r="M13" s="334" t="s">
        <v>44</v>
      </c>
      <c r="N13" s="335" t="s">
        <v>28</v>
      </c>
      <c r="O13" s="336">
        <f>L13/G15</f>
        <v>0.2982456140350877</v>
      </c>
      <c r="P13" s="334"/>
      <c r="Q13" s="318"/>
      <c r="R13" s="319">
        <v>7</v>
      </c>
      <c r="S13" s="333" t="s">
        <v>41</v>
      </c>
      <c r="T13" s="334" t="s">
        <v>33</v>
      </c>
      <c r="U13" s="335" t="s">
        <v>28</v>
      </c>
    </row>
    <row r="14" spans="1:21" s="319" customFormat="1" ht="18.75" x14ac:dyDescent="0.3">
      <c r="B14" s="324"/>
      <c r="C14" s="324"/>
      <c r="D14" s="324"/>
      <c r="E14" s="318"/>
      <c r="F14" s="324">
        <v>9</v>
      </c>
      <c r="G14" s="333">
        <v>299</v>
      </c>
      <c r="H14" s="334" t="s">
        <v>43</v>
      </c>
      <c r="I14" s="335" t="s">
        <v>28</v>
      </c>
      <c r="K14" s="324">
        <v>9</v>
      </c>
      <c r="L14" s="341">
        <v>84</v>
      </c>
      <c r="M14" s="342" t="s">
        <v>23</v>
      </c>
      <c r="N14" s="343" t="s">
        <v>24</v>
      </c>
      <c r="O14" s="365">
        <f>L14/G7</f>
        <v>0.20047732696897375</v>
      </c>
      <c r="P14" s="342"/>
      <c r="R14" s="319">
        <v>7</v>
      </c>
      <c r="S14" s="333" t="s">
        <v>41</v>
      </c>
      <c r="T14" s="334" t="s">
        <v>23</v>
      </c>
      <c r="U14" s="335" t="s">
        <v>24</v>
      </c>
    </row>
    <row r="15" spans="1:21" s="319" customFormat="1" ht="18.75" x14ac:dyDescent="0.3">
      <c r="A15" s="318"/>
      <c r="B15" s="339" t="s">
        <v>45</v>
      </c>
      <c r="C15" s="339"/>
      <c r="F15" s="324">
        <v>10</v>
      </c>
      <c r="G15" s="333">
        <v>285</v>
      </c>
      <c r="H15" s="334" t="s">
        <v>44</v>
      </c>
      <c r="I15" s="335" t="s">
        <v>28</v>
      </c>
      <c r="K15" s="324">
        <v>10</v>
      </c>
      <c r="L15" s="333">
        <v>68</v>
      </c>
      <c r="M15" s="334" t="s">
        <v>46</v>
      </c>
      <c r="N15" s="335" t="s">
        <v>24</v>
      </c>
      <c r="O15" s="336">
        <f>L15/G16</f>
        <v>0.24548736462093862</v>
      </c>
      <c r="P15" s="334"/>
      <c r="R15" s="319">
        <v>10</v>
      </c>
      <c r="S15" s="341" t="s">
        <v>47</v>
      </c>
      <c r="T15" s="342" t="s">
        <v>29</v>
      </c>
      <c r="U15" s="343" t="s">
        <v>30</v>
      </c>
    </row>
    <row r="16" spans="1:21" s="319" customFormat="1" x14ac:dyDescent="0.25">
      <c r="A16" s="319">
        <v>1</v>
      </c>
      <c r="B16" s="329">
        <v>262</v>
      </c>
      <c r="C16" s="323" t="s">
        <v>13</v>
      </c>
      <c r="D16" s="323" t="s">
        <v>14</v>
      </c>
      <c r="F16" s="324">
        <v>11</v>
      </c>
      <c r="G16" s="333">
        <v>277</v>
      </c>
      <c r="H16" s="334" t="s">
        <v>46</v>
      </c>
      <c r="I16" s="335" t="s">
        <v>24</v>
      </c>
      <c r="K16" s="324">
        <v>11</v>
      </c>
      <c r="L16" s="330">
        <v>63</v>
      </c>
      <c r="M16" s="331" t="s">
        <v>48</v>
      </c>
      <c r="N16" s="332" t="s">
        <v>18</v>
      </c>
      <c r="O16" s="337">
        <f>L16/G22</f>
        <v>0.4315068493150685</v>
      </c>
      <c r="P16" s="331"/>
      <c r="R16" s="319">
        <v>10</v>
      </c>
      <c r="S16" s="333" t="s">
        <v>47</v>
      </c>
      <c r="T16" s="334" t="s">
        <v>40</v>
      </c>
      <c r="U16" s="335" t="s">
        <v>30</v>
      </c>
    </row>
    <row r="17" spans="1:21" s="319" customFormat="1" x14ac:dyDescent="0.25">
      <c r="A17" s="319">
        <v>2</v>
      </c>
      <c r="B17" s="325">
        <v>88</v>
      </c>
      <c r="C17" s="326" t="s">
        <v>26</v>
      </c>
      <c r="D17" s="327" t="s">
        <v>14</v>
      </c>
      <c r="F17" s="324">
        <v>12</v>
      </c>
      <c r="G17" s="333">
        <v>202</v>
      </c>
      <c r="H17" s="334" t="s">
        <v>36</v>
      </c>
      <c r="I17" s="335" t="s">
        <v>24</v>
      </c>
      <c r="K17" s="324">
        <v>12</v>
      </c>
      <c r="L17" s="333">
        <v>61</v>
      </c>
      <c r="M17" s="334" t="s">
        <v>43</v>
      </c>
      <c r="N17" s="334" t="s">
        <v>28</v>
      </c>
      <c r="O17" s="336">
        <f>L17/G14</f>
        <v>0.20401337792642141</v>
      </c>
      <c r="P17" s="334"/>
      <c r="R17" s="319">
        <v>12</v>
      </c>
      <c r="S17" s="333" t="s">
        <v>49</v>
      </c>
      <c r="T17" s="334" t="s">
        <v>44</v>
      </c>
      <c r="U17" s="335" t="s">
        <v>28</v>
      </c>
    </row>
    <row r="18" spans="1:21" s="319" customFormat="1" x14ac:dyDescent="0.25">
      <c r="A18" s="319">
        <v>3</v>
      </c>
      <c r="B18" s="325">
        <v>83</v>
      </c>
      <c r="C18" s="326" t="s">
        <v>23</v>
      </c>
      <c r="D18" s="327" t="s">
        <v>24</v>
      </c>
      <c r="F18" s="324">
        <v>12</v>
      </c>
      <c r="G18" s="333">
        <v>202</v>
      </c>
      <c r="H18" s="334" t="s">
        <v>22</v>
      </c>
      <c r="I18" s="335" t="s">
        <v>14</v>
      </c>
      <c r="K18" s="324">
        <v>13</v>
      </c>
      <c r="L18" s="333">
        <v>53</v>
      </c>
      <c r="M18" s="334" t="s">
        <v>36</v>
      </c>
      <c r="N18" s="334" t="s">
        <v>37</v>
      </c>
      <c r="O18" s="336">
        <f>L18/G17</f>
        <v>0.26237623762376239</v>
      </c>
      <c r="P18" s="334"/>
      <c r="R18" s="319">
        <v>12</v>
      </c>
      <c r="S18" s="333" t="s">
        <v>49</v>
      </c>
      <c r="T18" s="334" t="s">
        <v>43</v>
      </c>
      <c r="U18" s="335" t="s">
        <v>28</v>
      </c>
    </row>
    <row r="19" spans="1:21" s="319" customFormat="1" x14ac:dyDescent="0.25">
      <c r="A19" s="319">
        <v>4</v>
      </c>
      <c r="B19" s="341">
        <v>42</v>
      </c>
      <c r="C19" s="342" t="s">
        <v>51</v>
      </c>
      <c r="D19" s="342" t="s">
        <v>28</v>
      </c>
      <c r="F19" s="324">
        <v>14</v>
      </c>
      <c r="G19" s="333">
        <v>172</v>
      </c>
      <c r="H19" s="334" t="s">
        <v>42</v>
      </c>
      <c r="I19" s="334" t="s">
        <v>37</v>
      </c>
      <c r="K19" s="324">
        <v>14</v>
      </c>
      <c r="L19" s="250">
        <v>48</v>
      </c>
      <c r="M19" s="251" t="s">
        <v>65</v>
      </c>
      <c r="N19" s="251" t="s">
        <v>28</v>
      </c>
      <c r="O19" s="253">
        <f>L19/G24</f>
        <v>0.40336134453781514</v>
      </c>
      <c r="P19" s="251"/>
      <c r="R19" s="319">
        <v>12</v>
      </c>
      <c r="S19" s="333" t="s">
        <v>49</v>
      </c>
      <c r="T19" s="334" t="s">
        <v>32</v>
      </c>
      <c r="U19" s="335" t="s">
        <v>18</v>
      </c>
    </row>
    <row r="20" spans="1:21" s="319" customFormat="1" x14ac:dyDescent="0.25">
      <c r="A20" s="319">
        <v>5</v>
      </c>
      <c r="B20" s="250">
        <v>25</v>
      </c>
      <c r="C20" s="251" t="s">
        <v>492</v>
      </c>
      <c r="D20" s="251" t="s">
        <v>28</v>
      </c>
      <c r="F20" s="324">
        <v>15</v>
      </c>
      <c r="G20" s="333">
        <v>146</v>
      </c>
      <c r="H20" s="334" t="s">
        <v>26</v>
      </c>
      <c r="I20" s="335" t="s">
        <v>14</v>
      </c>
      <c r="K20" s="324">
        <v>15</v>
      </c>
      <c r="L20" s="330">
        <v>39</v>
      </c>
      <c r="M20" s="331" t="s">
        <v>58</v>
      </c>
      <c r="N20" s="331" t="s">
        <v>28</v>
      </c>
      <c r="O20" s="337">
        <f>L20/G25</f>
        <v>0.33050847457627119</v>
      </c>
      <c r="P20" s="331"/>
      <c r="R20" s="319">
        <v>15</v>
      </c>
      <c r="S20" s="330" t="s">
        <v>52</v>
      </c>
      <c r="T20" s="331" t="s">
        <v>48</v>
      </c>
      <c r="U20" s="332" t="s">
        <v>18</v>
      </c>
    </row>
    <row r="21" spans="1:21" s="319" customFormat="1" x14ac:dyDescent="0.25">
      <c r="A21" s="319">
        <v>6</v>
      </c>
      <c r="B21" s="333">
        <v>21</v>
      </c>
      <c r="C21" s="334" t="s">
        <v>50</v>
      </c>
      <c r="D21" s="334" t="s">
        <v>30</v>
      </c>
      <c r="F21" s="324">
        <v>15</v>
      </c>
      <c r="G21" s="333">
        <v>146</v>
      </c>
      <c r="H21" s="334" t="s">
        <v>20</v>
      </c>
      <c r="I21" s="334" t="s">
        <v>21</v>
      </c>
      <c r="K21" s="324">
        <v>16</v>
      </c>
      <c r="L21" s="333">
        <v>33</v>
      </c>
      <c r="M21" s="334" t="s">
        <v>42</v>
      </c>
      <c r="N21" s="334" t="s">
        <v>37</v>
      </c>
      <c r="O21" s="336">
        <f>L21/G21</f>
        <v>0.22602739726027396</v>
      </c>
      <c r="P21" s="334">
        <v>79</v>
      </c>
      <c r="R21" s="319">
        <v>15</v>
      </c>
      <c r="S21" s="330" t="s">
        <v>52</v>
      </c>
      <c r="T21" s="331" t="s">
        <v>31</v>
      </c>
      <c r="U21" s="332" t="s">
        <v>14</v>
      </c>
    </row>
    <row r="22" spans="1:21" s="319" customFormat="1" x14ac:dyDescent="0.25">
      <c r="A22" s="319">
        <v>7</v>
      </c>
      <c r="B22" s="333">
        <v>10</v>
      </c>
      <c r="C22" s="334" t="s">
        <v>32</v>
      </c>
      <c r="D22" s="335" t="s">
        <v>18</v>
      </c>
      <c r="F22" s="324">
        <v>15</v>
      </c>
      <c r="G22" s="330">
        <v>146</v>
      </c>
      <c r="H22" s="331" t="s">
        <v>56</v>
      </c>
      <c r="I22" s="332" t="s">
        <v>18</v>
      </c>
      <c r="K22" s="324">
        <v>17</v>
      </c>
      <c r="L22" s="333">
        <v>32</v>
      </c>
      <c r="M22" s="334" t="s">
        <v>35</v>
      </c>
      <c r="N22" s="334" t="s">
        <v>21</v>
      </c>
      <c r="O22" s="336">
        <f>L22/G34</f>
        <v>0.33333333333333331</v>
      </c>
      <c r="P22" s="334">
        <v>89</v>
      </c>
      <c r="R22" s="319">
        <v>15</v>
      </c>
      <c r="S22" s="330" t="s">
        <v>52</v>
      </c>
      <c r="T22" s="251" t="s">
        <v>64</v>
      </c>
      <c r="U22" s="251" t="s">
        <v>28</v>
      </c>
    </row>
    <row r="23" spans="1:21" s="319" customFormat="1" x14ac:dyDescent="0.25">
      <c r="A23" s="319">
        <v>8</v>
      </c>
      <c r="B23" s="250">
        <v>9</v>
      </c>
      <c r="C23" s="251" t="s">
        <v>58</v>
      </c>
      <c r="D23" s="251" t="s">
        <v>28</v>
      </c>
      <c r="F23" s="324">
        <v>18</v>
      </c>
      <c r="G23" s="330">
        <v>115</v>
      </c>
      <c r="H23" s="342" t="s">
        <v>57</v>
      </c>
      <c r="I23" s="342" t="s">
        <v>24</v>
      </c>
      <c r="K23" s="324">
        <v>18</v>
      </c>
      <c r="L23" s="250">
        <v>29</v>
      </c>
      <c r="M23" s="251" t="s">
        <v>72</v>
      </c>
      <c r="N23" s="251" t="s">
        <v>28</v>
      </c>
      <c r="O23" s="253">
        <f>L23/G27</f>
        <v>0.27358490566037735</v>
      </c>
      <c r="P23" s="251"/>
      <c r="R23" s="319">
        <v>18</v>
      </c>
      <c r="S23" s="333" t="s">
        <v>54</v>
      </c>
      <c r="T23" s="334" t="s">
        <v>46</v>
      </c>
      <c r="U23" s="335" t="s">
        <v>24</v>
      </c>
    </row>
    <row r="24" spans="1:21" s="319" customFormat="1" x14ac:dyDescent="0.25">
      <c r="A24" s="319">
        <v>9</v>
      </c>
      <c r="B24" s="333">
        <v>8</v>
      </c>
      <c r="C24" s="334" t="s">
        <v>33</v>
      </c>
      <c r="D24" s="335" t="s">
        <v>28</v>
      </c>
      <c r="F24" s="324">
        <v>18</v>
      </c>
      <c r="G24" s="250">
        <v>119</v>
      </c>
      <c r="H24" s="251" t="s">
        <v>65</v>
      </c>
      <c r="I24" s="251" t="s">
        <v>28</v>
      </c>
      <c r="K24" s="324">
        <v>19</v>
      </c>
      <c r="L24" s="333">
        <v>27</v>
      </c>
      <c r="M24" s="334" t="s">
        <v>53</v>
      </c>
      <c r="N24" s="334" t="s">
        <v>28</v>
      </c>
      <c r="O24" s="336">
        <f>L24/G26</f>
        <v>0.24324324324324326</v>
      </c>
      <c r="P24" s="334"/>
      <c r="R24" s="319">
        <v>18</v>
      </c>
      <c r="S24" s="344" t="s">
        <v>54</v>
      </c>
      <c r="T24" s="345" t="s">
        <v>51</v>
      </c>
      <c r="U24" s="345" t="s">
        <v>28</v>
      </c>
    </row>
    <row r="25" spans="1:21" x14ac:dyDescent="0.25">
      <c r="A25" s="319">
        <v>10</v>
      </c>
      <c r="B25" s="333">
        <v>6</v>
      </c>
      <c r="C25" s="334" t="s">
        <v>55</v>
      </c>
      <c r="D25" s="335" t="s">
        <v>28</v>
      </c>
      <c r="E25" s="319"/>
      <c r="F25" s="324">
        <v>18</v>
      </c>
      <c r="G25" s="250">
        <v>118</v>
      </c>
      <c r="H25" s="251" t="s">
        <v>58</v>
      </c>
      <c r="I25" s="251" t="s">
        <v>28</v>
      </c>
      <c r="K25" s="324">
        <v>19</v>
      </c>
      <c r="L25" s="330">
        <v>24</v>
      </c>
      <c r="M25" s="331" t="s">
        <v>57</v>
      </c>
      <c r="N25" s="331" t="s">
        <v>37</v>
      </c>
      <c r="O25" s="337">
        <f>L25/G23</f>
        <v>0.20869565217391303</v>
      </c>
      <c r="P25" s="331"/>
      <c r="R25">
        <v>18</v>
      </c>
      <c r="S25" s="330" t="s">
        <v>54</v>
      </c>
      <c r="T25" s="251" t="s">
        <v>72</v>
      </c>
      <c r="U25" s="332" t="s">
        <v>28</v>
      </c>
    </row>
    <row r="26" spans="1:21" x14ac:dyDescent="0.25">
      <c r="A26" s="319">
        <v>10</v>
      </c>
      <c r="B26" s="341">
        <v>5</v>
      </c>
      <c r="C26" s="342" t="s">
        <v>27</v>
      </c>
      <c r="D26" s="343" t="s">
        <v>28</v>
      </c>
      <c r="F26" s="324">
        <v>21</v>
      </c>
      <c r="G26" s="333">
        <v>111</v>
      </c>
      <c r="H26" s="334" t="s">
        <v>53</v>
      </c>
      <c r="I26" s="334" t="s">
        <v>28</v>
      </c>
      <c r="K26" s="324">
        <v>21</v>
      </c>
      <c r="L26" s="250">
        <v>23</v>
      </c>
      <c r="M26" s="251" t="s">
        <v>68</v>
      </c>
      <c r="N26" s="251" t="s">
        <v>28</v>
      </c>
      <c r="O26" s="253">
        <f>L26/G28</f>
        <v>0.21904761904761905</v>
      </c>
      <c r="P26" s="251"/>
      <c r="R26">
        <v>18</v>
      </c>
      <c r="S26" s="330" t="s">
        <v>54</v>
      </c>
      <c r="T26" s="251" t="s">
        <v>65</v>
      </c>
      <c r="U26" s="332" t="s">
        <v>28</v>
      </c>
    </row>
    <row r="27" spans="1:21" x14ac:dyDescent="0.25">
      <c r="A27" s="319">
        <v>12</v>
      </c>
      <c r="B27" s="333">
        <v>5</v>
      </c>
      <c r="C27" s="334" t="s">
        <v>59</v>
      </c>
      <c r="D27" s="335" t="s">
        <v>28</v>
      </c>
      <c r="F27" s="324">
        <v>22</v>
      </c>
      <c r="G27" s="250">
        <v>106</v>
      </c>
      <c r="H27" s="251" t="s">
        <v>72</v>
      </c>
      <c r="I27" s="251" t="s">
        <v>28</v>
      </c>
      <c r="K27" s="324">
        <v>22</v>
      </c>
      <c r="L27" s="250">
        <v>22</v>
      </c>
      <c r="M27" s="251" t="s">
        <v>66</v>
      </c>
      <c r="N27" s="251" t="s">
        <v>28</v>
      </c>
      <c r="O27" s="253">
        <f>L27/G32</f>
        <v>0.22448979591836735</v>
      </c>
      <c r="P27" s="251"/>
      <c r="R27">
        <v>18</v>
      </c>
      <c r="S27" s="330" t="s">
        <v>54</v>
      </c>
      <c r="T27" s="251" t="s">
        <v>503</v>
      </c>
      <c r="U27" s="332" t="s">
        <v>28</v>
      </c>
    </row>
    <row r="28" spans="1:21" x14ac:dyDescent="0.25">
      <c r="A28" s="319">
        <v>13</v>
      </c>
      <c r="B28" s="246">
        <v>4</v>
      </c>
      <c r="C28" s="247" t="s">
        <v>62</v>
      </c>
      <c r="D28" s="248" t="s">
        <v>18</v>
      </c>
      <c r="F28" s="324">
        <v>23</v>
      </c>
      <c r="G28" s="250">
        <v>105</v>
      </c>
      <c r="H28" s="251" t="s">
        <v>68</v>
      </c>
      <c r="I28" s="251" t="s">
        <v>28</v>
      </c>
      <c r="K28" s="324">
        <v>23</v>
      </c>
      <c r="L28" s="333">
        <v>19</v>
      </c>
      <c r="M28" s="334" t="s">
        <v>60</v>
      </c>
      <c r="N28" s="335" t="s">
        <v>61</v>
      </c>
      <c r="O28" s="336">
        <f>L28/G38</f>
        <v>0.34545454545454546</v>
      </c>
      <c r="P28" s="334"/>
      <c r="R28">
        <v>18</v>
      </c>
      <c r="S28" s="330" t="s">
        <v>54</v>
      </c>
      <c r="T28" s="251" t="s">
        <v>66</v>
      </c>
      <c r="U28" s="332" t="s">
        <v>28</v>
      </c>
    </row>
    <row r="29" spans="1:21" x14ac:dyDescent="0.25">
      <c r="A29" s="319">
        <v>14</v>
      </c>
      <c r="B29" s="250">
        <v>3</v>
      </c>
      <c r="C29" s="251" t="s">
        <v>56</v>
      </c>
      <c r="D29" s="252" t="s">
        <v>18</v>
      </c>
      <c r="F29" s="324">
        <v>24</v>
      </c>
      <c r="G29" s="250">
        <v>103</v>
      </c>
      <c r="H29" s="251" t="s">
        <v>64</v>
      </c>
      <c r="I29" s="251" t="s">
        <v>28</v>
      </c>
      <c r="K29" s="361">
        <v>24</v>
      </c>
      <c r="L29" s="330">
        <v>18</v>
      </c>
      <c r="M29" s="251" t="s">
        <v>491</v>
      </c>
      <c r="N29" s="251" t="s">
        <v>37</v>
      </c>
      <c r="O29" s="337">
        <f>L29/G33</f>
        <v>0.18556701030927836</v>
      </c>
      <c r="P29" s="331"/>
      <c r="R29">
        <v>18</v>
      </c>
      <c r="S29" s="330" t="s">
        <v>54</v>
      </c>
      <c r="T29" s="251" t="s">
        <v>68</v>
      </c>
      <c r="U29" s="332" t="s">
        <v>28</v>
      </c>
    </row>
    <row r="30" spans="1:21" x14ac:dyDescent="0.25">
      <c r="A30" s="319">
        <v>15</v>
      </c>
      <c r="B30" s="330">
        <v>2</v>
      </c>
      <c r="C30" s="331" t="s">
        <v>640</v>
      </c>
      <c r="D30" s="332" t="s">
        <v>28</v>
      </c>
      <c r="F30" s="324">
        <v>25</v>
      </c>
      <c r="G30" s="250">
        <v>102</v>
      </c>
      <c r="H30" s="331" t="s">
        <v>31</v>
      </c>
      <c r="I30" s="332" t="s">
        <v>14</v>
      </c>
      <c r="K30" s="324">
        <v>25</v>
      </c>
      <c r="L30" s="246">
        <v>15</v>
      </c>
      <c r="M30" s="247" t="s">
        <v>59</v>
      </c>
      <c r="N30" s="248" t="s">
        <v>28</v>
      </c>
      <c r="O30" s="249"/>
      <c r="P30" s="247"/>
      <c r="S30" s="57"/>
      <c r="U30" s="73"/>
    </row>
    <row r="31" spans="1:21" x14ac:dyDescent="0.25">
      <c r="A31" s="319">
        <v>15</v>
      </c>
      <c r="B31" s="246">
        <v>2</v>
      </c>
      <c r="C31" s="247" t="s">
        <v>22</v>
      </c>
      <c r="D31" s="248" t="s">
        <v>14</v>
      </c>
      <c r="F31" s="324">
        <v>26</v>
      </c>
      <c r="G31" s="250">
        <v>99</v>
      </c>
      <c r="H31" s="251" t="s">
        <v>74</v>
      </c>
      <c r="I31" s="251" t="s">
        <v>37</v>
      </c>
      <c r="K31" s="324">
        <v>26</v>
      </c>
      <c r="L31" s="330">
        <v>14</v>
      </c>
      <c r="M31" s="331" t="s">
        <v>505</v>
      </c>
      <c r="N31" s="332" t="s">
        <v>37</v>
      </c>
      <c r="O31" s="337"/>
      <c r="P31" s="331"/>
      <c r="S31" s="57"/>
    </row>
    <row r="32" spans="1:21" x14ac:dyDescent="0.25">
      <c r="A32" s="319">
        <v>15</v>
      </c>
      <c r="B32" s="341">
        <v>2</v>
      </c>
      <c r="C32" s="342" t="s">
        <v>29</v>
      </c>
      <c r="D32" s="342" t="s">
        <v>30</v>
      </c>
      <c r="F32" s="324">
        <v>27</v>
      </c>
      <c r="G32" s="250">
        <v>98</v>
      </c>
      <c r="H32" s="251" t="s">
        <v>66</v>
      </c>
      <c r="I32" s="251" t="s">
        <v>28</v>
      </c>
      <c r="K32" s="324">
        <v>26</v>
      </c>
      <c r="L32" s="330">
        <v>14</v>
      </c>
      <c r="M32" s="331" t="s">
        <v>492</v>
      </c>
      <c r="N32" s="332" t="s">
        <v>28</v>
      </c>
      <c r="O32" s="337"/>
      <c r="P32" s="331"/>
      <c r="S32" s="57"/>
    </row>
    <row r="33" spans="1:21" x14ac:dyDescent="0.25">
      <c r="A33" s="319">
        <v>17</v>
      </c>
      <c r="B33" s="246">
        <v>1</v>
      </c>
      <c r="C33" s="247" t="s">
        <v>60</v>
      </c>
      <c r="D33" s="248" t="s">
        <v>18</v>
      </c>
      <c r="F33" s="324">
        <v>28</v>
      </c>
      <c r="G33" s="250">
        <v>97</v>
      </c>
      <c r="H33" s="251" t="s">
        <v>491</v>
      </c>
      <c r="I33" s="251" t="s">
        <v>37</v>
      </c>
      <c r="K33" s="361">
        <v>26</v>
      </c>
      <c r="L33" s="250">
        <v>13</v>
      </c>
      <c r="M33" s="251" t="s">
        <v>74</v>
      </c>
      <c r="N33" s="251" t="s">
        <v>37</v>
      </c>
      <c r="O33" s="253">
        <f>L33/G31</f>
        <v>0.13131313131313133</v>
      </c>
      <c r="P33" s="251"/>
      <c r="S33" s="57"/>
    </row>
    <row r="34" spans="1:21" x14ac:dyDescent="0.25">
      <c r="A34" s="319">
        <v>17</v>
      </c>
      <c r="B34" s="246">
        <v>1</v>
      </c>
      <c r="C34" s="247" t="s">
        <v>36</v>
      </c>
      <c r="D34" s="247" t="s">
        <v>37</v>
      </c>
      <c r="F34" s="324">
        <v>29</v>
      </c>
      <c r="G34" s="246">
        <v>96</v>
      </c>
      <c r="H34" s="247" t="s">
        <v>35</v>
      </c>
      <c r="I34" s="247" t="s">
        <v>21</v>
      </c>
      <c r="K34" s="324">
        <v>29</v>
      </c>
      <c r="L34" s="246">
        <v>12</v>
      </c>
      <c r="M34" s="247" t="s">
        <v>63</v>
      </c>
      <c r="N34" s="248" t="s">
        <v>18</v>
      </c>
      <c r="O34" s="249"/>
      <c r="P34" s="247"/>
      <c r="S34" s="57"/>
      <c r="U34" s="73"/>
    </row>
    <row r="35" spans="1:21" x14ac:dyDescent="0.25">
      <c r="A35" s="319">
        <v>17</v>
      </c>
      <c r="B35" s="246">
        <v>1</v>
      </c>
      <c r="C35" s="247" t="s">
        <v>40</v>
      </c>
      <c r="D35" s="248" t="s">
        <v>30</v>
      </c>
      <c r="F35" s="324">
        <v>30</v>
      </c>
      <c r="G35" s="246">
        <v>89</v>
      </c>
      <c r="H35" s="247" t="s">
        <v>39</v>
      </c>
      <c r="I35" s="248" t="s">
        <v>24</v>
      </c>
      <c r="K35" s="324">
        <v>30</v>
      </c>
      <c r="L35" s="246">
        <v>11</v>
      </c>
      <c r="M35" s="247" t="s">
        <v>22</v>
      </c>
      <c r="N35" s="248" t="s">
        <v>14</v>
      </c>
      <c r="O35" s="249">
        <f>L35/G18</f>
        <v>5.4455445544554455E-2</v>
      </c>
      <c r="P35" s="247"/>
      <c r="S35" s="57"/>
    </row>
    <row r="36" spans="1:21" x14ac:dyDescent="0.25">
      <c r="A36" s="319">
        <v>17</v>
      </c>
      <c r="B36" s="246">
        <v>1</v>
      </c>
      <c r="C36" s="247" t="s">
        <v>38</v>
      </c>
      <c r="D36" s="248" t="s">
        <v>37</v>
      </c>
      <c r="F36" s="324">
        <v>31</v>
      </c>
      <c r="G36" s="250">
        <v>62</v>
      </c>
      <c r="H36" s="251" t="s">
        <v>77</v>
      </c>
      <c r="I36" s="251" t="s">
        <v>37</v>
      </c>
      <c r="K36" s="324">
        <v>30</v>
      </c>
      <c r="L36" s="250">
        <v>11</v>
      </c>
      <c r="M36" s="251" t="s">
        <v>64</v>
      </c>
      <c r="N36" s="251" t="s">
        <v>28</v>
      </c>
      <c r="O36" s="253">
        <f>L36/G29</f>
        <v>0.10679611650485436</v>
      </c>
      <c r="P36" s="251"/>
    </row>
    <row r="37" spans="1:21" x14ac:dyDescent="0.25">
      <c r="B37" s="228">
        <f>SUM(B16:B36)</f>
        <v>581</v>
      </c>
      <c r="F37" s="364">
        <v>32</v>
      </c>
      <c r="G37" s="250">
        <v>60</v>
      </c>
      <c r="H37" s="251" t="s">
        <v>504</v>
      </c>
      <c r="I37" s="251" t="s">
        <v>37</v>
      </c>
      <c r="K37" s="361">
        <v>32</v>
      </c>
      <c r="L37" s="246">
        <v>10</v>
      </c>
      <c r="M37" s="247" t="s">
        <v>39</v>
      </c>
      <c r="N37" s="248" t="s">
        <v>24</v>
      </c>
      <c r="O37" s="249"/>
      <c r="P37" s="247"/>
    </row>
    <row r="38" spans="1:21" x14ac:dyDescent="0.25">
      <c r="B38" s="57"/>
      <c r="F38" s="364">
        <v>33</v>
      </c>
      <c r="G38" s="246">
        <v>55</v>
      </c>
      <c r="H38" s="247" t="s">
        <v>60</v>
      </c>
      <c r="I38" s="248" t="s">
        <v>18</v>
      </c>
      <c r="K38" s="324">
        <v>32</v>
      </c>
      <c r="L38" s="246">
        <v>10</v>
      </c>
      <c r="M38" s="247" t="s">
        <v>67</v>
      </c>
      <c r="N38" s="248" t="s">
        <v>18</v>
      </c>
      <c r="O38" s="249"/>
      <c r="P38" s="247"/>
    </row>
    <row r="39" spans="1:21" x14ac:dyDescent="0.25">
      <c r="B39" s="57"/>
      <c r="G39"/>
      <c r="K39" s="324">
        <v>34</v>
      </c>
      <c r="L39" s="246">
        <v>9</v>
      </c>
      <c r="M39" s="247" t="s">
        <v>69</v>
      </c>
      <c r="N39" s="247" t="s">
        <v>18</v>
      </c>
      <c r="O39" s="249"/>
      <c r="P39" s="247"/>
    </row>
    <row r="40" spans="1:21" x14ac:dyDescent="0.25">
      <c r="B40" s="57"/>
      <c r="G40"/>
      <c r="K40" s="324">
        <v>34</v>
      </c>
      <c r="L40" s="246">
        <v>9</v>
      </c>
      <c r="M40" s="247" t="s">
        <v>70</v>
      </c>
      <c r="N40" s="247" t="s">
        <v>18</v>
      </c>
      <c r="O40" s="249"/>
      <c r="P40" s="247"/>
    </row>
    <row r="41" spans="1:21" x14ac:dyDescent="0.25">
      <c r="B41" s="57"/>
      <c r="G41"/>
      <c r="K41" s="361">
        <v>36</v>
      </c>
      <c r="L41" s="250">
        <v>9</v>
      </c>
      <c r="M41" s="251" t="s">
        <v>77</v>
      </c>
      <c r="N41" s="251" t="s">
        <v>37</v>
      </c>
      <c r="O41" s="253">
        <f>L41/G36</f>
        <v>0.14516129032258066</v>
      </c>
      <c r="P41" s="251"/>
    </row>
    <row r="42" spans="1:21" x14ac:dyDescent="0.25">
      <c r="B42" s="57"/>
      <c r="G42"/>
      <c r="K42" s="324">
        <v>37</v>
      </c>
      <c r="L42" s="246">
        <v>8</v>
      </c>
      <c r="M42" s="247" t="s">
        <v>71</v>
      </c>
      <c r="N42" s="247" t="s">
        <v>24</v>
      </c>
      <c r="O42" s="249"/>
      <c r="P42" s="247"/>
    </row>
    <row r="43" spans="1:21" x14ac:dyDescent="0.25">
      <c r="B43" s="57"/>
      <c r="G43"/>
      <c r="K43" s="324">
        <v>37</v>
      </c>
      <c r="L43" s="250">
        <v>7</v>
      </c>
      <c r="M43" s="251" t="s">
        <v>78</v>
      </c>
      <c r="N43" s="251" t="s">
        <v>37</v>
      </c>
      <c r="O43" s="253">
        <f>L43/G37</f>
        <v>0.11666666666666667</v>
      </c>
      <c r="P43" s="251"/>
    </row>
    <row r="44" spans="1:21" x14ac:dyDescent="0.25">
      <c r="B44" s="57"/>
      <c r="G44"/>
      <c r="K44" s="324">
        <v>37</v>
      </c>
      <c r="L44" s="246">
        <v>6</v>
      </c>
      <c r="M44" s="247" t="s">
        <v>26</v>
      </c>
      <c r="N44" s="248" t="s">
        <v>14</v>
      </c>
      <c r="O44" s="249"/>
      <c r="P44" s="247"/>
    </row>
    <row r="45" spans="1:21" x14ac:dyDescent="0.25">
      <c r="B45" s="57"/>
      <c r="G45"/>
      <c r="K45" s="324">
        <v>37</v>
      </c>
      <c r="L45" s="330">
        <v>6</v>
      </c>
      <c r="M45" s="251" t="s">
        <v>503</v>
      </c>
      <c r="N45" s="332" t="s">
        <v>28</v>
      </c>
      <c r="O45" s="337"/>
      <c r="P45" s="331"/>
    </row>
    <row r="46" spans="1:21" x14ac:dyDescent="0.25">
      <c r="B46" s="57"/>
      <c r="K46" s="324">
        <v>40</v>
      </c>
      <c r="L46" s="246">
        <v>5</v>
      </c>
      <c r="M46" s="247" t="s">
        <v>73</v>
      </c>
      <c r="N46" s="247" t="s">
        <v>30</v>
      </c>
      <c r="O46" s="249"/>
      <c r="P46" s="247"/>
    </row>
    <row r="47" spans="1:21" x14ac:dyDescent="0.25">
      <c r="B47" s="57"/>
      <c r="K47" s="324">
        <v>41</v>
      </c>
      <c r="L47" s="250">
        <v>4</v>
      </c>
      <c r="M47" s="345" t="s">
        <v>79</v>
      </c>
      <c r="N47" s="345" t="s">
        <v>37</v>
      </c>
      <c r="O47" s="366"/>
      <c r="P47" s="345"/>
    </row>
    <row r="48" spans="1:21" x14ac:dyDescent="0.25">
      <c r="B48" s="57"/>
      <c r="K48" s="361">
        <v>42</v>
      </c>
      <c r="L48" s="246">
        <v>3</v>
      </c>
      <c r="M48" s="247" t="s">
        <v>75</v>
      </c>
      <c r="N48" s="247" t="s">
        <v>21</v>
      </c>
      <c r="O48" s="249"/>
      <c r="P48" s="247"/>
    </row>
    <row r="49" spans="2:16" x14ac:dyDescent="0.25">
      <c r="B49" s="57"/>
      <c r="K49" s="324">
        <v>42</v>
      </c>
      <c r="L49" s="246">
        <v>3</v>
      </c>
      <c r="M49" s="247" t="s">
        <v>76</v>
      </c>
      <c r="N49" s="247" t="s">
        <v>28</v>
      </c>
      <c r="O49" s="249"/>
      <c r="P49" s="247"/>
    </row>
    <row r="50" spans="2:16" x14ac:dyDescent="0.25">
      <c r="B50" s="57"/>
      <c r="K50" s="324">
        <v>42</v>
      </c>
      <c r="L50" s="246">
        <v>3</v>
      </c>
      <c r="M50" s="247" t="s">
        <v>38</v>
      </c>
      <c r="N50" s="247" t="s">
        <v>24</v>
      </c>
      <c r="O50" s="249"/>
      <c r="P50" s="247">
        <v>49</v>
      </c>
    </row>
    <row r="51" spans="2:16" x14ac:dyDescent="0.25">
      <c r="B51" s="57"/>
      <c r="K51" s="324">
        <v>42</v>
      </c>
      <c r="L51" s="344">
        <v>3</v>
      </c>
      <c r="M51" s="345" t="s">
        <v>51</v>
      </c>
      <c r="N51" s="345" t="s">
        <v>28</v>
      </c>
      <c r="O51" s="366"/>
      <c r="P51" s="345"/>
    </row>
    <row r="52" spans="2:16" x14ac:dyDescent="0.25">
      <c r="B52" s="57"/>
      <c r="G52" s="361"/>
      <c r="K52" s="361">
        <v>46</v>
      </c>
      <c r="L52" s="250">
        <v>2</v>
      </c>
      <c r="M52" s="251" t="s">
        <v>13</v>
      </c>
      <c r="N52" s="251" t="s">
        <v>14</v>
      </c>
      <c r="O52" s="253">
        <f>L52/G13</f>
        <v>6.4935064935064939E-3</v>
      </c>
      <c r="P52" s="251">
        <v>3</v>
      </c>
    </row>
    <row r="53" spans="2:16" x14ac:dyDescent="0.25">
      <c r="B53" s="361"/>
      <c r="G53" s="361"/>
      <c r="K53" s="324">
        <v>47</v>
      </c>
      <c r="L53" s="330">
        <v>2</v>
      </c>
      <c r="M53" s="331" t="s">
        <v>506</v>
      </c>
      <c r="N53" s="332" t="s">
        <v>28</v>
      </c>
      <c r="O53" s="337"/>
      <c r="P53" s="331"/>
    </row>
    <row r="54" spans="2:16" x14ac:dyDescent="0.25">
      <c r="B54" s="361"/>
      <c r="K54" s="324">
        <v>47</v>
      </c>
      <c r="L54" s="344">
        <v>1</v>
      </c>
      <c r="M54" s="345" t="s">
        <v>80</v>
      </c>
      <c r="N54" s="345" t="s">
        <v>30</v>
      </c>
      <c r="O54" s="366"/>
      <c r="P54" s="345"/>
    </row>
    <row r="55" spans="2:16" x14ac:dyDescent="0.25">
      <c r="B55" s="57"/>
      <c r="G55" s="361"/>
      <c r="K55" s="324">
        <v>47</v>
      </c>
      <c r="L55" s="344">
        <v>1</v>
      </c>
      <c r="M55" s="345" t="s">
        <v>81</v>
      </c>
      <c r="N55" s="345" t="s">
        <v>30</v>
      </c>
      <c r="O55" s="366"/>
      <c r="P55" s="345"/>
    </row>
    <row r="56" spans="2:16" x14ac:dyDescent="0.25">
      <c r="B56" s="361"/>
      <c r="G56" s="361"/>
      <c r="K56" s="361">
        <v>47</v>
      </c>
      <c r="L56" s="330">
        <v>1</v>
      </c>
      <c r="M56" s="331" t="s">
        <v>31</v>
      </c>
      <c r="N56" s="332" t="s">
        <v>14</v>
      </c>
      <c r="O56" s="337"/>
      <c r="P56" s="331"/>
    </row>
    <row r="57" spans="2:16" x14ac:dyDescent="0.25">
      <c r="B57" s="361"/>
      <c r="L57" s="229">
        <f>SUM(L6:L56)</f>
        <v>1837</v>
      </c>
    </row>
    <row r="58" spans="2:16" x14ac:dyDescent="0.25">
      <c r="B58" s="57"/>
    </row>
    <row r="59" spans="2:16" x14ac:dyDescent="0.25">
      <c r="B59" s="57"/>
    </row>
    <row r="60" spans="2:16" x14ac:dyDescent="0.25">
      <c r="B60" s="57"/>
    </row>
  </sheetData>
  <mergeCells count="7">
    <mergeCell ref="L5:M5"/>
    <mergeCell ref="S5:T5"/>
    <mergeCell ref="A1:C1"/>
    <mergeCell ref="E1:H1"/>
    <mergeCell ref="A2:C2"/>
    <mergeCell ref="B5:C5"/>
    <mergeCell ref="G5:I5"/>
  </mergeCells>
  <conditionalFormatting sqref="G6:G38">
    <cfRule type="colorScale" priority="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:O56">
    <cfRule type="colorScale" priority="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:L56">
    <cfRule type="colorScale" priority="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fitToWidth="0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DA9694"/>
  </sheetPr>
  <dimension ref="A1:AF14"/>
  <sheetViews>
    <sheetView workbookViewId="0">
      <selection activeCell="AA2" sqref="AA2"/>
    </sheetView>
  </sheetViews>
  <sheetFormatPr baseColWidth="10" defaultColWidth="11.42578125" defaultRowHeight="15" x14ac:dyDescent="0.25"/>
  <cols>
    <col min="1" max="1" width="4" customWidth="1"/>
    <col min="2" max="2" width="23.5703125" customWidth="1"/>
    <col min="3" max="3" width="5.5703125" customWidth="1"/>
    <col min="4" max="4" width="5" customWidth="1"/>
    <col min="5" max="11" width="5.5703125" customWidth="1"/>
    <col min="12" max="12" width="6.5703125" style="57" customWidth="1"/>
    <col min="13" max="13" width="8.28515625" style="57" customWidth="1"/>
    <col min="14" max="14" width="4.5703125" style="57" customWidth="1"/>
    <col min="15" max="15" width="6" customWidth="1"/>
    <col min="16" max="17" width="5.42578125" customWidth="1"/>
    <col min="18" max="18" width="5.140625" customWidth="1"/>
    <col min="19" max="20" width="4.5703125" customWidth="1"/>
    <col min="21" max="21" width="4.85546875" customWidth="1"/>
    <col min="22" max="23" width="4.5703125" customWidth="1"/>
    <col min="24" max="24" width="9.7109375" customWidth="1"/>
    <col min="25" max="25" width="14.140625" customWidth="1"/>
    <col min="28" max="28" width="6" customWidth="1"/>
    <col min="29" max="29" width="13.7109375" customWidth="1"/>
    <col min="31" max="31" width="5.7109375" customWidth="1"/>
    <col min="32" max="32" width="13.7109375" customWidth="1"/>
  </cols>
  <sheetData>
    <row r="1" spans="1:32" x14ac:dyDescent="0.25">
      <c r="B1" t="s">
        <v>415</v>
      </c>
      <c r="AB1" t="s">
        <v>416</v>
      </c>
      <c r="AE1" t="s">
        <v>417</v>
      </c>
    </row>
    <row r="2" spans="1:32" x14ac:dyDescent="0.25">
      <c r="B2" s="73">
        <v>44035</v>
      </c>
      <c r="X2" s="203">
        <f>SUM(X4:X14)</f>
        <v>0.38748802083333334</v>
      </c>
      <c r="Y2" s="203">
        <f>SUM(Y4:Y14)</f>
        <v>1.6239345238095169</v>
      </c>
      <c r="Z2" s="203">
        <f>SUM(Z4:Z14)</f>
        <v>0.27205555555555705</v>
      </c>
      <c r="AA2" s="456">
        <f>Z2+Y2</f>
        <v>1.8959900793650739</v>
      </c>
      <c r="AB2" s="146" t="s">
        <v>83</v>
      </c>
      <c r="AC2" s="146" t="s">
        <v>84</v>
      </c>
      <c r="AE2" s="146" t="s">
        <v>83</v>
      </c>
      <c r="AF2" s="146" t="s">
        <v>84</v>
      </c>
    </row>
    <row r="3" spans="1:32" x14ac:dyDescent="0.25">
      <c r="A3" s="79" t="s">
        <v>418</v>
      </c>
      <c r="B3" s="79" t="str">
        <f>PLANTILLA!D3</f>
        <v>Jugador</v>
      </c>
      <c r="C3" s="79" t="str">
        <f>PLANTILLA!E3</f>
        <v>Anys</v>
      </c>
      <c r="D3" s="79" t="str">
        <f>PLANTILLA!F3</f>
        <v>Dias</v>
      </c>
      <c r="E3" s="79" t="str">
        <f>PLANTILLA!X3</f>
        <v>Po</v>
      </c>
      <c r="F3" s="79" t="str">
        <f>PLANTILLA!Y3</f>
        <v>De</v>
      </c>
      <c r="G3" s="79" t="str">
        <f>PLANTILLA!Z3</f>
        <v>Cr</v>
      </c>
      <c r="H3" s="79" t="str">
        <f>PLANTILLA!AA3</f>
        <v>Ex</v>
      </c>
      <c r="I3" s="79" t="str">
        <f>PLANTILLA!AB3</f>
        <v>Ps</v>
      </c>
      <c r="J3" s="79" t="str">
        <f>PLANTILLA!AC3</f>
        <v>An</v>
      </c>
      <c r="K3" s="79" t="str">
        <f>PLANTILLA!AD3</f>
        <v>PA</v>
      </c>
      <c r="L3" s="198">
        <v>1</v>
      </c>
      <c r="M3" s="79" t="s">
        <v>419</v>
      </c>
      <c r="N3" s="200" t="s">
        <v>14</v>
      </c>
      <c r="O3" s="200" t="s">
        <v>410</v>
      </c>
      <c r="P3" s="199" t="s">
        <v>420</v>
      </c>
      <c r="Q3" s="199" t="s">
        <v>421</v>
      </c>
      <c r="R3" s="199" t="s">
        <v>422</v>
      </c>
      <c r="S3" s="199" t="s">
        <v>122</v>
      </c>
      <c r="T3" s="199" t="s">
        <v>253</v>
      </c>
      <c r="U3" s="199" t="s">
        <v>423</v>
      </c>
      <c r="V3" s="200" t="s">
        <v>123</v>
      </c>
      <c r="W3" s="200" t="s">
        <v>21</v>
      </c>
      <c r="X3" s="201" t="s">
        <v>427</v>
      </c>
      <c r="Y3" s="201" t="s">
        <v>428</v>
      </c>
      <c r="Z3" s="201" t="s">
        <v>429</v>
      </c>
      <c r="AB3" t="s">
        <v>14</v>
      </c>
      <c r="AC3" t="s">
        <v>126</v>
      </c>
      <c r="AE3" t="s">
        <v>14</v>
      </c>
      <c r="AF3" t="s">
        <v>126</v>
      </c>
    </row>
    <row r="4" spans="1:32" x14ac:dyDescent="0.25">
      <c r="A4" s="4" t="str">
        <f>PLANTILLA!A9</f>
        <v>#19</v>
      </c>
      <c r="B4" s="254" t="str">
        <f>PLANTILLA!D9</f>
        <v>A. Grimaud</v>
      </c>
      <c r="C4" s="4">
        <f>PLANTILLA!E9</f>
        <v>25</v>
      </c>
      <c r="D4" s="265">
        <f ca="1">PLANTILLA!F9</f>
        <v>87</v>
      </c>
      <c r="E4" s="48">
        <f>PLANTILLA!X9</f>
        <v>0</v>
      </c>
      <c r="F4" s="48">
        <f>PLANTILLA!Y9</f>
        <v>13.23076923076923</v>
      </c>
      <c r="G4" s="48">
        <f>PLANTILLA!Z9</f>
        <v>9.5</v>
      </c>
      <c r="H4" s="48">
        <f>PLANTILLA!AA9</f>
        <v>3</v>
      </c>
      <c r="I4" s="48">
        <f>PLANTILLA!AB9</f>
        <v>3</v>
      </c>
      <c r="J4" s="48">
        <f>PLANTILLA!AC9</f>
        <v>6.125</v>
      </c>
      <c r="K4" s="48">
        <f>PLANTILLA!AD9</f>
        <v>17.75</v>
      </c>
      <c r="L4" s="94">
        <f>1/5</f>
        <v>0.2</v>
      </c>
      <c r="M4" s="94">
        <f t="shared" ref="M4:M14" si="0">L4/6</f>
        <v>3.3333333333333333E-2</v>
      </c>
      <c r="N4" s="48">
        <v>0</v>
      </c>
      <c r="O4" s="47">
        <v>0</v>
      </c>
      <c r="P4" s="47">
        <v>0</v>
      </c>
      <c r="Q4" s="47">
        <v>0</v>
      </c>
      <c r="R4" s="47">
        <v>0</v>
      </c>
      <c r="S4" s="47"/>
      <c r="T4" s="47"/>
      <c r="U4" s="47"/>
      <c r="V4" s="47"/>
      <c r="W4" s="47"/>
      <c r="X4" s="114"/>
      <c r="Y4" s="114"/>
      <c r="Z4" s="114">
        <f t="shared" ref="Z4:Z8" si="1">(1.66*(J4+M4)+0.55*(K4)-7.6)-(1.66*(J4)+0.55*(K4)-7.6)</f>
        <v>5.5333333333333456E-2</v>
      </c>
      <c r="AB4" t="s">
        <v>409</v>
      </c>
      <c r="AC4" t="s">
        <v>425</v>
      </c>
      <c r="AE4" t="s">
        <v>409</v>
      </c>
      <c r="AF4" t="str">
        <f>AC4</f>
        <v>B. Pinczehelyi</v>
      </c>
    </row>
    <row r="5" spans="1:32" x14ac:dyDescent="0.25">
      <c r="A5" s="4" t="str">
        <f>PLANTILLA!A10</f>
        <v>#4</v>
      </c>
      <c r="B5" s="254" t="str">
        <f>PLANTILLA!D10</f>
        <v>E. Deus</v>
      </c>
      <c r="C5" s="4">
        <f>PLANTILLA!E10</f>
        <v>25</v>
      </c>
      <c r="D5" s="265">
        <f ca="1">PLANTILLA!F10</f>
        <v>3</v>
      </c>
      <c r="E5" s="48">
        <f>PLANTILLA!X10</f>
        <v>0</v>
      </c>
      <c r="F5" s="48">
        <f>PLANTILLA!Y10</f>
        <v>12.333333333333334</v>
      </c>
      <c r="G5" s="48">
        <f>PLANTILLA!Z10</f>
        <v>8.8000000000000007</v>
      </c>
      <c r="H5" s="48">
        <f>PLANTILLA!AA10</f>
        <v>1</v>
      </c>
      <c r="I5" s="48">
        <f>PLANTILLA!AB10</f>
        <v>6</v>
      </c>
      <c r="J5" s="48">
        <f>PLANTILLA!AC10</f>
        <v>6</v>
      </c>
      <c r="K5" s="48">
        <f>PLANTILLA!AD10</f>
        <v>18.5</v>
      </c>
      <c r="L5" s="94">
        <f>1/4</f>
        <v>0.25</v>
      </c>
      <c r="M5" s="94">
        <f t="shared" si="0"/>
        <v>4.1666666666666664E-2</v>
      </c>
      <c r="N5" s="48">
        <v>0</v>
      </c>
      <c r="O5" s="47">
        <v>0</v>
      </c>
      <c r="P5" s="47">
        <v>0</v>
      </c>
      <c r="Q5" s="47">
        <v>0</v>
      </c>
      <c r="R5" s="47">
        <v>0</v>
      </c>
      <c r="S5" s="47"/>
      <c r="T5" s="47"/>
      <c r="U5" s="47"/>
      <c r="V5" s="47"/>
      <c r="W5" s="47"/>
      <c r="X5" s="114"/>
      <c r="Y5" s="114"/>
      <c r="Z5" s="114">
        <f t="shared" si="1"/>
        <v>6.9166666666667709E-2</v>
      </c>
      <c r="AB5" t="s">
        <v>410</v>
      </c>
      <c r="AC5" t="s">
        <v>178</v>
      </c>
      <c r="AE5" t="s">
        <v>414</v>
      </c>
      <c r="AF5" t="s">
        <v>177</v>
      </c>
    </row>
    <row r="6" spans="1:32" x14ac:dyDescent="0.25">
      <c r="A6" s="4" t="str">
        <f>PLANTILLA!A8</f>
        <v>#2</v>
      </c>
      <c r="B6" s="254" t="str">
        <f>PLANTILLA!D8</f>
        <v>S. Swärdborn</v>
      </c>
      <c r="C6" s="4">
        <f>PLANTILLA!E8</f>
        <v>25</v>
      </c>
      <c r="D6" s="265">
        <f ca="1">PLANTILLA!F8</f>
        <v>64</v>
      </c>
      <c r="E6" s="48">
        <f>PLANTILLA!X8</f>
        <v>0</v>
      </c>
      <c r="F6" s="48">
        <f>PLANTILLA!Y8</f>
        <v>13.23076923076923</v>
      </c>
      <c r="G6" s="48">
        <f>PLANTILLA!Z8</f>
        <v>9.3333333333333339</v>
      </c>
      <c r="H6" s="48">
        <f>PLANTILLA!AA8</f>
        <v>1</v>
      </c>
      <c r="I6" s="48">
        <f>PLANTILLA!AB8</f>
        <v>3</v>
      </c>
      <c r="J6" s="48">
        <f>PLANTILLA!AC8</f>
        <v>7.25</v>
      </c>
      <c r="K6" s="48">
        <f>PLANTILLA!AD8</f>
        <v>18.25</v>
      </c>
      <c r="L6" s="94">
        <f>1/6</f>
        <v>0.16666666666666666</v>
      </c>
      <c r="M6" s="94">
        <f t="shared" si="0"/>
        <v>2.7777777777777776E-2</v>
      </c>
      <c r="N6" s="48">
        <v>0</v>
      </c>
      <c r="O6" s="47">
        <v>0</v>
      </c>
      <c r="P6" s="47">
        <v>0</v>
      </c>
      <c r="Q6" s="47">
        <v>0</v>
      </c>
      <c r="R6" s="47">
        <v>0</v>
      </c>
      <c r="S6" s="47"/>
      <c r="T6" s="47"/>
      <c r="U6" s="47"/>
      <c r="V6" s="47"/>
      <c r="W6" s="47"/>
      <c r="X6" s="114"/>
      <c r="Y6" s="114"/>
      <c r="Z6" s="114">
        <f t="shared" si="1"/>
        <v>4.6111111111109437E-2</v>
      </c>
      <c r="AB6" t="s">
        <v>409</v>
      </c>
      <c r="AC6" t="s">
        <v>129</v>
      </c>
      <c r="AE6" t="s">
        <v>121</v>
      </c>
      <c r="AF6" t="s">
        <v>129</v>
      </c>
    </row>
    <row r="7" spans="1:32" x14ac:dyDescent="0.25">
      <c r="A7" s="4" t="str">
        <f>PLANTILLA!A6</f>
        <v>#22</v>
      </c>
      <c r="B7" s="254" t="str">
        <f>PLANTILLA!D6</f>
        <v>V. Gardner</v>
      </c>
      <c r="C7" s="4">
        <f>PLANTILLA!E6</f>
        <v>25</v>
      </c>
      <c r="D7" s="265">
        <f ca="1">PLANTILLA!F6</f>
        <v>76</v>
      </c>
      <c r="E7" s="48">
        <f>PLANTILLA!X6</f>
        <v>0</v>
      </c>
      <c r="F7" s="48">
        <f>PLANTILLA!Y6</f>
        <v>13.583333333333334</v>
      </c>
      <c r="G7" s="48">
        <f>PLANTILLA!Z6</f>
        <v>7.8</v>
      </c>
      <c r="H7" s="48">
        <f>PLANTILLA!AA6</f>
        <v>3</v>
      </c>
      <c r="I7" s="48">
        <f>PLANTILLA!AB6</f>
        <v>5</v>
      </c>
      <c r="J7" s="48">
        <f>PLANTILLA!AC6</f>
        <v>7.166666666666667</v>
      </c>
      <c r="K7" s="48">
        <f>PLANTILLA!AD6</f>
        <v>18.75</v>
      </c>
      <c r="L7" s="94">
        <f>1/6</f>
        <v>0.16666666666666666</v>
      </c>
      <c r="M7" s="94">
        <f t="shared" si="0"/>
        <v>2.7777777777777776E-2</v>
      </c>
      <c r="N7" s="48">
        <v>0</v>
      </c>
      <c r="O7" s="47">
        <v>0</v>
      </c>
      <c r="P7" s="47">
        <v>0</v>
      </c>
      <c r="Q7" s="47">
        <v>0</v>
      </c>
      <c r="R7" s="47">
        <v>0</v>
      </c>
      <c r="S7" s="47"/>
      <c r="T7" s="47"/>
      <c r="U7" s="47"/>
      <c r="V7" s="47"/>
      <c r="W7" s="47"/>
      <c r="X7" s="114"/>
      <c r="Y7" s="114"/>
      <c r="Z7" s="114">
        <f t="shared" si="1"/>
        <v>4.6111111111109437E-2</v>
      </c>
      <c r="AB7" t="s">
        <v>253</v>
      </c>
      <c r="AC7" t="s">
        <v>131</v>
      </c>
      <c r="AE7" t="s">
        <v>414</v>
      </c>
      <c r="AF7" t="s">
        <v>176</v>
      </c>
    </row>
    <row r="8" spans="1:32" x14ac:dyDescent="0.25">
      <c r="A8" s="4" t="str">
        <f>PLANTILLA!A7</f>
        <v>#3</v>
      </c>
      <c r="B8" s="254" t="str">
        <f>PLANTILLA!D7</f>
        <v>S. Embe</v>
      </c>
      <c r="C8" s="4">
        <f>PLANTILLA!E7</f>
        <v>26</v>
      </c>
      <c r="D8" s="265">
        <f ca="1">PLANTILLA!F7</f>
        <v>20</v>
      </c>
      <c r="E8" s="48">
        <f>PLANTILLA!X7</f>
        <v>0</v>
      </c>
      <c r="F8" s="48">
        <f>PLANTILLA!Y7</f>
        <v>12.416666666666666</v>
      </c>
      <c r="G8" s="48">
        <f>PLANTILLA!Z7</f>
        <v>6.2</v>
      </c>
      <c r="H8" s="48">
        <f>PLANTILLA!AA7</f>
        <v>1</v>
      </c>
      <c r="I8" s="48">
        <f>PLANTILLA!AB7</f>
        <v>5</v>
      </c>
      <c r="J8" s="48">
        <f>PLANTILLA!AC7</f>
        <v>7</v>
      </c>
      <c r="K8" s="48">
        <f>PLANTILLA!AD7</f>
        <v>19.8</v>
      </c>
      <c r="L8" s="94">
        <f>1/5</f>
        <v>0.2</v>
      </c>
      <c r="M8" s="94">
        <f t="shared" si="0"/>
        <v>3.3333333333333333E-2</v>
      </c>
      <c r="N8" s="48">
        <v>0</v>
      </c>
      <c r="O8" s="47">
        <v>0</v>
      </c>
      <c r="P8" s="47">
        <v>0</v>
      </c>
      <c r="Q8" s="47">
        <v>0</v>
      </c>
      <c r="R8" s="47">
        <v>0</v>
      </c>
      <c r="S8" s="47"/>
      <c r="T8" s="47"/>
      <c r="U8" s="47"/>
      <c r="V8" s="47"/>
      <c r="W8" s="47"/>
      <c r="X8" s="114"/>
      <c r="Y8" s="114"/>
      <c r="Z8" s="114">
        <f t="shared" si="1"/>
        <v>5.5333333333337009E-2</v>
      </c>
      <c r="AB8" t="s">
        <v>122</v>
      </c>
      <c r="AC8" t="s">
        <v>181</v>
      </c>
      <c r="AE8" t="s">
        <v>409</v>
      </c>
      <c r="AF8" t="s">
        <v>130</v>
      </c>
    </row>
    <row r="9" spans="1:32" x14ac:dyDescent="0.25">
      <c r="A9" s="4" t="str">
        <f>PLANTILLA!A17</f>
        <v>#16</v>
      </c>
      <c r="B9" s="254" t="str">
        <f>PLANTILLA!D17</f>
        <v>I. Vanags</v>
      </c>
      <c r="C9" s="4">
        <f>PLANTILLA!E17</f>
        <v>25</v>
      </c>
      <c r="D9" s="265">
        <f ca="1">PLANTILLA!F17</f>
        <v>63</v>
      </c>
      <c r="E9" s="48">
        <f>PLANTILLA!X17</f>
        <v>0</v>
      </c>
      <c r="F9" s="48">
        <f>PLANTILLA!Y17</f>
        <v>7.166666666666667</v>
      </c>
      <c r="G9" s="48">
        <f>PLANTILLA!Z17</f>
        <v>14.692307692307692</v>
      </c>
      <c r="H9" s="48">
        <f>PLANTILLA!AA17</f>
        <v>3</v>
      </c>
      <c r="I9" s="48">
        <f>PLANTILLA!AB17</f>
        <v>4</v>
      </c>
      <c r="J9" s="48">
        <f>PLANTILLA!AC17</f>
        <v>7.6818181818181817</v>
      </c>
      <c r="K9" s="48">
        <f>PLANTILLA!AD17</f>
        <v>19</v>
      </c>
      <c r="L9" s="94">
        <f>1/6.4</f>
        <v>0.15625</v>
      </c>
      <c r="M9" s="94">
        <f t="shared" si="0"/>
        <v>2.6041666666666668E-2</v>
      </c>
      <c r="N9" s="48"/>
      <c r="O9" s="47"/>
      <c r="P9" s="47"/>
      <c r="Q9" s="47"/>
      <c r="R9" s="47"/>
      <c r="S9" s="47">
        <f t="shared" ref="S9:S14" si="2">L9*(0.19*0.341+0.25*0.253+0.25*0.127)/(0.19+0.25)</f>
        <v>5.6743607954545451E-2</v>
      </c>
      <c r="T9" s="47">
        <f t="shared" ref="T9:T14" si="3">L9*(0.19*0.241+0.25*0.315)/(0.19+0.25)</f>
        <v>4.4225852272727274E-2</v>
      </c>
      <c r="U9" s="47">
        <f t="shared" ref="U9:U14" si="4">L9*(0.19*0.121+0.25*0.244)/(0.19+0.25)</f>
        <v>2.9825994318181816E-2</v>
      </c>
      <c r="V9" s="47">
        <f>L9*(0.19*0.543+0.25*0.324)/(0.19+0.25)</f>
        <v>6.5401278409090907E-2</v>
      </c>
      <c r="W9" s="47">
        <f t="shared" ref="W9:W14" si="5">L9*(0.19*0.369+0.25*0.142)/(0.19+0.25)</f>
        <v>3.7503551136363639E-2</v>
      </c>
      <c r="X9" s="114">
        <f t="shared" ref="X9:X14" si="6">MAX(N9:W9)</f>
        <v>6.5401278409090907E-2</v>
      </c>
      <c r="Y9" s="114">
        <f t="shared" ref="Y9:Y14" si="7">(1.66*(J9+L9)+0.55*(K9)-7.6)-(1.66*(J9)+0.55*(K9)-7.6)</f>
        <v>0.25937499999999858</v>
      </c>
      <c r="Z9" s="114"/>
      <c r="AB9" t="s">
        <v>253</v>
      </c>
      <c r="AC9" t="s">
        <v>179</v>
      </c>
      <c r="AE9" t="s">
        <v>253</v>
      </c>
      <c r="AF9" t="s">
        <v>179</v>
      </c>
    </row>
    <row r="10" spans="1:32" x14ac:dyDescent="0.25">
      <c r="A10" s="4" t="str">
        <f>PLANTILLA!A12</f>
        <v>#12</v>
      </c>
      <c r="B10" s="254" t="str">
        <f>PLANTILLA!D12</f>
        <v>P. Tuderek</v>
      </c>
      <c r="C10" s="4">
        <f>PLANTILLA!E12</f>
        <v>25</v>
      </c>
      <c r="D10" s="265">
        <f ca="1">PLANTILLA!F12</f>
        <v>65</v>
      </c>
      <c r="E10" s="48">
        <f>PLANTILLA!X12</f>
        <v>0</v>
      </c>
      <c r="F10" s="48">
        <f>PLANTILLA!Y12</f>
        <v>8.8333333333333339</v>
      </c>
      <c r="G10" s="48">
        <f>PLANTILLA!Z12</f>
        <v>13.909090909090908</v>
      </c>
      <c r="H10" s="48">
        <f>PLANTILLA!AA12</f>
        <v>2</v>
      </c>
      <c r="I10" s="48">
        <f>PLANTILLA!AB12</f>
        <v>3</v>
      </c>
      <c r="J10" s="48">
        <f>PLANTILLA!AC12</f>
        <v>7.416666666666667</v>
      </c>
      <c r="K10" s="48">
        <f>PLANTILLA!AD12</f>
        <v>19.600000000000001</v>
      </c>
      <c r="L10" s="94">
        <f>1/6</f>
        <v>0.16666666666666666</v>
      </c>
      <c r="M10" s="94">
        <f t="shared" si="0"/>
        <v>2.7777777777777776E-2</v>
      </c>
      <c r="N10" s="48"/>
      <c r="O10" s="47"/>
      <c r="P10" s="47"/>
      <c r="Q10" s="47"/>
      <c r="R10" s="47"/>
      <c r="S10" s="47">
        <f t="shared" si="2"/>
        <v>6.0526515151515144E-2</v>
      </c>
      <c r="T10" s="47">
        <f t="shared" si="3"/>
        <v>4.7174242424242424E-2</v>
      </c>
      <c r="U10" s="47">
        <f t="shared" si="4"/>
        <v>3.1814393939393934E-2</v>
      </c>
      <c r="V10" s="47">
        <f>L10*(0.19*0.543+0.25*0.25)/(0.19+0.25)</f>
        <v>6.2753787878787881E-2</v>
      </c>
      <c r="W10" s="47">
        <f t="shared" si="5"/>
        <v>4.0003787878787882E-2</v>
      </c>
      <c r="X10" s="114">
        <f t="shared" si="6"/>
        <v>6.2753787878787881E-2</v>
      </c>
      <c r="Y10" s="114">
        <f t="shared" si="7"/>
        <v>0.27666666666666373</v>
      </c>
      <c r="Z10" s="114"/>
      <c r="AB10" t="s">
        <v>256</v>
      </c>
      <c r="AC10" t="s">
        <v>130</v>
      </c>
      <c r="AE10" t="s">
        <v>253</v>
      </c>
      <c r="AF10" t="s">
        <v>131</v>
      </c>
    </row>
    <row r="11" spans="1:32" x14ac:dyDescent="0.25">
      <c r="A11" s="4" t="str">
        <f>PLANTILLA!A13</f>
        <v>#10</v>
      </c>
      <c r="B11" s="254" t="str">
        <f>PLANTILLA!D13</f>
        <v>R. Forsyth</v>
      </c>
      <c r="C11" s="4">
        <f>PLANTILLA!E13</f>
        <v>26</v>
      </c>
      <c r="D11" s="265">
        <f ca="1">PLANTILLA!F13</f>
        <v>8</v>
      </c>
      <c r="E11" s="48">
        <f>PLANTILLA!X13</f>
        <v>0</v>
      </c>
      <c r="F11" s="48">
        <f>PLANTILLA!Y13</f>
        <v>9.75</v>
      </c>
      <c r="G11" s="48">
        <f>PLANTILLA!Z13</f>
        <v>14.538461538461538</v>
      </c>
      <c r="H11" s="48">
        <f>PLANTILLA!AA13</f>
        <v>3</v>
      </c>
      <c r="I11" s="48">
        <f>PLANTILLA!AB13</f>
        <v>4</v>
      </c>
      <c r="J11" s="48">
        <f>PLANTILLA!AC13</f>
        <v>7</v>
      </c>
      <c r="K11" s="48">
        <f>PLANTILLA!AD13</f>
        <v>18.25</v>
      </c>
      <c r="L11" s="94">
        <f>1/5</f>
        <v>0.2</v>
      </c>
      <c r="M11" s="94">
        <f t="shared" si="0"/>
        <v>3.3333333333333333E-2</v>
      </c>
      <c r="N11" s="48"/>
      <c r="O11" s="47"/>
      <c r="P11" s="47"/>
      <c r="Q11" s="47"/>
      <c r="R11" s="47"/>
      <c r="S11" s="47">
        <f t="shared" si="2"/>
        <v>7.2631818181818186E-2</v>
      </c>
      <c r="T11" s="47">
        <f t="shared" si="3"/>
        <v>5.6609090909090908E-2</v>
      </c>
      <c r="U11" s="47">
        <f t="shared" si="4"/>
        <v>3.8177272727272726E-2</v>
      </c>
      <c r="V11" s="47">
        <f>L11*(0.19*0.543+0.25*0.25)/(0.19+0.25)</f>
        <v>7.5304545454545457E-2</v>
      </c>
      <c r="W11" s="47">
        <f t="shared" si="5"/>
        <v>4.8004545454545459E-2</v>
      </c>
      <c r="X11" s="114">
        <f t="shared" si="6"/>
        <v>7.5304545454545457E-2</v>
      </c>
      <c r="Y11" s="114">
        <f t="shared" si="7"/>
        <v>0.33200000000000074</v>
      </c>
      <c r="Z11" s="114"/>
      <c r="AB11" t="s">
        <v>256</v>
      </c>
      <c r="AC11" t="s">
        <v>182</v>
      </c>
      <c r="AE11" t="s">
        <v>256</v>
      </c>
      <c r="AF11" t="s">
        <v>182</v>
      </c>
    </row>
    <row r="12" spans="1:32" x14ac:dyDescent="0.25">
      <c r="A12" s="4" t="str">
        <f>PLANTILLA!A20</f>
        <v>#9</v>
      </c>
      <c r="B12" s="254" t="str">
        <f>PLANTILLA!D20</f>
        <v>M. Bondarewski</v>
      </c>
      <c r="C12" s="4">
        <f>PLANTILLA!E20</f>
        <v>25</v>
      </c>
      <c r="D12" s="265">
        <f ca="1">PLANTILLA!F20</f>
        <v>79</v>
      </c>
      <c r="E12" s="48">
        <f>PLANTILLA!X20</f>
        <v>0</v>
      </c>
      <c r="F12" s="48">
        <f>PLANTILLA!Y20</f>
        <v>4.75</v>
      </c>
      <c r="G12" s="48">
        <f>PLANTILLA!Z20</f>
        <v>14.692307692307692</v>
      </c>
      <c r="H12" s="48">
        <f>PLANTILLA!AA20</f>
        <v>5</v>
      </c>
      <c r="I12" s="48">
        <f>PLANTILLA!AB20</f>
        <v>4</v>
      </c>
      <c r="J12" s="48">
        <f>PLANTILLA!AC20</f>
        <v>8.5769230769230766</v>
      </c>
      <c r="K12" s="48">
        <f>PLANTILLA!AD20</f>
        <v>19.8</v>
      </c>
      <c r="L12" s="94">
        <f>1/6.4</f>
        <v>0.15625</v>
      </c>
      <c r="M12" s="94">
        <f t="shared" si="0"/>
        <v>2.6041666666666668E-2</v>
      </c>
      <c r="N12" s="48"/>
      <c r="O12" s="47"/>
      <c r="P12" s="47"/>
      <c r="Q12" s="47"/>
      <c r="R12" s="47"/>
      <c r="S12" s="47">
        <f t="shared" si="2"/>
        <v>5.6743607954545451E-2</v>
      </c>
      <c r="T12" s="47">
        <f t="shared" si="3"/>
        <v>4.4225852272727274E-2</v>
      </c>
      <c r="U12" s="47">
        <f t="shared" si="4"/>
        <v>2.9825994318181816E-2</v>
      </c>
      <c r="V12" s="47">
        <f>L12*(0.19*0.543+0.25*0.324)/(0.19+0.25)</f>
        <v>6.5401278409090907E-2</v>
      </c>
      <c r="W12" s="47">
        <f t="shared" si="5"/>
        <v>3.7503551136363639E-2</v>
      </c>
      <c r="X12" s="114">
        <f t="shared" si="6"/>
        <v>6.5401278409090907E-2</v>
      </c>
      <c r="Y12" s="114">
        <f t="shared" si="7"/>
        <v>0.25937499999999858</v>
      </c>
      <c r="Z12" s="114"/>
      <c r="AB12" t="s">
        <v>21</v>
      </c>
      <c r="AC12" t="s">
        <v>180</v>
      </c>
      <c r="AE12" t="s">
        <v>256</v>
      </c>
      <c r="AF12" t="s">
        <v>160</v>
      </c>
    </row>
    <row r="13" spans="1:32" x14ac:dyDescent="0.25">
      <c r="A13" s="4" t="str">
        <f>PLANTILLA!A19</f>
        <v>#14</v>
      </c>
      <c r="B13" s="254" t="str">
        <f>PLANTILLA!D19</f>
        <v>G. Piscaer</v>
      </c>
      <c r="C13" s="4">
        <f>PLANTILLA!E19</f>
        <v>25</v>
      </c>
      <c r="D13" s="265">
        <f ca="1">PLANTILLA!F19</f>
        <v>79</v>
      </c>
      <c r="E13" s="48">
        <f>PLANTILLA!X19</f>
        <v>0</v>
      </c>
      <c r="F13" s="48">
        <f>PLANTILLA!Y19</f>
        <v>6.4</v>
      </c>
      <c r="G13" s="48">
        <f>PLANTILLA!Z19</f>
        <v>14.846153846153847</v>
      </c>
      <c r="H13" s="48">
        <f>PLANTILLA!AA19</f>
        <v>3</v>
      </c>
      <c r="I13" s="48">
        <f>PLANTILLA!AB19</f>
        <v>2</v>
      </c>
      <c r="J13" s="48">
        <f>PLANTILLA!AC19</f>
        <v>8.5769230769230766</v>
      </c>
      <c r="K13" s="48">
        <f>PLANTILLA!AD19</f>
        <v>17.75</v>
      </c>
      <c r="L13" s="94">
        <f>1/6.4</f>
        <v>0.15625</v>
      </c>
      <c r="M13" s="94">
        <f t="shared" si="0"/>
        <v>2.6041666666666668E-2</v>
      </c>
      <c r="N13" s="48"/>
      <c r="O13" s="47"/>
      <c r="P13" s="47"/>
      <c r="Q13" s="47"/>
      <c r="R13" s="47"/>
      <c r="S13" s="47">
        <f t="shared" si="2"/>
        <v>5.6743607954545451E-2</v>
      </c>
      <c r="T13" s="47">
        <f t="shared" si="3"/>
        <v>4.4225852272727274E-2</v>
      </c>
      <c r="U13" s="47">
        <f t="shared" si="4"/>
        <v>2.9825994318181816E-2</v>
      </c>
      <c r="V13" s="47">
        <f>L13*(0.19*0.543+0.25*0.25)/(0.19+0.25)</f>
        <v>5.8831676136363635E-2</v>
      </c>
      <c r="W13" s="47">
        <f t="shared" si="5"/>
        <v>3.7503551136363639E-2</v>
      </c>
      <c r="X13" s="114">
        <f t="shared" si="6"/>
        <v>5.8831676136363635E-2</v>
      </c>
      <c r="Y13" s="114">
        <f t="shared" si="7"/>
        <v>0.25937499999999858</v>
      </c>
      <c r="Z13" s="114"/>
      <c r="AB13" t="s">
        <v>21</v>
      </c>
      <c r="AC13" t="s">
        <v>160</v>
      </c>
      <c r="AE13" t="s">
        <v>21</v>
      </c>
      <c r="AF13" t="s">
        <v>180</v>
      </c>
    </row>
    <row r="14" spans="1:32" x14ac:dyDescent="0.25">
      <c r="A14" s="4" t="str">
        <f>PLANTILLA!A18</f>
        <v>#8</v>
      </c>
      <c r="B14" s="254" t="str">
        <f>PLANTILLA!D18</f>
        <v>I. Stone</v>
      </c>
      <c r="C14" s="4">
        <f>PLANTILLA!E18</f>
        <v>25</v>
      </c>
      <c r="D14" s="265">
        <f ca="1">PLANTILLA!F18</f>
        <v>6</v>
      </c>
      <c r="E14" s="48">
        <f>PLANTILLA!X18</f>
        <v>0</v>
      </c>
      <c r="F14" s="48">
        <f>PLANTILLA!Y18</f>
        <v>6</v>
      </c>
      <c r="G14" s="48">
        <f>PLANTILLA!Z18</f>
        <v>13.727272727272727</v>
      </c>
      <c r="H14" s="48">
        <f>PLANTILLA!AA18</f>
        <v>2</v>
      </c>
      <c r="I14" s="48">
        <f>PLANTILLA!AB18</f>
        <v>6</v>
      </c>
      <c r="J14" s="48">
        <f>PLANTILLA!AC18</f>
        <v>9.5</v>
      </c>
      <c r="K14" s="48">
        <f>PLANTILLA!AD18</f>
        <v>18.5</v>
      </c>
      <c r="L14" s="94">
        <f>1/7</f>
        <v>0.14285714285714285</v>
      </c>
      <c r="M14" s="94">
        <f t="shared" si="0"/>
        <v>2.3809523809523808E-2</v>
      </c>
      <c r="N14" s="48"/>
      <c r="O14" s="47"/>
      <c r="P14" s="47"/>
      <c r="Q14" s="47"/>
      <c r="R14" s="47"/>
      <c r="S14" s="47">
        <f t="shared" si="2"/>
        <v>5.1879870129870123E-2</v>
      </c>
      <c r="T14" s="47">
        <f t="shared" si="3"/>
        <v>4.0435064935064928E-2</v>
      </c>
      <c r="U14" s="47">
        <f t="shared" si="4"/>
        <v>2.7269480519480516E-2</v>
      </c>
      <c r="V14" s="47">
        <f>L14*(0.19*0.543+0.25*0.324)/(0.19+0.25)</f>
        <v>5.9795454545454547E-2</v>
      </c>
      <c r="W14" s="47">
        <f t="shared" si="5"/>
        <v>3.4288961038961042E-2</v>
      </c>
      <c r="X14" s="114">
        <f t="shared" si="6"/>
        <v>5.9795454545454547E-2</v>
      </c>
      <c r="Y14" s="114">
        <f t="shared" si="7"/>
        <v>0.23714285714285666</v>
      </c>
      <c r="Z14" s="114"/>
    </row>
  </sheetData>
  <sortState xmlns:xlrd2="http://schemas.microsoft.com/office/spreadsheetml/2017/richdata2" ref="A4:Z14">
    <sortCondition descending="1" ref="Y4:Y14"/>
  </sortState>
  <conditionalFormatting sqref="Y4:Z14">
    <cfRule type="dataBar" priority="3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{2B2BCBDD-516D-D1D2-9E80-083F50A3DC5F}</x14:id>
        </ext>
      </extLst>
    </cfRule>
  </conditionalFormatting>
  <conditionalFormatting sqref="L4:W14">
    <cfRule type="colorScale" priority="335">
      <colorScale>
        <cfvo type="min"/>
        <cfvo type="max"/>
        <color rgb="FFFFEF9C"/>
        <color rgb="FF63BE7B"/>
      </colorScale>
    </cfRule>
  </conditionalFormatting>
  <conditionalFormatting sqref="X4:X14">
    <cfRule type="dataBar" priority="3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{472E5994-5F01-F46F-4C09-6E048F287679}</x14:id>
        </ext>
      </extLst>
    </cfRule>
  </conditionalFormatting>
  <conditionalFormatting sqref="E4:K14">
    <cfRule type="colorScale" priority="337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2BCBDD-516D-D1D2-9E80-083F50A3DC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Y4:Z14</xm:sqref>
        </x14:conditionalFormatting>
        <x14:conditionalFormatting xmlns:xm="http://schemas.microsoft.com/office/excel/2006/main">
          <x14:cfRule type="dataBar" id="{472E5994-5F01-F46F-4C09-6E048F28767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X4:X14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DA9694"/>
  </sheetPr>
  <dimension ref="A1:AE14"/>
  <sheetViews>
    <sheetView workbookViewId="0">
      <selection activeCell="P12" sqref="P12"/>
    </sheetView>
  </sheetViews>
  <sheetFormatPr baseColWidth="10" defaultColWidth="11.42578125" defaultRowHeight="15" x14ac:dyDescent="0.25"/>
  <cols>
    <col min="1" max="1" width="4" customWidth="1"/>
    <col min="2" max="2" width="23.5703125" customWidth="1"/>
    <col min="3" max="3" width="5.5703125" customWidth="1"/>
    <col min="4" max="4" width="5" customWidth="1"/>
    <col min="5" max="11" width="5.5703125" customWidth="1"/>
    <col min="12" max="13" width="6.5703125" style="57" customWidth="1"/>
    <col min="14" max="14" width="5.28515625" style="57" customWidth="1"/>
    <col min="15" max="15" width="5.85546875" style="57" customWidth="1"/>
    <col min="16" max="16" width="6" customWidth="1"/>
    <col min="17" max="18" width="5.42578125" customWidth="1"/>
    <col min="19" max="19" width="5.140625" customWidth="1"/>
    <col min="20" max="21" width="4.5703125" customWidth="1"/>
    <col min="22" max="22" width="4.85546875" customWidth="1"/>
    <col min="23" max="23" width="4.5703125" customWidth="1"/>
    <col min="24" max="24" width="5.5703125" customWidth="1"/>
    <col min="25" max="25" width="8.28515625" customWidth="1"/>
    <col min="26" max="26" width="7.7109375" customWidth="1"/>
    <col min="29" max="29" width="6" customWidth="1"/>
    <col min="30" max="30" width="13.7109375" customWidth="1"/>
  </cols>
  <sheetData>
    <row r="1" spans="1:31" x14ac:dyDescent="0.25">
      <c r="B1" t="s">
        <v>415</v>
      </c>
      <c r="O1"/>
      <c r="AA1" t="s">
        <v>416</v>
      </c>
      <c r="AD1" t="s">
        <v>417</v>
      </c>
    </row>
    <row r="2" spans="1:31" x14ac:dyDescent="0.25">
      <c r="B2" s="204">
        <v>44035</v>
      </c>
      <c r="O2"/>
      <c r="X2" s="203">
        <f>SUM(X4:X14)</f>
        <v>0.19899864907819456</v>
      </c>
      <c r="Y2" s="456">
        <f>SUM(Y4:Y14)</f>
        <v>1.8327392329892369</v>
      </c>
      <c r="AA2" s="146" t="s">
        <v>83</v>
      </c>
      <c r="AB2" s="146" t="s">
        <v>84</v>
      </c>
      <c r="AD2" s="146" t="s">
        <v>83</v>
      </c>
      <c r="AE2" s="146" t="s">
        <v>84</v>
      </c>
    </row>
    <row r="3" spans="1:31" x14ac:dyDescent="0.25">
      <c r="A3" s="79" t="s">
        <v>418</v>
      </c>
      <c r="B3" s="79" t="str">
        <f>PLANTILLA!D3</f>
        <v>Jugador</v>
      </c>
      <c r="C3" s="79" t="str">
        <f>PLANTILLA!E3</f>
        <v>Anys</v>
      </c>
      <c r="D3" s="79" t="str">
        <f>PLANTILLA!F3</f>
        <v>Dias</v>
      </c>
      <c r="E3" s="79" t="str">
        <f>PLANTILLA!X3</f>
        <v>Po</v>
      </c>
      <c r="F3" s="79" t="str">
        <f>PLANTILLA!Y3</f>
        <v>De</v>
      </c>
      <c r="G3" s="79" t="str">
        <f>PLANTILLA!Z3</f>
        <v>Cr</v>
      </c>
      <c r="H3" s="79" t="str">
        <f>PLANTILLA!AA3</f>
        <v>Ex</v>
      </c>
      <c r="I3" s="79" t="str">
        <f>PLANTILLA!AB3</f>
        <v>Ps</v>
      </c>
      <c r="J3" s="79" t="str">
        <f>PLANTILLA!AC3</f>
        <v>An</v>
      </c>
      <c r="K3" s="79" t="str">
        <f>PLANTILLA!AD3</f>
        <v>PA</v>
      </c>
      <c r="L3" s="198">
        <v>0.5</v>
      </c>
      <c r="M3" s="198" t="s">
        <v>172</v>
      </c>
      <c r="N3" s="200" t="s">
        <v>14</v>
      </c>
      <c r="O3" s="200" t="s">
        <v>410</v>
      </c>
      <c r="P3" s="199" t="s">
        <v>420</v>
      </c>
      <c r="Q3" s="199" t="s">
        <v>421</v>
      </c>
      <c r="R3" s="199" t="s">
        <v>422</v>
      </c>
      <c r="S3" s="199" t="s">
        <v>122</v>
      </c>
      <c r="T3" s="199" t="s">
        <v>253</v>
      </c>
      <c r="U3" s="199" t="s">
        <v>423</v>
      </c>
      <c r="V3" s="200" t="s">
        <v>123</v>
      </c>
      <c r="W3" s="200" t="s">
        <v>21</v>
      </c>
      <c r="X3" s="201" t="s">
        <v>427</v>
      </c>
      <c r="Y3" s="201" t="s">
        <v>430</v>
      </c>
      <c r="AA3" t="s">
        <v>14</v>
      </c>
      <c r="AB3" t="s">
        <v>126</v>
      </c>
      <c r="AD3" t="s">
        <v>14</v>
      </c>
      <c r="AE3" t="s">
        <v>126</v>
      </c>
    </row>
    <row r="4" spans="1:31" x14ac:dyDescent="0.25">
      <c r="A4" s="4" t="str">
        <f>PLANTILLA!A9</f>
        <v>#19</v>
      </c>
      <c r="B4" s="254" t="str">
        <f>PLANTILLA!D9</f>
        <v>A. Grimaud</v>
      </c>
      <c r="C4" s="4">
        <f>PLANTILLA!E9</f>
        <v>25</v>
      </c>
      <c r="D4" s="265">
        <f ca="1">PLANTILLA!F9</f>
        <v>87</v>
      </c>
      <c r="E4" s="48">
        <f>PLANTILLA!X9</f>
        <v>0</v>
      </c>
      <c r="F4" s="48">
        <f>PLANTILLA!Y9</f>
        <v>13.23076923076923</v>
      </c>
      <c r="G4" s="48">
        <f>PLANTILLA!Z9</f>
        <v>9.5</v>
      </c>
      <c r="H4" s="48">
        <f>PLANTILLA!AA9</f>
        <v>3</v>
      </c>
      <c r="I4" s="48">
        <f>PLANTILLA!AB9</f>
        <v>3</v>
      </c>
      <c r="J4" s="48">
        <f>PLANTILLA!AC9</f>
        <v>6.125</v>
      </c>
      <c r="K4" s="48">
        <f>PLANTILLA!AD9</f>
        <v>17.75</v>
      </c>
      <c r="L4" s="94">
        <f>1/9</f>
        <v>0.1111111111111111</v>
      </c>
      <c r="M4" s="94">
        <f>1/27</f>
        <v>3.7037037037037035E-2</v>
      </c>
      <c r="N4" s="48">
        <v>0</v>
      </c>
      <c r="O4" s="47">
        <v>0</v>
      </c>
      <c r="P4" s="47">
        <v>0</v>
      </c>
      <c r="Q4" s="47">
        <v>0</v>
      </c>
      <c r="R4" s="47">
        <v>0</v>
      </c>
      <c r="S4" s="47"/>
      <c r="T4" s="47"/>
      <c r="U4" s="47"/>
      <c r="V4" s="47"/>
      <c r="W4" s="47"/>
      <c r="X4" s="114">
        <f t="shared" ref="X4:X14" si="0">MAX(N4:W4)</f>
        <v>0</v>
      </c>
      <c r="Y4" s="114">
        <f t="shared" ref="Y4:Y14" si="1">(1.66*(J4+L4)+0.55*(K4+M4)-7.6)-(1.66*(J4)+0.55*(K4)-7.6)</f>
        <v>0.20481481481481723</v>
      </c>
      <c r="AA4" t="s">
        <v>409</v>
      </c>
      <c r="AB4" t="s">
        <v>425</v>
      </c>
      <c r="AD4" t="s">
        <v>409</v>
      </c>
      <c r="AE4" t="str">
        <f>AB4</f>
        <v>B. Pinczehelyi</v>
      </c>
    </row>
    <row r="5" spans="1:31" x14ac:dyDescent="0.25">
      <c r="A5" s="4" t="str">
        <f>PLANTILLA!A10</f>
        <v>#4</v>
      </c>
      <c r="B5" s="254" t="str">
        <f>PLANTILLA!D10</f>
        <v>E. Deus</v>
      </c>
      <c r="C5" s="4">
        <f>PLANTILLA!E10</f>
        <v>25</v>
      </c>
      <c r="D5" s="265">
        <f ca="1">PLANTILLA!F10</f>
        <v>3</v>
      </c>
      <c r="E5" s="48">
        <f>PLANTILLA!X10</f>
        <v>0</v>
      </c>
      <c r="F5" s="48">
        <f>PLANTILLA!Y10</f>
        <v>12.333333333333334</v>
      </c>
      <c r="G5" s="48">
        <f>PLANTILLA!Z10</f>
        <v>8.8000000000000007</v>
      </c>
      <c r="H5" s="48">
        <f>PLANTILLA!AA10</f>
        <v>1</v>
      </c>
      <c r="I5" s="48">
        <f>PLANTILLA!AB10</f>
        <v>6</v>
      </c>
      <c r="J5" s="48">
        <f>PLANTILLA!AC10</f>
        <v>6</v>
      </c>
      <c r="K5" s="48">
        <f>PLANTILLA!AD10</f>
        <v>18.5</v>
      </c>
      <c r="L5" s="94">
        <f>1/9</f>
        <v>0.1111111111111111</v>
      </c>
      <c r="M5" s="94">
        <f>1/35</f>
        <v>2.8571428571428571E-2</v>
      </c>
      <c r="N5" s="48">
        <v>0</v>
      </c>
      <c r="O5" s="47">
        <v>0</v>
      </c>
      <c r="P5" s="47">
        <v>0</v>
      </c>
      <c r="Q5" s="47">
        <v>0</v>
      </c>
      <c r="R5" s="47">
        <v>0</v>
      </c>
      <c r="S5" s="47"/>
      <c r="T5" s="47"/>
      <c r="U5" s="47"/>
      <c r="V5" s="47"/>
      <c r="W5" s="47"/>
      <c r="X5" s="114">
        <f t="shared" si="0"/>
        <v>0</v>
      </c>
      <c r="Y5" s="114">
        <f t="shared" si="1"/>
        <v>0.20015873015873353</v>
      </c>
      <c r="AA5" t="s">
        <v>410</v>
      </c>
      <c r="AB5" t="s">
        <v>178</v>
      </c>
      <c r="AD5" t="s">
        <v>414</v>
      </c>
      <c r="AE5" t="s">
        <v>177</v>
      </c>
    </row>
    <row r="6" spans="1:31" x14ac:dyDescent="0.25">
      <c r="A6" s="4" t="str">
        <f>PLANTILLA!A8</f>
        <v>#2</v>
      </c>
      <c r="B6" s="254" t="str">
        <f>PLANTILLA!D8</f>
        <v>S. Swärdborn</v>
      </c>
      <c r="C6" s="4">
        <f>PLANTILLA!E8</f>
        <v>25</v>
      </c>
      <c r="D6" s="265">
        <f ca="1">PLANTILLA!F8</f>
        <v>64</v>
      </c>
      <c r="E6" s="48">
        <f>PLANTILLA!X8</f>
        <v>0</v>
      </c>
      <c r="F6" s="48">
        <f>PLANTILLA!Y8</f>
        <v>13.23076923076923</v>
      </c>
      <c r="G6" s="48">
        <f>PLANTILLA!Z8</f>
        <v>9.3333333333333339</v>
      </c>
      <c r="H6" s="48">
        <f>PLANTILLA!AA8</f>
        <v>1</v>
      </c>
      <c r="I6" s="48">
        <f>PLANTILLA!AB8</f>
        <v>3</v>
      </c>
      <c r="J6" s="48">
        <f>PLANTILLA!AC8</f>
        <v>7.25</v>
      </c>
      <c r="K6" s="48">
        <f>PLANTILLA!AD8</f>
        <v>18.25</v>
      </c>
      <c r="L6" s="94">
        <f>1/11</f>
        <v>9.0909090909090912E-2</v>
      </c>
      <c r="M6" s="94">
        <f>1/35</f>
        <v>2.8571428571428571E-2</v>
      </c>
      <c r="N6" s="48">
        <v>0</v>
      </c>
      <c r="O6" s="47">
        <v>0</v>
      </c>
      <c r="P6" s="47">
        <v>0</v>
      </c>
      <c r="Q6" s="47">
        <v>0</v>
      </c>
      <c r="R6" s="47">
        <v>0</v>
      </c>
      <c r="S6" s="47"/>
      <c r="T6" s="47"/>
      <c r="U6" s="47"/>
      <c r="V6" s="47"/>
      <c r="W6" s="47"/>
      <c r="X6" s="114">
        <f t="shared" si="0"/>
        <v>0</v>
      </c>
      <c r="Y6" s="114">
        <f t="shared" si="1"/>
        <v>0.16662337662337379</v>
      </c>
      <c r="AA6" t="s">
        <v>409</v>
      </c>
      <c r="AB6" t="s">
        <v>129</v>
      </c>
      <c r="AD6" t="s">
        <v>121</v>
      </c>
      <c r="AE6" t="s">
        <v>129</v>
      </c>
    </row>
    <row r="7" spans="1:31" x14ac:dyDescent="0.25">
      <c r="A7" s="4" t="str">
        <f>PLANTILLA!A6</f>
        <v>#22</v>
      </c>
      <c r="B7" s="254" t="str">
        <f>PLANTILLA!D6</f>
        <v>V. Gardner</v>
      </c>
      <c r="C7" s="4">
        <f>PLANTILLA!E6</f>
        <v>25</v>
      </c>
      <c r="D7" s="265">
        <f ca="1">PLANTILLA!F6</f>
        <v>76</v>
      </c>
      <c r="E7" s="48">
        <f>PLANTILLA!X6</f>
        <v>0</v>
      </c>
      <c r="F7" s="48">
        <f>PLANTILLA!Y6</f>
        <v>13.583333333333334</v>
      </c>
      <c r="G7" s="48">
        <f>PLANTILLA!Z6</f>
        <v>7.8</v>
      </c>
      <c r="H7" s="48">
        <f>PLANTILLA!AA6</f>
        <v>3</v>
      </c>
      <c r="I7" s="48">
        <f>PLANTILLA!AB6</f>
        <v>5</v>
      </c>
      <c r="J7" s="48">
        <f>PLANTILLA!AC6</f>
        <v>7.166666666666667</v>
      </c>
      <c r="K7" s="48">
        <f>PLANTILLA!AD6</f>
        <v>18.75</v>
      </c>
      <c r="L7" s="94">
        <f>1/11</f>
        <v>9.0909090909090912E-2</v>
      </c>
      <c r="M7" s="94">
        <f>1/35</f>
        <v>2.8571428571428571E-2</v>
      </c>
      <c r="N7" s="48">
        <v>0</v>
      </c>
      <c r="O7" s="47">
        <v>0</v>
      </c>
      <c r="P7" s="47">
        <v>0</v>
      </c>
      <c r="Q7" s="47">
        <v>0</v>
      </c>
      <c r="R7" s="47">
        <v>0</v>
      </c>
      <c r="S7" s="47"/>
      <c r="T7" s="47"/>
      <c r="U7" s="47"/>
      <c r="V7" s="47"/>
      <c r="W7" s="47"/>
      <c r="X7" s="114">
        <f t="shared" si="0"/>
        <v>0</v>
      </c>
      <c r="Y7" s="114">
        <f t="shared" si="1"/>
        <v>0.16662337662337734</v>
      </c>
      <c r="AA7" t="s">
        <v>253</v>
      </c>
      <c r="AB7" t="s">
        <v>131</v>
      </c>
      <c r="AD7" t="s">
        <v>414</v>
      </c>
      <c r="AE7" t="s">
        <v>176</v>
      </c>
    </row>
    <row r="8" spans="1:31" x14ac:dyDescent="0.25">
      <c r="A8" s="4" t="str">
        <f>PLANTILLA!A13</f>
        <v>#10</v>
      </c>
      <c r="B8" s="254" t="str">
        <f>PLANTILLA!D13</f>
        <v>R. Forsyth</v>
      </c>
      <c r="C8" s="4">
        <f>PLANTILLA!E13</f>
        <v>26</v>
      </c>
      <c r="D8" s="265">
        <f ca="1">PLANTILLA!F13</f>
        <v>8</v>
      </c>
      <c r="E8" s="48">
        <f>PLANTILLA!X13</f>
        <v>0</v>
      </c>
      <c r="F8" s="48">
        <f>PLANTILLA!Y13</f>
        <v>9.75</v>
      </c>
      <c r="G8" s="48">
        <f>PLANTILLA!Z13</f>
        <v>14.538461538461538</v>
      </c>
      <c r="H8" s="48">
        <f>PLANTILLA!AA13</f>
        <v>3</v>
      </c>
      <c r="I8" s="48">
        <f>PLANTILLA!AB13</f>
        <v>4</v>
      </c>
      <c r="J8" s="48">
        <f>PLANTILLA!AC13</f>
        <v>7</v>
      </c>
      <c r="K8" s="48">
        <f>PLANTILLA!AD13</f>
        <v>18.25</v>
      </c>
      <c r="L8" s="94">
        <f>1/10</f>
        <v>0.1</v>
      </c>
      <c r="M8" s="94">
        <f>1/27</f>
        <v>3.7037037037037035E-2</v>
      </c>
      <c r="N8" s="48"/>
      <c r="O8" s="47"/>
      <c r="P8" s="47"/>
      <c r="Q8" s="47"/>
      <c r="R8" s="47"/>
      <c r="S8" s="47">
        <f>L8*(0.19*0.341+0.25*0.253+0.25*0.127)/(0.19+0.25)</f>
        <v>3.6315909090909093E-2</v>
      </c>
      <c r="T8" s="47">
        <f>L8*(0.19*0.241+0.25*0.315)/(0.19+0.25)</f>
        <v>2.8304545454545454E-2</v>
      </c>
      <c r="U8" s="47">
        <f>L8*(0.19*0.121+0.25*0.244)/(0.19+0.25)</f>
        <v>1.9088636363636363E-2</v>
      </c>
      <c r="V8" s="47">
        <f>L8*(0.19*0.543+0.25*0.25)/(0.19+0.25)</f>
        <v>3.7652272727272729E-2</v>
      </c>
      <c r="W8" s="47">
        <f>L8*(0.19*0.369+0.25*0.142)/(0.19+0.25)</f>
        <v>2.400227272727273E-2</v>
      </c>
      <c r="X8" s="114">
        <f t="shared" si="0"/>
        <v>3.7652272727272729E-2</v>
      </c>
      <c r="Y8" s="114">
        <f t="shared" si="1"/>
        <v>0.18637037037037274</v>
      </c>
      <c r="AA8" t="s">
        <v>122</v>
      </c>
      <c r="AB8" t="s">
        <v>181</v>
      </c>
      <c r="AD8" t="s">
        <v>409</v>
      </c>
      <c r="AE8" t="s">
        <v>130</v>
      </c>
    </row>
    <row r="9" spans="1:31" x14ac:dyDescent="0.25">
      <c r="A9" s="4" t="str">
        <f>PLANTILLA!A7</f>
        <v>#3</v>
      </c>
      <c r="B9" s="254" t="str">
        <f>PLANTILLA!D7</f>
        <v>S. Embe</v>
      </c>
      <c r="C9" s="4">
        <f>PLANTILLA!E7</f>
        <v>26</v>
      </c>
      <c r="D9" s="265">
        <f ca="1">PLANTILLA!F7</f>
        <v>20</v>
      </c>
      <c r="E9" s="48">
        <f>PLANTILLA!X7</f>
        <v>0</v>
      </c>
      <c r="F9" s="48">
        <f>PLANTILLA!Y7</f>
        <v>12.416666666666666</v>
      </c>
      <c r="G9" s="48">
        <f>PLANTILLA!Z7</f>
        <v>6.2</v>
      </c>
      <c r="H9" s="48">
        <f>PLANTILLA!AA7</f>
        <v>1</v>
      </c>
      <c r="I9" s="48">
        <f>PLANTILLA!AB7</f>
        <v>5</v>
      </c>
      <c r="J9" s="48">
        <f>PLANTILLA!AC7</f>
        <v>7</v>
      </c>
      <c r="K9" s="48">
        <f>PLANTILLA!AD7</f>
        <v>19.8</v>
      </c>
      <c r="L9" s="94">
        <f>1/10</f>
        <v>0.1</v>
      </c>
      <c r="M9" s="94">
        <f>1/80</f>
        <v>1.2500000000000001E-2</v>
      </c>
      <c r="N9" s="48">
        <v>0</v>
      </c>
      <c r="O9" s="47">
        <v>0</v>
      </c>
      <c r="P9" s="47">
        <v>0</v>
      </c>
      <c r="Q9" s="47">
        <v>0</v>
      </c>
      <c r="R9" s="47">
        <v>0</v>
      </c>
      <c r="S9" s="47"/>
      <c r="T9" s="47"/>
      <c r="U9" s="47"/>
      <c r="V9" s="47"/>
      <c r="W9" s="47"/>
      <c r="X9" s="114">
        <f t="shared" si="0"/>
        <v>0</v>
      </c>
      <c r="Y9" s="114">
        <f t="shared" si="1"/>
        <v>0.17287500000000477</v>
      </c>
      <c r="AA9" t="s">
        <v>253</v>
      </c>
      <c r="AB9" t="s">
        <v>179</v>
      </c>
      <c r="AD9" t="s">
        <v>253</v>
      </c>
      <c r="AE9" t="s">
        <v>179</v>
      </c>
    </row>
    <row r="10" spans="1:31" x14ac:dyDescent="0.25">
      <c r="A10" s="4" t="str">
        <f>PLANTILLA!A12</f>
        <v>#12</v>
      </c>
      <c r="B10" s="254" t="str">
        <f>PLANTILLA!D12</f>
        <v>P. Tuderek</v>
      </c>
      <c r="C10" s="4">
        <f>PLANTILLA!E12</f>
        <v>25</v>
      </c>
      <c r="D10" s="265">
        <f ca="1">PLANTILLA!F12</f>
        <v>65</v>
      </c>
      <c r="E10" s="48">
        <f>PLANTILLA!X12</f>
        <v>0</v>
      </c>
      <c r="F10" s="48">
        <f>PLANTILLA!Y12</f>
        <v>8.8333333333333339</v>
      </c>
      <c r="G10" s="48">
        <f>PLANTILLA!Z12</f>
        <v>13.909090909090908</v>
      </c>
      <c r="H10" s="48">
        <f>PLANTILLA!AA12</f>
        <v>2</v>
      </c>
      <c r="I10" s="48">
        <f>PLANTILLA!AB12</f>
        <v>3</v>
      </c>
      <c r="J10" s="48">
        <f>PLANTILLA!AC12</f>
        <v>7.416666666666667</v>
      </c>
      <c r="K10" s="48">
        <f>PLANTILLA!AD12</f>
        <v>19.600000000000001</v>
      </c>
      <c r="L10" s="94">
        <f>1/11</f>
        <v>9.0909090909090912E-2</v>
      </c>
      <c r="M10" s="94">
        <f>1/80</f>
        <v>1.2500000000000001E-2</v>
      </c>
      <c r="N10" s="48"/>
      <c r="O10" s="47"/>
      <c r="P10" s="47"/>
      <c r="Q10" s="47"/>
      <c r="R10" s="47"/>
      <c r="S10" s="47">
        <f>L10*(0.19*0.341+0.25*0.253+0.25*0.127)/(0.19+0.25)</f>
        <v>3.3014462809917357E-2</v>
      </c>
      <c r="T10" s="47">
        <f>L10*(0.19*0.241+0.25*0.315)/(0.19+0.25)</f>
        <v>2.5731404958677685E-2</v>
      </c>
      <c r="U10" s="47">
        <f>L10*(0.19*0.121+0.25*0.244)/(0.19+0.25)</f>
        <v>1.7353305785123965E-2</v>
      </c>
      <c r="V10" s="47">
        <f>L10*(0.19*0.543+0.25*0.25)/(0.19+0.25)</f>
        <v>3.4229338842975209E-2</v>
      </c>
      <c r="W10" s="47">
        <f>L10*(0.19*0.369+0.25*0.142)/(0.19+0.25)</f>
        <v>2.1820247933884301E-2</v>
      </c>
      <c r="X10" s="114">
        <f t="shared" si="0"/>
        <v>3.4229338842975209E-2</v>
      </c>
      <c r="Y10" s="114">
        <f t="shared" si="1"/>
        <v>0.15778409090908951</v>
      </c>
      <c r="AA10" t="s">
        <v>256</v>
      </c>
      <c r="AB10" t="s">
        <v>130</v>
      </c>
      <c r="AD10" t="s">
        <v>253</v>
      </c>
      <c r="AE10" t="s">
        <v>131</v>
      </c>
    </row>
    <row r="11" spans="1:31" x14ac:dyDescent="0.25">
      <c r="A11" s="4" t="str">
        <f>PLANTILLA!A17</f>
        <v>#16</v>
      </c>
      <c r="B11" s="254" t="str">
        <f>PLANTILLA!D17</f>
        <v>I. Vanags</v>
      </c>
      <c r="C11" s="4">
        <f>PLANTILLA!E17</f>
        <v>25</v>
      </c>
      <c r="D11" s="265">
        <f ca="1">PLANTILLA!F17</f>
        <v>63</v>
      </c>
      <c r="E11" s="48">
        <f>PLANTILLA!X17</f>
        <v>0</v>
      </c>
      <c r="F11" s="48">
        <f>PLANTILLA!Y17</f>
        <v>7.166666666666667</v>
      </c>
      <c r="G11" s="48">
        <f>PLANTILLA!Z17</f>
        <v>14.692307692307692</v>
      </c>
      <c r="H11" s="48">
        <f>PLANTILLA!AA17</f>
        <v>3</v>
      </c>
      <c r="I11" s="48">
        <f>PLANTILLA!AB17</f>
        <v>4</v>
      </c>
      <c r="J11" s="48">
        <f>PLANTILLA!AC17</f>
        <v>7.6818181818181817</v>
      </c>
      <c r="K11" s="48">
        <f>PLANTILLA!AD17</f>
        <v>19</v>
      </c>
      <c r="L11" s="94">
        <f>1/11</f>
        <v>9.0909090909090912E-2</v>
      </c>
      <c r="M11" s="94">
        <f>1/45</f>
        <v>2.2222222222222223E-2</v>
      </c>
      <c r="N11" s="48"/>
      <c r="O11" s="47"/>
      <c r="P11" s="47"/>
      <c r="Q11" s="47"/>
      <c r="R11" s="47"/>
      <c r="S11" s="47">
        <f>L11*(0.19*0.341+0.25*0.253+0.25*0.127)/(0.19+0.25)</f>
        <v>3.3014462809917357E-2</v>
      </c>
      <c r="T11" s="47">
        <f>L11*(0.19*0.241+0.25*0.315)/(0.19+0.25)</f>
        <v>2.5731404958677685E-2</v>
      </c>
      <c r="U11" s="47">
        <f>L11*(0.19*0.121+0.25*0.244)/(0.19+0.25)</f>
        <v>1.7353305785123965E-2</v>
      </c>
      <c r="V11" s="47">
        <f>L11*(0.19*0.543+0.25*0.324)/(0.19+0.25)</f>
        <v>3.8051652892561988E-2</v>
      </c>
      <c r="W11" s="47">
        <f>L11*(0.19*0.369+0.25*0.142)/(0.19+0.25)</f>
        <v>2.1820247933884301E-2</v>
      </c>
      <c r="X11" s="114">
        <f t="shared" si="0"/>
        <v>3.8051652892561988E-2</v>
      </c>
      <c r="Y11" s="114">
        <f t="shared" si="1"/>
        <v>0.16313131313131279</v>
      </c>
      <c r="AA11" t="s">
        <v>256</v>
      </c>
      <c r="AB11" t="s">
        <v>182</v>
      </c>
      <c r="AD11" t="s">
        <v>256</v>
      </c>
      <c r="AE11" t="s">
        <v>182</v>
      </c>
    </row>
    <row r="12" spans="1:31" x14ac:dyDescent="0.25">
      <c r="A12" s="4" t="str">
        <f>PLANTILLA!A19</f>
        <v>#14</v>
      </c>
      <c r="B12" s="254" t="str">
        <f>PLANTILLA!D19</f>
        <v>G. Piscaer</v>
      </c>
      <c r="C12" s="4">
        <f>PLANTILLA!E19</f>
        <v>25</v>
      </c>
      <c r="D12" s="265">
        <f ca="1">PLANTILLA!F19</f>
        <v>79</v>
      </c>
      <c r="E12" s="48">
        <f>PLANTILLA!X19</f>
        <v>0</v>
      </c>
      <c r="F12" s="48">
        <f>PLANTILLA!Y19</f>
        <v>6.4</v>
      </c>
      <c r="G12" s="48">
        <f>PLANTILLA!Z19</f>
        <v>14.846153846153847</v>
      </c>
      <c r="H12" s="48">
        <f>PLANTILLA!AA19</f>
        <v>3</v>
      </c>
      <c r="I12" s="48">
        <f>PLANTILLA!AB19</f>
        <v>2</v>
      </c>
      <c r="J12" s="48">
        <f>PLANTILLA!AC19</f>
        <v>8.5769230769230766</v>
      </c>
      <c r="K12" s="48">
        <f>PLANTILLA!AD19</f>
        <v>17.75</v>
      </c>
      <c r="L12" s="94">
        <f>1/13</f>
        <v>7.6923076923076927E-2</v>
      </c>
      <c r="M12" s="94">
        <f>1/27</f>
        <v>3.7037037037037035E-2</v>
      </c>
      <c r="N12" s="48"/>
      <c r="O12" s="47"/>
      <c r="P12" s="47"/>
      <c r="Q12" s="47"/>
      <c r="R12" s="47"/>
      <c r="S12" s="47">
        <f>L12*(0.19*0.341+0.25*0.253+0.25*0.127)/(0.19+0.25)</f>
        <v>2.7935314685314686E-2</v>
      </c>
      <c r="T12" s="47">
        <f>L12*(0.19*0.241+0.25*0.315)/(0.19+0.25)</f>
        <v>2.1772727272727273E-2</v>
      </c>
      <c r="U12" s="47">
        <f>L12*(0.19*0.121+0.25*0.244)/(0.19+0.25)</f>
        <v>1.4683566433566433E-2</v>
      </c>
      <c r="V12" s="47">
        <f>L12*(0.19*0.543+0.25*0.25)/(0.19+0.25)</f>
        <v>2.8963286713286719E-2</v>
      </c>
      <c r="W12" s="47">
        <f>L12*(0.19*0.369+0.25*0.142)/(0.19+0.25)</f>
        <v>1.8463286713286717E-2</v>
      </c>
      <c r="X12" s="114">
        <f t="shared" si="0"/>
        <v>2.8963286713286719E-2</v>
      </c>
      <c r="Y12" s="114">
        <f t="shared" si="1"/>
        <v>0.14806267806267925</v>
      </c>
      <c r="AA12" t="s">
        <v>21</v>
      </c>
      <c r="AB12" t="s">
        <v>180</v>
      </c>
      <c r="AD12" t="s">
        <v>256</v>
      </c>
      <c r="AE12" t="s">
        <v>160</v>
      </c>
    </row>
    <row r="13" spans="1:31" x14ac:dyDescent="0.25">
      <c r="A13" s="4" t="str">
        <f>PLANTILLA!A20</f>
        <v>#9</v>
      </c>
      <c r="B13" s="254" t="str">
        <f>PLANTILLA!D20</f>
        <v>M. Bondarewski</v>
      </c>
      <c r="C13" s="4">
        <f>PLANTILLA!E20</f>
        <v>25</v>
      </c>
      <c r="D13" s="265">
        <f ca="1">PLANTILLA!F20</f>
        <v>79</v>
      </c>
      <c r="E13" s="48">
        <f>PLANTILLA!X20</f>
        <v>0</v>
      </c>
      <c r="F13" s="48">
        <f>PLANTILLA!Y20</f>
        <v>4.75</v>
      </c>
      <c r="G13" s="48">
        <f>PLANTILLA!Z20</f>
        <v>14.692307692307692</v>
      </c>
      <c r="H13" s="48">
        <f>PLANTILLA!AA20</f>
        <v>5</v>
      </c>
      <c r="I13" s="48">
        <f>PLANTILLA!AB20</f>
        <v>4</v>
      </c>
      <c r="J13" s="48">
        <f>PLANTILLA!AC20</f>
        <v>8.5769230769230766</v>
      </c>
      <c r="K13" s="48">
        <f>PLANTILLA!AD20</f>
        <v>19.8</v>
      </c>
      <c r="L13" s="94">
        <f>1/13</f>
        <v>7.6923076923076927E-2</v>
      </c>
      <c r="M13" s="94">
        <f>1/45</f>
        <v>2.2222222222222223E-2</v>
      </c>
      <c r="N13" s="48"/>
      <c r="O13" s="47"/>
      <c r="P13" s="47"/>
      <c r="Q13" s="47"/>
      <c r="R13" s="47"/>
      <c r="S13" s="47">
        <f>L13*(0.19*0.341+0.25*0.253+0.25*0.127)/(0.19+0.25)</f>
        <v>2.7935314685314686E-2</v>
      </c>
      <c r="T13" s="47">
        <f>L13*(0.19*0.241+0.25*0.315)/(0.19+0.25)</f>
        <v>2.1772727272727273E-2</v>
      </c>
      <c r="U13" s="47">
        <f>L13*(0.19*0.121+0.25*0.244)/(0.19+0.25)</f>
        <v>1.4683566433566433E-2</v>
      </c>
      <c r="V13" s="47">
        <f>L13*(0.19*0.543+0.25*0.324)/(0.19+0.25)</f>
        <v>3.2197552447552451E-2</v>
      </c>
      <c r="W13" s="47">
        <f>L13*(0.19*0.369+0.25*0.142)/(0.19+0.25)</f>
        <v>1.8463286713286717E-2</v>
      </c>
      <c r="X13" s="114">
        <f t="shared" si="0"/>
        <v>3.2197552447552451E-2</v>
      </c>
      <c r="Y13" s="114">
        <f t="shared" si="1"/>
        <v>0.13991452991452746</v>
      </c>
      <c r="AA13" t="s">
        <v>21</v>
      </c>
      <c r="AB13" t="s">
        <v>160</v>
      </c>
      <c r="AD13" t="s">
        <v>21</v>
      </c>
      <c r="AE13" t="s">
        <v>180</v>
      </c>
    </row>
    <row r="14" spans="1:31" x14ac:dyDescent="0.25">
      <c r="A14" s="4" t="str">
        <f>PLANTILLA!A18</f>
        <v>#8</v>
      </c>
      <c r="B14" s="254" t="str">
        <f>PLANTILLA!D18</f>
        <v>I. Stone</v>
      </c>
      <c r="C14" s="4">
        <f>PLANTILLA!E18</f>
        <v>25</v>
      </c>
      <c r="D14" s="265">
        <f ca="1">PLANTILLA!F18</f>
        <v>6</v>
      </c>
      <c r="E14" s="48">
        <f>PLANTILLA!X18</f>
        <v>0</v>
      </c>
      <c r="F14" s="48">
        <f>PLANTILLA!Y18</f>
        <v>6</v>
      </c>
      <c r="G14" s="48">
        <f>PLANTILLA!Z18</f>
        <v>13.727272727272727</v>
      </c>
      <c r="H14" s="48">
        <f>PLANTILLA!AA18</f>
        <v>2</v>
      </c>
      <c r="I14" s="48">
        <f>PLANTILLA!AB18</f>
        <v>6</v>
      </c>
      <c r="J14" s="48">
        <f>PLANTILLA!AC18</f>
        <v>9.5</v>
      </c>
      <c r="K14" s="48">
        <f>PLANTILLA!AD18</f>
        <v>18.5</v>
      </c>
      <c r="L14" s="94">
        <f>1/15</f>
        <v>6.6666666666666666E-2</v>
      </c>
      <c r="M14" s="94">
        <f>1/35</f>
        <v>2.8571428571428571E-2</v>
      </c>
      <c r="N14" s="48"/>
      <c r="O14" s="47"/>
      <c r="P14" s="47"/>
      <c r="Q14" s="47"/>
      <c r="R14" s="47"/>
      <c r="S14" s="47">
        <f>L14*(0.19*0.341+0.25*0.253+0.25*0.127)/(0.19+0.25)</f>
        <v>2.4210606060606061E-2</v>
      </c>
      <c r="T14" s="47">
        <f>L14*(0.19*0.241+0.25*0.315)/(0.19+0.25)</f>
        <v>1.886969696969697E-2</v>
      </c>
      <c r="U14" s="47">
        <f>L14*(0.19*0.121+0.25*0.244)/(0.19+0.25)</f>
        <v>1.2725757575757574E-2</v>
      </c>
      <c r="V14" s="47">
        <f>L14*(0.19*0.543+0.25*0.324)/(0.19+0.25)</f>
        <v>2.7904545454545456E-2</v>
      </c>
      <c r="W14" s="47">
        <f>L14*(0.19*0.369+0.25*0.142)/(0.19+0.25)</f>
        <v>1.6001515151515152E-2</v>
      </c>
      <c r="X14" s="114">
        <f t="shared" si="0"/>
        <v>2.7904545454545456E-2</v>
      </c>
      <c r="Y14" s="114">
        <f t="shared" si="1"/>
        <v>0.12638095238094849</v>
      </c>
    </row>
  </sheetData>
  <sortState xmlns:xlrd2="http://schemas.microsoft.com/office/spreadsheetml/2017/richdata2" ref="A4:Y14">
    <sortCondition descending="1" ref="Y4:Y14"/>
  </sortState>
  <conditionalFormatting sqref="L4:W14">
    <cfRule type="colorScale" priority="338">
      <colorScale>
        <cfvo type="min"/>
        <cfvo type="max"/>
        <color rgb="FFFFEF9C"/>
        <color rgb="FF63BE7B"/>
      </colorScale>
    </cfRule>
  </conditionalFormatting>
  <conditionalFormatting sqref="X4:X14">
    <cfRule type="dataBar" priority="3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{22E096D1-1E42-5B4C-36C4-7A2EAE8ACE4C}</x14:id>
        </ext>
      </extLst>
    </cfRule>
  </conditionalFormatting>
  <conditionalFormatting sqref="E4:K14">
    <cfRule type="colorScale" priority="340">
      <colorScale>
        <cfvo type="min"/>
        <cfvo type="max"/>
        <color rgb="FFFCFCFF"/>
        <color rgb="FFF8696B"/>
      </colorScale>
    </cfRule>
  </conditionalFormatting>
  <conditionalFormatting sqref="Y4:Y14">
    <cfRule type="dataBar" priority="3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{5DE23468-900E-898F-EF1C-B12AD4A53903}</x14:id>
        </ext>
      </extLst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E096D1-1E42-5B4C-36C4-7A2EAE8ACE4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X4:X14</xm:sqref>
        </x14:conditionalFormatting>
        <x14:conditionalFormatting xmlns:xm="http://schemas.microsoft.com/office/excel/2006/main">
          <x14:cfRule type="dataBar" id="{5DE23468-900E-898F-EF1C-B12AD4A539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Y4:Y14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DA9694"/>
  </sheetPr>
  <dimension ref="A1:AF14"/>
  <sheetViews>
    <sheetView workbookViewId="0">
      <selection activeCell="Z2" sqref="Z2"/>
    </sheetView>
  </sheetViews>
  <sheetFormatPr baseColWidth="10" defaultColWidth="11.42578125" defaultRowHeight="15" x14ac:dyDescent="0.25"/>
  <cols>
    <col min="1" max="1" width="4" customWidth="1"/>
    <col min="2" max="2" width="23.5703125" customWidth="1"/>
    <col min="3" max="3" width="5.5703125" customWidth="1"/>
    <col min="4" max="4" width="5" customWidth="1"/>
    <col min="5" max="11" width="5.5703125" customWidth="1"/>
    <col min="12" max="13" width="6.5703125" style="57" customWidth="1"/>
    <col min="14" max="14" width="5.28515625" style="57" customWidth="1"/>
    <col min="15" max="15" width="5.85546875" style="57" customWidth="1"/>
    <col min="16" max="16" width="6" customWidth="1"/>
    <col min="17" max="18" width="5.42578125" customWidth="1"/>
    <col min="19" max="19" width="5.140625" customWidth="1"/>
    <col min="20" max="21" width="4.5703125" customWidth="1"/>
    <col min="22" max="22" width="4.85546875" customWidth="1"/>
    <col min="23" max="23" width="4.5703125" customWidth="1"/>
    <col min="24" max="26" width="8.28515625" customWidth="1"/>
    <col min="27" max="27" width="7.7109375" customWidth="1"/>
    <col min="30" max="30" width="6" customWidth="1"/>
    <col min="31" max="31" width="13.7109375" customWidth="1"/>
  </cols>
  <sheetData>
    <row r="1" spans="1:32" x14ac:dyDescent="0.25">
      <c r="B1" t="s">
        <v>415</v>
      </c>
      <c r="O1"/>
      <c r="AB1" t="s">
        <v>416</v>
      </c>
      <c r="AE1" t="s">
        <v>417</v>
      </c>
    </row>
    <row r="2" spans="1:32" x14ac:dyDescent="0.25">
      <c r="B2" s="204">
        <v>44035</v>
      </c>
      <c r="O2"/>
      <c r="X2" s="203">
        <f>SUM(X4:X14)</f>
        <v>1.3291666666666693</v>
      </c>
      <c r="Y2" s="203">
        <f>SUM(Y4:Y14)</f>
        <v>0.10999999999999943</v>
      </c>
      <c r="Z2" s="456">
        <f>Y2+X2</f>
        <v>1.4391666666666687</v>
      </c>
      <c r="AB2" s="146" t="s">
        <v>83</v>
      </c>
      <c r="AC2" s="146" t="s">
        <v>84</v>
      </c>
      <c r="AE2" s="146" t="s">
        <v>83</v>
      </c>
      <c r="AF2" s="146" t="s">
        <v>84</v>
      </c>
    </row>
    <row r="3" spans="1:32" x14ac:dyDescent="0.25">
      <c r="A3" s="79" t="s">
        <v>418</v>
      </c>
      <c r="B3" s="79" t="str">
        <f>PLANTILLA!D3</f>
        <v>Jugador</v>
      </c>
      <c r="C3" s="79" t="str">
        <f>PLANTILLA!E3</f>
        <v>Anys</v>
      </c>
      <c r="D3" s="79" t="str">
        <f>PLANTILLA!F3</f>
        <v>Dias</v>
      </c>
      <c r="E3" s="79" t="str">
        <f>PLANTILLA!X3</f>
        <v>Po</v>
      </c>
      <c r="F3" s="79" t="str">
        <f>PLANTILLA!Y3</f>
        <v>De</v>
      </c>
      <c r="G3" s="79" t="str">
        <f>PLANTILLA!Z3</f>
        <v>Cr</v>
      </c>
      <c r="H3" s="79" t="str">
        <f>PLANTILLA!AA3</f>
        <v>Ex</v>
      </c>
      <c r="I3" s="79" t="str">
        <f>PLANTILLA!AB3</f>
        <v>Ps</v>
      </c>
      <c r="J3" s="79" t="str">
        <f>PLANTILLA!AC3</f>
        <v>An</v>
      </c>
      <c r="K3" s="79" t="str">
        <f>PLANTILLA!AD3</f>
        <v>PA</v>
      </c>
      <c r="L3" s="198">
        <v>1</v>
      </c>
      <c r="M3" s="198">
        <v>1.25</v>
      </c>
      <c r="N3" s="200" t="s">
        <v>14</v>
      </c>
      <c r="O3" s="200" t="s">
        <v>410</v>
      </c>
      <c r="P3" s="199" t="s">
        <v>420</v>
      </c>
      <c r="Q3" s="199" t="s">
        <v>421</v>
      </c>
      <c r="R3" s="199" t="s">
        <v>422</v>
      </c>
      <c r="S3" s="199" t="s">
        <v>122</v>
      </c>
      <c r="T3" s="199" t="s">
        <v>253</v>
      </c>
      <c r="U3" s="199" t="s">
        <v>423</v>
      </c>
      <c r="V3" s="200" t="s">
        <v>123</v>
      </c>
      <c r="W3" s="200" t="s">
        <v>21</v>
      </c>
      <c r="X3" s="201" t="s">
        <v>428</v>
      </c>
      <c r="Y3" s="201" t="s">
        <v>596</v>
      </c>
      <c r="Z3" s="203"/>
      <c r="AB3" t="s">
        <v>14</v>
      </c>
      <c r="AC3" t="s">
        <v>126</v>
      </c>
      <c r="AE3" t="s">
        <v>14</v>
      </c>
      <c r="AF3" t="s">
        <v>126</v>
      </c>
    </row>
    <row r="4" spans="1:32" x14ac:dyDescent="0.25">
      <c r="A4" s="4" t="str">
        <f>PLANTILLA!A9</f>
        <v>#19</v>
      </c>
      <c r="B4" s="254" t="str">
        <f>PLANTILLA!D9</f>
        <v>A. Grimaud</v>
      </c>
      <c r="C4" s="4">
        <f>PLANTILLA!E9</f>
        <v>25</v>
      </c>
      <c r="D4" s="265">
        <f ca="1">PLANTILLA!F9</f>
        <v>87</v>
      </c>
      <c r="E4" s="48">
        <f>PLANTILLA!X9</f>
        <v>0</v>
      </c>
      <c r="F4" s="48">
        <f>PLANTILLA!Y9</f>
        <v>13.23076923076923</v>
      </c>
      <c r="G4" s="48">
        <f>PLANTILLA!Z9</f>
        <v>9.5</v>
      </c>
      <c r="H4" s="48">
        <f>PLANTILLA!AA9</f>
        <v>3</v>
      </c>
      <c r="I4" s="48">
        <f>PLANTILLA!AB9</f>
        <v>3</v>
      </c>
      <c r="J4" s="48">
        <f>PLANTILLA!AC9</f>
        <v>6.125</v>
      </c>
      <c r="K4" s="48">
        <f>PLANTILLA!AD9</f>
        <v>17.75</v>
      </c>
      <c r="L4" s="94">
        <f>1/3</f>
        <v>0.33333333333333331</v>
      </c>
      <c r="M4" s="94">
        <f>1/2</f>
        <v>0.5</v>
      </c>
      <c r="N4" s="48"/>
      <c r="O4" s="47"/>
      <c r="P4" s="47"/>
      <c r="Q4" s="47"/>
      <c r="R4" s="47"/>
      <c r="S4" s="47"/>
      <c r="T4" s="47"/>
      <c r="U4" s="47"/>
      <c r="V4" s="47"/>
      <c r="W4" s="47"/>
      <c r="X4" s="114">
        <f t="shared" ref="X4:X14" si="0">(1.66*(J4)+0.55*(K4+L4)-7.6)-(1.66*(J4)+0.55*(K4)-7.6)</f>
        <v>0.18333333333333002</v>
      </c>
      <c r="Y4" s="114"/>
      <c r="Z4" s="114"/>
      <c r="AB4" t="s">
        <v>409</v>
      </c>
      <c r="AC4" t="s">
        <v>425</v>
      </c>
      <c r="AE4" t="s">
        <v>409</v>
      </c>
      <c r="AF4" t="str">
        <f>AC4</f>
        <v>B. Pinczehelyi</v>
      </c>
    </row>
    <row r="5" spans="1:32" x14ac:dyDescent="0.25">
      <c r="A5" s="4" t="str">
        <f>PLANTILLA!A13</f>
        <v>#10</v>
      </c>
      <c r="B5" s="254" t="str">
        <f>PLANTILLA!D13</f>
        <v>R. Forsyth</v>
      </c>
      <c r="C5" s="4">
        <f>PLANTILLA!E13</f>
        <v>26</v>
      </c>
      <c r="D5" s="265">
        <f ca="1">PLANTILLA!F13</f>
        <v>8</v>
      </c>
      <c r="E5" s="48">
        <f>PLANTILLA!X13</f>
        <v>0</v>
      </c>
      <c r="F5" s="48">
        <f>PLANTILLA!Y13</f>
        <v>9.75</v>
      </c>
      <c r="G5" s="48">
        <f>PLANTILLA!Z13</f>
        <v>14.538461538461538</v>
      </c>
      <c r="H5" s="48">
        <f>PLANTILLA!AA13</f>
        <v>3</v>
      </c>
      <c r="I5" s="48">
        <f>PLANTILLA!AB13</f>
        <v>4</v>
      </c>
      <c r="J5" s="48">
        <f>PLANTILLA!AC13</f>
        <v>7</v>
      </c>
      <c r="K5" s="48">
        <f>PLANTILLA!AD13</f>
        <v>18.25</v>
      </c>
      <c r="L5" s="94">
        <f>1/4</f>
        <v>0.25</v>
      </c>
      <c r="M5" s="94">
        <f>1/3.2</f>
        <v>0.3125</v>
      </c>
      <c r="N5" s="48"/>
      <c r="O5" s="47"/>
      <c r="P5" s="47"/>
      <c r="Q5" s="47"/>
      <c r="R5" s="47"/>
      <c r="S5" s="47"/>
      <c r="T5" s="47"/>
      <c r="U5" s="47"/>
      <c r="V5" s="47"/>
      <c r="W5" s="47"/>
      <c r="X5" s="114">
        <f t="shared" si="0"/>
        <v>0.13750000000000284</v>
      </c>
      <c r="Y5" s="114"/>
      <c r="Z5" s="114"/>
      <c r="AB5" t="s">
        <v>410</v>
      </c>
      <c r="AC5" t="s">
        <v>178</v>
      </c>
      <c r="AE5" t="s">
        <v>414</v>
      </c>
      <c r="AF5" t="s">
        <v>177</v>
      </c>
    </row>
    <row r="6" spans="1:32" x14ac:dyDescent="0.25">
      <c r="A6" s="4" t="str">
        <f>PLANTILLA!A19</f>
        <v>#14</v>
      </c>
      <c r="B6" s="254" t="str">
        <f>PLANTILLA!D19</f>
        <v>G. Piscaer</v>
      </c>
      <c r="C6" s="4">
        <f>PLANTILLA!E19</f>
        <v>25</v>
      </c>
      <c r="D6" s="265">
        <f ca="1">PLANTILLA!F19</f>
        <v>79</v>
      </c>
      <c r="E6" s="48">
        <f>PLANTILLA!X19</f>
        <v>0</v>
      </c>
      <c r="F6" s="48">
        <f>PLANTILLA!Y19</f>
        <v>6.4</v>
      </c>
      <c r="G6" s="48">
        <f>PLANTILLA!Z19</f>
        <v>14.846153846153847</v>
      </c>
      <c r="H6" s="48">
        <f>PLANTILLA!AA19</f>
        <v>3</v>
      </c>
      <c r="I6" s="48">
        <f>PLANTILLA!AB19</f>
        <v>2</v>
      </c>
      <c r="J6" s="48">
        <f>PLANTILLA!AC19</f>
        <v>8.5769230769230766</v>
      </c>
      <c r="K6" s="48">
        <f>PLANTILLA!AD19</f>
        <v>17.75</v>
      </c>
      <c r="L6" s="94">
        <f>1/3</f>
        <v>0.33333333333333331</v>
      </c>
      <c r="M6" s="94">
        <f>1/2</f>
        <v>0.5</v>
      </c>
      <c r="N6" s="48"/>
      <c r="O6" s="47"/>
      <c r="P6" s="47"/>
      <c r="Q6" s="47"/>
      <c r="R6" s="47"/>
      <c r="S6" s="47"/>
      <c r="T6" s="47"/>
      <c r="U6" s="47"/>
      <c r="V6" s="47"/>
      <c r="W6" s="47"/>
      <c r="X6" s="114">
        <f t="shared" si="0"/>
        <v>0.18333333333333002</v>
      </c>
      <c r="Y6" s="114"/>
      <c r="Z6" s="114"/>
      <c r="AB6" t="s">
        <v>409</v>
      </c>
      <c r="AC6" t="s">
        <v>129</v>
      </c>
      <c r="AE6" t="s">
        <v>121</v>
      </c>
      <c r="AF6" t="s">
        <v>129</v>
      </c>
    </row>
    <row r="7" spans="1:32" x14ac:dyDescent="0.25">
      <c r="A7" s="4" t="str">
        <f>PLANTILLA!A20</f>
        <v>#9</v>
      </c>
      <c r="B7" s="254" t="str">
        <f>PLANTILLA!D20</f>
        <v>M. Bondarewski</v>
      </c>
      <c r="C7" s="4">
        <f>PLANTILLA!E20</f>
        <v>25</v>
      </c>
      <c r="D7" s="265">
        <f ca="1">PLANTILLA!F20</f>
        <v>79</v>
      </c>
      <c r="E7" s="48">
        <f>PLANTILLA!X20</f>
        <v>0</v>
      </c>
      <c r="F7" s="48">
        <f>PLANTILLA!Y20</f>
        <v>4.75</v>
      </c>
      <c r="G7" s="48">
        <f>PLANTILLA!Z20</f>
        <v>14.692307692307692</v>
      </c>
      <c r="H7" s="48">
        <f>PLANTILLA!AA20</f>
        <v>5</v>
      </c>
      <c r="I7" s="48">
        <f>PLANTILLA!AB20</f>
        <v>4</v>
      </c>
      <c r="J7" s="48">
        <f>PLANTILLA!AC20</f>
        <v>8.5769230769230766</v>
      </c>
      <c r="K7" s="48">
        <f>PLANTILLA!AD20</f>
        <v>19.8</v>
      </c>
      <c r="L7" s="94">
        <f>1/6</f>
        <v>0.16666666666666666</v>
      </c>
      <c r="M7" s="94">
        <f>1/5</f>
        <v>0.2</v>
      </c>
      <c r="N7" s="48"/>
      <c r="O7" s="47"/>
      <c r="P7" s="47"/>
      <c r="Q7" s="47"/>
      <c r="R7" s="47"/>
      <c r="S7" s="47"/>
      <c r="T7" s="47"/>
      <c r="U7" s="47"/>
      <c r="V7" s="47"/>
      <c r="W7" s="47"/>
      <c r="X7" s="114"/>
      <c r="Y7" s="114">
        <f>(1.66*(J7)+0.55*(K7+M7)-7.6)-(1.66*(J7)+0.55*(K7)-7.6)</f>
        <v>0.10999999999999943</v>
      </c>
      <c r="Z7" s="114"/>
      <c r="AB7" t="s">
        <v>253</v>
      </c>
      <c r="AC7" t="s">
        <v>131</v>
      </c>
      <c r="AE7" t="s">
        <v>414</v>
      </c>
      <c r="AF7" t="s">
        <v>176</v>
      </c>
    </row>
    <row r="8" spans="1:32" x14ac:dyDescent="0.25">
      <c r="A8" s="4" t="str">
        <f>PLANTILLA!A8</f>
        <v>#2</v>
      </c>
      <c r="B8" s="254" t="str">
        <f>PLANTILLA!D8</f>
        <v>S. Swärdborn</v>
      </c>
      <c r="C8" s="4">
        <f>PLANTILLA!E8</f>
        <v>25</v>
      </c>
      <c r="D8" s="265">
        <f ca="1">PLANTILLA!F8</f>
        <v>64</v>
      </c>
      <c r="E8" s="48">
        <f>PLANTILLA!X8</f>
        <v>0</v>
      </c>
      <c r="F8" s="48">
        <f>PLANTILLA!Y8</f>
        <v>13.23076923076923</v>
      </c>
      <c r="G8" s="48">
        <f>PLANTILLA!Z8</f>
        <v>9.3333333333333339</v>
      </c>
      <c r="H8" s="48">
        <f>PLANTILLA!AA8</f>
        <v>1</v>
      </c>
      <c r="I8" s="48">
        <f>PLANTILLA!AB8</f>
        <v>3</v>
      </c>
      <c r="J8" s="48">
        <f>PLANTILLA!AC8</f>
        <v>7.25</v>
      </c>
      <c r="K8" s="48">
        <f>PLANTILLA!AD8</f>
        <v>18.25</v>
      </c>
      <c r="L8" s="94">
        <f>1/4</f>
        <v>0.25</v>
      </c>
      <c r="M8" s="94">
        <f>1/3.2</f>
        <v>0.3125</v>
      </c>
      <c r="N8" s="48"/>
      <c r="O8" s="47"/>
      <c r="P8" s="47"/>
      <c r="Q8" s="47"/>
      <c r="R8" s="47"/>
      <c r="S8" s="47"/>
      <c r="T8" s="47"/>
      <c r="U8" s="47"/>
      <c r="V8" s="47"/>
      <c r="W8" s="47"/>
      <c r="X8" s="114">
        <f t="shared" si="0"/>
        <v>0.13749999999999929</v>
      </c>
      <c r="Y8" s="114"/>
      <c r="Z8" s="114"/>
      <c r="AB8" t="s">
        <v>122</v>
      </c>
      <c r="AC8" t="s">
        <v>181</v>
      </c>
      <c r="AE8" t="s">
        <v>409</v>
      </c>
      <c r="AF8" t="s">
        <v>130</v>
      </c>
    </row>
    <row r="9" spans="1:32" x14ac:dyDescent="0.25">
      <c r="A9" s="4" t="str">
        <f>PLANTILLA!A6</f>
        <v>#22</v>
      </c>
      <c r="B9" s="254" t="str">
        <f>PLANTILLA!D6</f>
        <v>V. Gardner</v>
      </c>
      <c r="C9" s="4">
        <f>PLANTILLA!E6</f>
        <v>25</v>
      </c>
      <c r="D9" s="265">
        <f ca="1">PLANTILLA!F6</f>
        <v>76</v>
      </c>
      <c r="E9" s="48">
        <f>PLANTILLA!X6</f>
        <v>0</v>
      </c>
      <c r="F9" s="48">
        <f>PLANTILLA!Y6</f>
        <v>13.583333333333334</v>
      </c>
      <c r="G9" s="48">
        <f>PLANTILLA!Z6</f>
        <v>7.8</v>
      </c>
      <c r="H9" s="48">
        <f>PLANTILLA!AA6</f>
        <v>3</v>
      </c>
      <c r="I9" s="48">
        <f>PLANTILLA!AB6</f>
        <v>5</v>
      </c>
      <c r="J9" s="48">
        <f>PLANTILLA!AC6</f>
        <v>7.166666666666667</v>
      </c>
      <c r="K9" s="48">
        <f>PLANTILLA!AD6</f>
        <v>18.75</v>
      </c>
      <c r="L9" s="94">
        <f>1/4</f>
        <v>0.25</v>
      </c>
      <c r="M9" s="94">
        <f>1/3.2</f>
        <v>0.3125</v>
      </c>
      <c r="N9" s="48"/>
      <c r="O9" s="47"/>
      <c r="P9" s="47"/>
      <c r="Q9" s="47"/>
      <c r="R9" s="47"/>
      <c r="S9" s="47"/>
      <c r="T9" s="47"/>
      <c r="U9" s="47"/>
      <c r="V9" s="47"/>
      <c r="W9" s="47"/>
      <c r="X9" s="114">
        <f t="shared" si="0"/>
        <v>0.13749999999999929</v>
      </c>
      <c r="Y9" s="114"/>
      <c r="Z9" s="114"/>
      <c r="AB9" t="s">
        <v>253</v>
      </c>
      <c r="AC9" t="s">
        <v>179</v>
      </c>
      <c r="AE9" t="s">
        <v>253</v>
      </c>
      <c r="AF9" t="s">
        <v>179</v>
      </c>
    </row>
    <row r="10" spans="1:32" x14ac:dyDescent="0.25">
      <c r="A10" s="4" t="str">
        <f>PLANTILLA!A10</f>
        <v>#4</v>
      </c>
      <c r="B10" s="254" t="str">
        <f>PLANTILLA!D10</f>
        <v>E. Deus</v>
      </c>
      <c r="C10" s="4">
        <f>PLANTILLA!E10</f>
        <v>25</v>
      </c>
      <c r="D10" s="265">
        <f ca="1">PLANTILLA!F10</f>
        <v>3</v>
      </c>
      <c r="E10" s="48">
        <f>PLANTILLA!X10</f>
        <v>0</v>
      </c>
      <c r="F10" s="48">
        <f>PLANTILLA!Y10</f>
        <v>12.333333333333334</v>
      </c>
      <c r="G10" s="48">
        <f>PLANTILLA!Z10</f>
        <v>8.8000000000000007</v>
      </c>
      <c r="H10" s="48">
        <f>PLANTILLA!AA10</f>
        <v>1</v>
      </c>
      <c r="I10" s="48">
        <f>PLANTILLA!AB10</f>
        <v>6</v>
      </c>
      <c r="J10" s="48">
        <f>PLANTILLA!AC10</f>
        <v>6</v>
      </c>
      <c r="K10" s="48">
        <f>PLANTILLA!AD10</f>
        <v>18.5</v>
      </c>
      <c r="L10" s="94">
        <f>1/4</f>
        <v>0.25</v>
      </c>
      <c r="M10" s="94">
        <f>1/3.2</f>
        <v>0.3125</v>
      </c>
      <c r="N10" s="48"/>
      <c r="O10" s="47"/>
      <c r="P10" s="47"/>
      <c r="Q10" s="47"/>
      <c r="R10" s="47"/>
      <c r="S10" s="47"/>
      <c r="T10" s="47"/>
      <c r="U10" s="47"/>
      <c r="V10" s="47"/>
      <c r="W10" s="47"/>
      <c r="X10" s="114">
        <f t="shared" si="0"/>
        <v>0.13750000000000284</v>
      </c>
      <c r="Y10" s="114"/>
      <c r="Z10" s="114"/>
      <c r="AB10" t="s">
        <v>256</v>
      </c>
      <c r="AC10" t="s">
        <v>130</v>
      </c>
      <c r="AE10" t="s">
        <v>253</v>
      </c>
      <c r="AF10" t="s">
        <v>131</v>
      </c>
    </row>
    <row r="11" spans="1:32" x14ac:dyDescent="0.25">
      <c r="A11" s="4" t="str">
        <f>PLANTILLA!A17</f>
        <v>#16</v>
      </c>
      <c r="B11" s="254" t="str">
        <f>PLANTILLA!D17</f>
        <v>I. Vanags</v>
      </c>
      <c r="C11" s="4">
        <f>PLANTILLA!E17</f>
        <v>25</v>
      </c>
      <c r="D11" s="265">
        <f ca="1">PLANTILLA!F17</f>
        <v>63</v>
      </c>
      <c r="E11" s="48">
        <f>PLANTILLA!X17</f>
        <v>0</v>
      </c>
      <c r="F11" s="48">
        <f>PLANTILLA!Y17</f>
        <v>7.166666666666667</v>
      </c>
      <c r="G11" s="48">
        <f>PLANTILLA!Z17</f>
        <v>14.692307692307692</v>
      </c>
      <c r="H11" s="48">
        <f>PLANTILLA!AA17</f>
        <v>3</v>
      </c>
      <c r="I11" s="48">
        <f>PLANTILLA!AB17</f>
        <v>4</v>
      </c>
      <c r="J11" s="48">
        <f>PLANTILLA!AC17</f>
        <v>7.6818181818181817</v>
      </c>
      <c r="K11" s="48">
        <f>PLANTILLA!AD17</f>
        <v>19</v>
      </c>
      <c r="L11" s="94">
        <f>1/6</f>
        <v>0.16666666666666666</v>
      </c>
      <c r="M11" s="94">
        <f>1/5</f>
        <v>0.2</v>
      </c>
      <c r="N11" s="48"/>
      <c r="O11" s="47"/>
      <c r="P11" s="47"/>
      <c r="Q11" s="47"/>
      <c r="R11" s="47"/>
      <c r="S11" s="47"/>
      <c r="T11" s="47"/>
      <c r="U11" s="47"/>
      <c r="V11" s="47"/>
      <c r="W11" s="47"/>
      <c r="X11" s="114">
        <f t="shared" si="0"/>
        <v>9.1666666666665009E-2</v>
      </c>
      <c r="Y11" s="114"/>
      <c r="Z11" s="114"/>
      <c r="AB11" t="s">
        <v>256</v>
      </c>
      <c r="AC11" t="s">
        <v>182</v>
      </c>
      <c r="AE11" t="s">
        <v>256</v>
      </c>
      <c r="AF11" t="s">
        <v>182</v>
      </c>
    </row>
    <row r="12" spans="1:32" x14ac:dyDescent="0.25">
      <c r="A12" s="4" t="str">
        <f>PLANTILLA!A18</f>
        <v>#8</v>
      </c>
      <c r="B12" s="254" t="str">
        <f>PLANTILLA!D18</f>
        <v>I. Stone</v>
      </c>
      <c r="C12" s="4">
        <f>PLANTILLA!E18</f>
        <v>25</v>
      </c>
      <c r="D12" s="265">
        <f ca="1">PLANTILLA!F18</f>
        <v>6</v>
      </c>
      <c r="E12" s="48">
        <f>PLANTILLA!X18</f>
        <v>0</v>
      </c>
      <c r="F12" s="48">
        <f>PLANTILLA!Y18</f>
        <v>6</v>
      </c>
      <c r="G12" s="48">
        <f>PLANTILLA!Z18</f>
        <v>13.727272727272727</v>
      </c>
      <c r="H12" s="48">
        <f>PLANTILLA!AA18</f>
        <v>2</v>
      </c>
      <c r="I12" s="48">
        <f>PLANTILLA!AB18</f>
        <v>6</v>
      </c>
      <c r="J12" s="48">
        <f>PLANTILLA!AC18</f>
        <v>9.5</v>
      </c>
      <c r="K12" s="48">
        <f>PLANTILLA!AD18</f>
        <v>18.5</v>
      </c>
      <c r="L12" s="94">
        <f>1/4</f>
        <v>0.25</v>
      </c>
      <c r="M12" s="94">
        <f>1/3.2</f>
        <v>0.3125</v>
      </c>
      <c r="N12" s="48"/>
      <c r="O12" s="47"/>
      <c r="P12" s="47"/>
      <c r="Q12" s="47"/>
      <c r="R12" s="47"/>
      <c r="S12" s="47"/>
      <c r="T12" s="47"/>
      <c r="U12" s="47"/>
      <c r="V12" s="47"/>
      <c r="W12" s="47"/>
      <c r="X12" s="114">
        <f t="shared" si="0"/>
        <v>0.13750000000000284</v>
      </c>
      <c r="Y12" s="114"/>
      <c r="Z12" s="114"/>
      <c r="AB12" t="s">
        <v>21</v>
      </c>
      <c r="AC12" t="s">
        <v>180</v>
      </c>
      <c r="AE12" t="s">
        <v>256</v>
      </c>
      <c r="AF12" t="s">
        <v>160</v>
      </c>
    </row>
    <row r="13" spans="1:32" x14ac:dyDescent="0.25">
      <c r="A13" s="4" t="str">
        <f>PLANTILLA!A12</f>
        <v>#12</v>
      </c>
      <c r="B13" s="254" t="str">
        <f>PLANTILLA!D12</f>
        <v>P. Tuderek</v>
      </c>
      <c r="C13" s="4">
        <f>PLANTILLA!E12</f>
        <v>25</v>
      </c>
      <c r="D13" s="265">
        <f ca="1">PLANTILLA!F12</f>
        <v>65</v>
      </c>
      <c r="E13" s="48">
        <f>PLANTILLA!X12</f>
        <v>0</v>
      </c>
      <c r="F13" s="48">
        <f>PLANTILLA!Y12</f>
        <v>8.8333333333333339</v>
      </c>
      <c r="G13" s="48">
        <f>PLANTILLA!Z12</f>
        <v>13.909090909090908</v>
      </c>
      <c r="H13" s="48">
        <f>PLANTILLA!AA12</f>
        <v>2</v>
      </c>
      <c r="I13" s="48">
        <f>PLANTILLA!AB12</f>
        <v>3</v>
      </c>
      <c r="J13" s="48">
        <f>PLANTILLA!AC12</f>
        <v>7.416666666666667</v>
      </c>
      <c r="K13" s="48">
        <f>PLANTILLA!AD12</f>
        <v>19.600000000000001</v>
      </c>
      <c r="L13" s="94">
        <f>1/6</f>
        <v>0.16666666666666666</v>
      </c>
      <c r="M13" s="94">
        <f>1/5</f>
        <v>0.2</v>
      </c>
      <c r="N13" s="48"/>
      <c r="O13" s="47"/>
      <c r="P13" s="47"/>
      <c r="Q13" s="47"/>
      <c r="R13" s="47"/>
      <c r="S13" s="47"/>
      <c r="T13" s="47"/>
      <c r="U13" s="47"/>
      <c r="V13" s="47"/>
      <c r="W13" s="47"/>
      <c r="X13" s="114">
        <f t="shared" si="0"/>
        <v>9.1666666666668561E-2</v>
      </c>
      <c r="Y13" s="114"/>
      <c r="Z13" s="114"/>
      <c r="AB13" t="s">
        <v>21</v>
      </c>
      <c r="AC13" t="s">
        <v>160</v>
      </c>
      <c r="AE13" t="s">
        <v>21</v>
      </c>
      <c r="AF13" t="s">
        <v>180</v>
      </c>
    </row>
    <row r="14" spans="1:32" x14ac:dyDescent="0.25">
      <c r="A14" s="4" t="str">
        <f>PLANTILLA!A7</f>
        <v>#3</v>
      </c>
      <c r="B14" s="254" t="str">
        <f>PLANTILLA!D7</f>
        <v>S. Embe</v>
      </c>
      <c r="C14" s="4">
        <f>PLANTILLA!E7</f>
        <v>26</v>
      </c>
      <c r="D14" s="265">
        <f ca="1">PLANTILLA!F7</f>
        <v>20</v>
      </c>
      <c r="E14" s="48">
        <f>PLANTILLA!X7</f>
        <v>0</v>
      </c>
      <c r="F14" s="48">
        <f>PLANTILLA!Y7</f>
        <v>12.416666666666666</v>
      </c>
      <c r="G14" s="48">
        <f>PLANTILLA!Z7</f>
        <v>6.2</v>
      </c>
      <c r="H14" s="48">
        <f>PLANTILLA!AA7</f>
        <v>1</v>
      </c>
      <c r="I14" s="48">
        <f>PLANTILLA!AB7</f>
        <v>5</v>
      </c>
      <c r="J14" s="48">
        <f>PLANTILLA!AC7</f>
        <v>7</v>
      </c>
      <c r="K14" s="48">
        <f>PLANTILLA!AD7</f>
        <v>19.8</v>
      </c>
      <c r="L14" s="94">
        <f>1/6</f>
        <v>0.16666666666666666</v>
      </c>
      <c r="M14" s="94">
        <f>1/5</f>
        <v>0.2</v>
      </c>
      <c r="N14" s="48"/>
      <c r="O14" s="47"/>
      <c r="P14" s="47"/>
      <c r="Q14" s="47"/>
      <c r="R14" s="47"/>
      <c r="S14" s="47"/>
      <c r="T14" s="47"/>
      <c r="U14" s="47"/>
      <c r="V14" s="47"/>
      <c r="W14" s="47"/>
      <c r="X14" s="114">
        <f t="shared" si="0"/>
        <v>9.1666666666668561E-2</v>
      </c>
      <c r="Y14" s="114"/>
      <c r="Z14" s="114"/>
    </row>
  </sheetData>
  <sortState xmlns:xlrd2="http://schemas.microsoft.com/office/spreadsheetml/2017/richdata2" ref="A4:X14">
    <sortCondition descending="1" ref="X4:X14"/>
  </sortState>
  <conditionalFormatting sqref="N7:W7 N11:W14 L8:W10 L4:W6">
    <cfRule type="colorScale" priority="355">
      <colorScale>
        <cfvo type="min"/>
        <cfvo type="max"/>
        <color rgb="FFFFEF9C"/>
        <color rgb="FF63BE7B"/>
      </colorScale>
    </cfRule>
  </conditionalFormatting>
  <conditionalFormatting sqref="E4:K14">
    <cfRule type="colorScale" priority="357">
      <colorScale>
        <cfvo type="min"/>
        <cfvo type="max"/>
        <color rgb="FFFCFCFF"/>
        <color rgb="FFF8696B"/>
      </colorScale>
    </cfRule>
  </conditionalFormatting>
  <conditionalFormatting sqref="X4:Z14">
    <cfRule type="dataBar" priority="3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{27D1F968-9F83-CDA8-15FF-2A5E9FC55819}</x14:id>
        </ext>
      </extLst>
    </cfRule>
  </conditionalFormatting>
  <conditionalFormatting sqref="L7">
    <cfRule type="colorScale" priority="12">
      <colorScale>
        <cfvo type="min"/>
        <cfvo type="max"/>
        <color rgb="FFFFEF9C"/>
        <color rgb="FF63BE7B"/>
      </colorScale>
    </cfRule>
  </conditionalFormatting>
  <conditionalFormatting sqref="M7">
    <cfRule type="colorScale" priority="13">
      <colorScale>
        <cfvo type="min"/>
        <cfvo type="max"/>
        <color rgb="FFFFEF9C"/>
        <color rgb="FF63BE7B"/>
      </colorScale>
    </cfRule>
  </conditionalFormatting>
  <conditionalFormatting sqref="L11">
    <cfRule type="colorScale" priority="6">
      <colorScale>
        <cfvo type="min"/>
        <cfvo type="max"/>
        <color rgb="FFFFEF9C"/>
        <color rgb="FF63BE7B"/>
      </colorScale>
    </cfRule>
  </conditionalFormatting>
  <conditionalFormatting sqref="M11">
    <cfRule type="colorScale" priority="7">
      <colorScale>
        <cfvo type="min"/>
        <cfvo type="max"/>
        <color rgb="FFFFEF9C"/>
        <color rgb="FF63BE7B"/>
      </colorScale>
    </cfRule>
  </conditionalFormatting>
  <conditionalFormatting sqref="L13">
    <cfRule type="colorScale" priority="4">
      <colorScale>
        <cfvo type="min"/>
        <cfvo type="max"/>
        <color rgb="FFFFEF9C"/>
        <color rgb="FF63BE7B"/>
      </colorScale>
    </cfRule>
  </conditionalFormatting>
  <conditionalFormatting sqref="M13">
    <cfRule type="colorScale" priority="5">
      <colorScale>
        <cfvo type="min"/>
        <cfvo type="max"/>
        <color rgb="FFFFEF9C"/>
        <color rgb="FF63BE7B"/>
      </colorScale>
    </cfRule>
  </conditionalFormatting>
  <conditionalFormatting sqref="L14">
    <cfRule type="colorScale" priority="2">
      <colorScale>
        <cfvo type="min"/>
        <cfvo type="max"/>
        <color rgb="FFFFEF9C"/>
        <color rgb="FF63BE7B"/>
      </colorScale>
    </cfRule>
  </conditionalFormatting>
  <conditionalFormatting sqref="M14">
    <cfRule type="colorScale" priority="3">
      <colorScale>
        <cfvo type="min"/>
        <cfvo type="max"/>
        <color rgb="FFFFEF9C"/>
        <color rgb="FF63BE7B"/>
      </colorScale>
    </cfRule>
  </conditionalFormatting>
  <conditionalFormatting sqref="L12:M12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7D1F968-9F83-CDA8-15FF-2A5E9FC558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X4:Z14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C2D69A"/>
  </sheetPr>
  <dimension ref="A1:AD47"/>
  <sheetViews>
    <sheetView zoomScale="80" workbookViewId="0">
      <selection activeCell="F9" sqref="F9"/>
    </sheetView>
  </sheetViews>
  <sheetFormatPr baseColWidth="10" defaultColWidth="11.42578125" defaultRowHeight="15" x14ac:dyDescent="0.25"/>
  <cols>
    <col min="1" max="1" width="31" customWidth="1"/>
    <col min="2" max="2" width="15.5703125" customWidth="1"/>
    <col min="3" max="6" width="13.85546875" customWidth="1"/>
    <col min="7" max="7" width="15.140625" customWidth="1"/>
    <col min="8" max="12" width="13.85546875" customWidth="1"/>
    <col min="13" max="13" width="17.28515625" customWidth="1"/>
    <col min="14" max="16" width="13.85546875" customWidth="1"/>
    <col min="17" max="17" width="12.85546875" customWidth="1"/>
    <col min="18" max="19" width="13.85546875" customWidth="1"/>
    <col min="20" max="30" width="12.85546875" customWidth="1"/>
  </cols>
  <sheetData>
    <row r="1" spans="1:30" ht="30.75" x14ac:dyDescent="0.25">
      <c r="M1" s="7" t="s">
        <v>431</v>
      </c>
      <c r="N1" s="7" t="s">
        <v>432</v>
      </c>
      <c r="O1" s="7" t="s">
        <v>433</v>
      </c>
      <c r="P1" s="7" t="s">
        <v>434</v>
      </c>
      <c r="Q1" s="7" t="s">
        <v>435</v>
      </c>
      <c r="R1" s="7" t="s">
        <v>436</v>
      </c>
      <c r="S1" s="7" t="s">
        <v>437</v>
      </c>
    </row>
    <row r="2" spans="1:30" x14ac:dyDescent="0.25">
      <c r="C2" s="8" t="s">
        <v>438</v>
      </c>
      <c r="D2" s="563" t="s">
        <v>439</v>
      </c>
      <c r="E2" s="563"/>
      <c r="F2" s="564" t="s">
        <v>440</v>
      </c>
      <c r="G2" s="564"/>
      <c r="H2" s="565" t="s">
        <v>441</v>
      </c>
      <c r="I2" s="565"/>
      <c r="K2" t="s">
        <v>442</v>
      </c>
      <c r="M2" s="9">
        <v>11</v>
      </c>
      <c r="N2" s="10">
        <v>14.98</v>
      </c>
      <c r="O2" s="10">
        <v>5.95</v>
      </c>
      <c r="P2" s="10">
        <v>5.49</v>
      </c>
      <c r="Q2" s="10">
        <v>0.68000000000000016</v>
      </c>
      <c r="R2" s="11">
        <v>27.09</v>
      </c>
    </row>
    <row r="3" spans="1:30" x14ac:dyDescent="0.25">
      <c r="A3" s="12" t="s">
        <v>443</v>
      </c>
      <c r="B3" s="13">
        <f>B4+B5+B6+B7</f>
        <v>58108</v>
      </c>
      <c r="C3" s="14">
        <f>C4+C5+C6+C7</f>
        <v>62221.81</v>
      </c>
      <c r="D3" s="4" t="s">
        <v>444</v>
      </c>
      <c r="E3" s="4" t="s">
        <v>445</v>
      </c>
      <c r="F3" s="4" t="s">
        <v>444</v>
      </c>
      <c r="G3" s="4" t="s">
        <v>446</v>
      </c>
      <c r="H3" s="4" t="s">
        <v>444</v>
      </c>
      <c r="I3" s="5" t="s">
        <v>447</v>
      </c>
      <c r="J3" s="4" t="s">
        <v>448</v>
      </c>
      <c r="K3" s="6">
        <v>14480</v>
      </c>
      <c r="M3" s="9">
        <v>10</v>
      </c>
      <c r="N3" s="15">
        <v>14.23</v>
      </c>
      <c r="O3" s="15">
        <v>5.59</v>
      </c>
      <c r="P3" s="15">
        <v>5.07</v>
      </c>
      <c r="Q3" s="15">
        <v>0.62</v>
      </c>
      <c r="R3" s="16">
        <v>25.52</v>
      </c>
    </row>
    <row r="4" spans="1:30" x14ac:dyDescent="0.25">
      <c r="A4" s="12" t="s">
        <v>449</v>
      </c>
      <c r="B4" s="13">
        <v>33476</v>
      </c>
      <c r="C4" s="68">
        <v>35404.46</v>
      </c>
      <c r="D4" s="17">
        <v>45</v>
      </c>
      <c r="E4" s="4">
        <f>D4*(C4-B4)</f>
        <v>86780.699999999953</v>
      </c>
      <c r="F4" s="18">
        <v>0.5</v>
      </c>
      <c r="G4" s="4">
        <f>(C4-B4)*F4</f>
        <v>964.22999999999956</v>
      </c>
      <c r="H4" s="18">
        <v>7</v>
      </c>
      <c r="I4" s="5">
        <f>(C4-B4)*H4</f>
        <v>13499.219999999994</v>
      </c>
      <c r="J4" s="4">
        <f>H4*C4</f>
        <v>247831.22</v>
      </c>
      <c r="K4">
        <f>K3*0.59</f>
        <v>8543.1999999999989</v>
      </c>
      <c r="M4" s="9">
        <v>9</v>
      </c>
      <c r="N4" s="10">
        <v>13.49</v>
      </c>
      <c r="O4" s="10">
        <v>5.24</v>
      </c>
      <c r="P4" s="10">
        <v>4.66</v>
      </c>
      <c r="Q4" s="10">
        <v>0.56999999999999995</v>
      </c>
      <c r="R4" s="11">
        <v>23.95</v>
      </c>
    </row>
    <row r="5" spans="1:30" x14ac:dyDescent="0.25">
      <c r="A5" s="12" t="s">
        <v>450</v>
      </c>
      <c r="B5" s="13">
        <v>12637</v>
      </c>
      <c r="C5" s="21">
        <v>13589.31</v>
      </c>
      <c r="D5" s="19">
        <v>75</v>
      </c>
      <c r="E5" s="4">
        <f>D5*(C5-B5)</f>
        <v>71423.249999999956</v>
      </c>
      <c r="F5" s="20">
        <v>0.7</v>
      </c>
      <c r="G5" s="4">
        <f>(C5-B5)*F5</f>
        <v>666.61699999999962</v>
      </c>
      <c r="H5" s="20">
        <v>10</v>
      </c>
      <c r="I5" s="5">
        <f>(C5-B5)*H5</f>
        <v>9523.0999999999949</v>
      </c>
      <c r="J5" s="4">
        <f>H5*C5</f>
        <v>135893.1</v>
      </c>
      <c r="K5">
        <f>K3*0.21</f>
        <v>3040.7999999999997</v>
      </c>
      <c r="M5" s="9">
        <v>8</v>
      </c>
      <c r="N5" s="15">
        <v>12.74</v>
      </c>
      <c r="O5" s="15">
        <v>4.8899999999999997</v>
      </c>
      <c r="P5" s="15">
        <v>4.25</v>
      </c>
      <c r="Q5" s="15">
        <v>0.51</v>
      </c>
      <c r="R5" s="16">
        <v>22.39</v>
      </c>
    </row>
    <row r="6" spans="1:30" x14ac:dyDescent="0.25">
      <c r="A6" s="12" t="s">
        <v>451</v>
      </c>
      <c r="B6" s="13">
        <v>10712</v>
      </c>
      <c r="C6" s="21">
        <v>11810.75</v>
      </c>
      <c r="D6" s="17">
        <v>90</v>
      </c>
      <c r="E6" s="4">
        <f>D6*(C6-B6)</f>
        <v>98887.5</v>
      </c>
      <c r="F6" s="18">
        <v>1</v>
      </c>
      <c r="G6" s="4">
        <f>(C6-B6)*F6</f>
        <v>1098.75</v>
      </c>
      <c r="H6" s="18">
        <v>19</v>
      </c>
      <c r="I6" s="5">
        <f>(C6-B6)*H6</f>
        <v>20876.25</v>
      </c>
      <c r="J6" s="4">
        <f>H6*C6</f>
        <v>224404.25</v>
      </c>
      <c r="K6">
        <f>K3*0.18</f>
        <v>2606.4</v>
      </c>
      <c r="M6" s="9">
        <v>7</v>
      </c>
      <c r="N6" s="10">
        <v>12</v>
      </c>
      <c r="O6" s="10">
        <v>4.53</v>
      </c>
      <c r="P6" s="10">
        <v>3.84</v>
      </c>
      <c r="Q6" s="10">
        <v>0.46000000000000008</v>
      </c>
      <c r="R6" s="11">
        <v>20.83</v>
      </c>
    </row>
    <row r="7" spans="1:30" x14ac:dyDescent="0.25">
      <c r="A7" s="12" t="s">
        <v>452</v>
      </c>
      <c r="B7" s="13">
        <v>1283</v>
      </c>
      <c r="C7" s="22">
        <v>1417.29</v>
      </c>
      <c r="D7" s="19">
        <v>300</v>
      </c>
      <c r="E7" s="4">
        <f>D7*(C7-B7)</f>
        <v>40286.999999999985</v>
      </c>
      <c r="F7" s="20">
        <v>2.5</v>
      </c>
      <c r="G7" s="4">
        <f>(C7-B7)*F7</f>
        <v>335.72499999999991</v>
      </c>
      <c r="H7" s="20">
        <v>35</v>
      </c>
      <c r="I7" s="5">
        <f>(C7-B7)*H7</f>
        <v>4700.1499999999987</v>
      </c>
      <c r="J7" s="4">
        <f>H7*C7</f>
        <v>49605.15</v>
      </c>
      <c r="K7">
        <f>K3*0.02</f>
        <v>289.60000000000002</v>
      </c>
      <c r="M7" s="9">
        <v>6</v>
      </c>
      <c r="N7" s="15">
        <v>11.26</v>
      </c>
      <c r="O7" s="15">
        <v>4.17</v>
      </c>
      <c r="P7" s="15">
        <v>3.44</v>
      </c>
      <c r="Q7" s="15">
        <v>0.41</v>
      </c>
      <c r="R7" s="16">
        <v>19.27</v>
      </c>
    </row>
    <row r="8" spans="1:30" x14ac:dyDescent="0.25">
      <c r="C8" s="23">
        <f>C4/$C$3</f>
        <v>0.56900401965163017</v>
      </c>
      <c r="J8" s="24">
        <f>J7+J6+J5+J4</f>
        <v>657733.72</v>
      </c>
      <c r="M8" s="9">
        <v>5</v>
      </c>
      <c r="N8" s="10">
        <v>10.52</v>
      </c>
      <c r="O8" s="10">
        <v>3.81</v>
      </c>
      <c r="P8" s="10">
        <v>3.03</v>
      </c>
      <c r="Q8" s="10">
        <v>0.35</v>
      </c>
      <c r="R8" s="11">
        <v>17.719999999999995</v>
      </c>
    </row>
    <row r="9" spans="1:30" x14ac:dyDescent="0.25">
      <c r="C9" s="25">
        <f>C5/$C$3</f>
        <v>0.2184010719071014</v>
      </c>
      <c r="E9" s="36">
        <v>35404.46</v>
      </c>
      <c r="F9" s="49">
        <f>E9-B4</f>
        <v>1928.4599999999991</v>
      </c>
      <c r="G9">
        <f>45*(24422-8000)</f>
        <v>738990</v>
      </c>
      <c r="M9" s="9">
        <v>4</v>
      </c>
      <c r="N9" s="15">
        <v>9.8000000000000007</v>
      </c>
      <c r="O9" s="15">
        <v>3.46</v>
      </c>
      <c r="P9" s="15">
        <v>2.63</v>
      </c>
      <c r="Q9" s="15">
        <v>0.3</v>
      </c>
      <c r="R9" s="16">
        <v>16.170000000000002</v>
      </c>
    </row>
    <row r="10" spans="1:30" x14ac:dyDescent="0.25">
      <c r="B10" s="26">
        <f>B11/B13</f>
        <v>3.253318506876459E-2</v>
      </c>
      <c r="C10" s="25">
        <f>C6/$C$3</f>
        <v>0.18981688253684681</v>
      </c>
      <c r="E10" s="36">
        <v>13589.31</v>
      </c>
      <c r="F10" s="49">
        <f t="shared" ref="F10:F12" si="0">E10-B5</f>
        <v>952.30999999999949</v>
      </c>
      <c r="G10">
        <f>75*(9374-3000)</f>
        <v>478050</v>
      </c>
      <c r="M10" s="9">
        <v>3</v>
      </c>
      <c r="N10" s="10">
        <v>9.09</v>
      </c>
      <c r="O10" s="10">
        <v>3.1</v>
      </c>
      <c r="P10" s="10">
        <v>2.21</v>
      </c>
      <c r="Q10" s="10">
        <v>0.24</v>
      </c>
      <c r="R10" s="11">
        <v>14.63</v>
      </c>
    </row>
    <row r="11" spans="1:30" x14ac:dyDescent="0.25">
      <c r="A11" s="27" t="s">
        <v>453</v>
      </c>
      <c r="B11" s="28">
        <v>10000</v>
      </c>
      <c r="C11" s="25">
        <f>C7/$C$3</f>
        <v>2.2778025904421618E-2</v>
      </c>
      <c r="E11" s="36">
        <v>11810.75</v>
      </c>
      <c r="F11" s="49">
        <f t="shared" si="0"/>
        <v>1098.75</v>
      </c>
      <c r="G11">
        <f>90*(7902-1000)</f>
        <v>621180</v>
      </c>
      <c r="M11" s="9">
        <v>2</v>
      </c>
      <c r="N11" s="15">
        <v>8.42</v>
      </c>
      <c r="O11" s="15">
        <v>2.73</v>
      </c>
      <c r="P11" s="15">
        <v>1.77</v>
      </c>
      <c r="Q11" s="15">
        <v>0.17999999999999997</v>
      </c>
      <c r="R11" s="16">
        <v>13.090000000000002</v>
      </c>
    </row>
    <row r="12" spans="1:30" x14ac:dyDescent="0.25">
      <c r="A12" s="27" t="s">
        <v>454</v>
      </c>
      <c r="B12" s="29">
        <f>E7+E6+E5+E4</f>
        <v>297378.4499999999</v>
      </c>
      <c r="E12" s="36">
        <v>1417.29</v>
      </c>
      <c r="F12" s="49">
        <f t="shared" si="0"/>
        <v>134.28999999999996</v>
      </c>
      <c r="G12">
        <f>300*978</f>
        <v>293400</v>
      </c>
      <c r="M12" s="9">
        <v>1</v>
      </c>
      <c r="N12" s="10">
        <v>7.8499999999999988</v>
      </c>
      <c r="O12" s="10">
        <v>2.34</v>
      </c>
      <c r="P12" s="10">
        <v>1.23</v>
      </c>
      <c r="Q12" s="10">
        <v>0.1</v>
      </c>
      <c r="R12" s="11">
        <v>11.53</v>
      </c>
    </row>
    <row r="13" spans="1:30" x14ac:dyDescent="0.25">
      <c r="A13" s="30" t="s">
        <v>245</v>
      </c>
      <c r="B13" s="31">
        <f>B11+B12</f>
        <v>307378.4499999999</v>
      </c>
      <c r="G13">
        <f>10000*10</f>
        <v>100000</v>
      </c>
    </row>
    <row r="15" spans="1:30" x14ac:dyDescent="0.25">
      <c r="A15" s="2"/>
      <c r="B15" s="32" t="s">
        <v>198</v>
      </c>
      <c r="C15" s="32" t="s">
        <v>199</v>
      </c>
      <c r="D15" s="32" t="s">
        <v>200</v>
      </c>
      <c r="E15" s="32" t="s">
        <v>201</v>
      </c>
      <c r="F15" s="32" t="s">
        <v>202</v>
      </c>
      <c r="G15" s="32" t="s">
        <v>203</v>
      </c>
      <c r="H15" s="32" t="s">
        <v>204</v>
      </c>
      <c r="I15" s="32" t="s">
        <v>205</v>
      </c>
      <c r="J15" s="32" t="s">
        <v>206</v>
      </c>
      <c r="K15" s="32" t="s">
        <v>207</v>
      </c>
      <c r="L15" s="32" t="s">
        <v>208</v>
      </c>
      <c r="M15" s="32" t="s">
        <v>209</v>
      </c>
      <c r="N15" s="32" t="s">
        <v>210</v>
      </c>
      <c r="O15" s="32" t="s">
        <v>211</v>
      </c>
      <c r="P15" s="32" t="s">
        <v>212</v>
      </c>
      <c r="Q15" s="32" t="s">
        <v>197</v>
      </c>
      <c r="R15" s="32" t="s">
        <v>198</v>
      </c>
      <c r="S15" s="32" t="s">
        <v>199</v>
      </c>
      <c r="T15" s="32" t="s">
        <v>200</v>
      </c>
      <c r="U15" s="32" t="s">
        <v>201</v>
      </c>
      <c r="V15" s="32" t="s">
        <v>202</v>
      </c>
      <c r="W15" s="32" t="s">
        <v>203</v>
      </c>
      <c r="X15" s="32" t="s">
        <v>204</v>
      </c>
      <c r="Y15" s="32" t="s">
        <v>205</v>
      </c>
      <c r="Z15" s="32" t="s">
        <v>206</v>
      </c>
      <c r="AA15" s="32" t="s">
        <v>207</v>
      </c>
      <c r="AB15" s="32" t="s">
        <v>208</v>
      </c>
      <c r="AC15" s="32" t="s">
        <v>209</v>
      </c>
      <c r="AD15" s="32" t="s">
        <v>210</v>
      </c>
    </row>
    <row r="16" spans="1:30" x14ac:dyDescent="0.25">
      <c r="A16" s="33" t="s">
        <v>455</v>
      </c>
      <c r="B16" s="33">
        <v>2779</v>
      </c>
      <c r="C16" s="33">
        <f>B16+2</f>
        <v>2781</v>
      </c>
      <c r="D16" s="33">
        <f t="shared" ref="D16:AD16" si="1">C16+2</f>
        <v>2783</v>
      </c>
      <c r="E16" s="33">
        <f t="shared" si="1"/>
        <v>2785</v>
      </c>
      <c r="F16" s="33">
        <f t="shared" si="1"/>
        <v>2787</v>
      </c>
      <c r="G16" s="33">
        <f t="shared" si="1"/>
        <v>2789</v>
      </c>
      <c r="H16" s="33">
        <f t="shared" si="1"/>
        <v>2791</v>
      </c>
      <c r="I16" s="33">
        <f t="shared" si="1"/>
        <v>2793</v>
      </c>
      <c r="J16" s="33">
        <f t="shared" si="1"/>
        <v>2795</v>
      </c>
      <c r="K16" s="33">
        <f t="shared" si="1"/>
        <v>2797</v>
      </c>
      <c r="L16" s="33">
        <f t="shared" si="1"/>
        <v>2799</v>
      </c>
      <c r="M16" s="33">
        <f t="shared" si="1"/>
        <v>2801</v>
      </c>
      <c r="N16" s="33">
        <f t="shared" si="1"/>
        <v>2803</v>
      </c>
      <c r="O16" s="33">
        <f t="shared" si="1"/>
        <v>2805</v>
      </c>
      <c r="P16" s="33">
        <f t="shared" si="1"/>
        <v>2807</v>
      </c>
      <c r="Q16" s="33">
        <f t="shared" si="1"/>
        <v>2809</v>
      </c>
      <c r="R16" s="33">
        <f t="shared" si="1"/>
        <v>2811</v>
      </c>
      <c r="S16" s="33">
        <f t="shared" si="1"/>
        <v>2813</v>
      </c>
      <c r="T16" s="33">
        <f t="shared" si="1"/>
        <v>2815</v>
      </c>
      <c r="U16" s="33">
        <f t="shared" si="1"/>
        <v>2817</v>
      </c>
      <c r="V16" s="33">
        <f t="shared" si="1"/>
        <v>2819</v>
      </c>
      <c r="W16" s="33">
        <f t="shared" si="1"/>
        <v>2821</v>
      </c>
      <c r="X16" s="33">
        <f t="shared" si="1"/>
        <v>2823</v>
      </c>
      <c r="Y16" s="33">
        <f t="shared" si="1"/>
        <v>2825</v>
      </c>
      <c r="Z16" s="33">
        <f t="shared" si="1"/>
        <v>2827</v>
      </c>
      <c r="AA16" s="33">
        <f t="shared" si="1"/>
        <v>2829</v>
      </c>
      <c r="AB16" s="33">
        <f t="shared" si="1"/>
        <v>2831</v>
      </c>
      <c r="AC16" s="33">
        <f t="shared" si="1"/>
        <v>2833</v>
      </c>
      <c r="AD16" s="33">
        <f t="shared" si="1"/>
        <v>2835</v>
      </c>
    </row>
    <row r="17" spans="1:30" x14ac:dyDescent="0.25">
      <c r="A17" s="33"/>
      <c r="B17" s="34">
        <f t="shared" ref="B17:AD17" si="2">B18+B19+B20+B21</f>
        <v>62221.81</v>
      </c>
      <c r="C17" s="34">
        <f t="shared" si="2"/>
        <v>62266.59</v>
      </c>
      <c r="D17" s="34">
        <f t="shared" si="2"/>
        <v>62311.369999999995</v>
      </c>
      <c r="E17" s="34">
        <f t="shared" si="2"/>
        <v>62356.15</v>
      </c>
      <c r="F17" s="34">
        <f t="shared" si="2"/>
        <v>62400.93</v>
      </c>
      <c r="G17" s="34">
        <f t="shared" si="2"/>
        <v>62445.71</v>
      </c>
      <c r="H17" s="34">
        <f t="shared" si="2"/>
        <v>62490.490000000005</v>
      </c>
      <c r="I17" s="34">
        <f t="shared" si="2"/>
        <v>62535.27</v>
      </c>
      <c r="J17" s="34">
        <f t="shared" si="2"/>
        <v>62580.05</v>
      </c>
      <c r="K17" s="34">
        <f t="shared" si="2"/>
        <v>62624.83</v>
      </c>
      <c r="L17" s="34">
        <f t="shared" si="2"/>
        <v>62669.61</v>
      </c>
      <c r="M17" s="34">
        <f t="shared" si="2"/>
        <v>62714.39</v>
      </c>
      <c r="N17" s="34">
        <f t="shared" si="2"/>
        <v>62759.17</v>
      </c>
      <c r="O17" s="34">
        <f t="shared" si="2"/>
        <v>62803.95</v>
      </c>
      <c r="P17" s="34">
        <f t="shared" si="2"/>
        <v>62848.73</v>
      </c>
      <c r="Q17" s="34">
        <f t="shared" si="2"/>
        <v>62893.509999999995</v>
      </c>
      <c r="R17" s="34">
        <f t="shared" si="2"/>
        <v>62938.29</v>
      </c>
      <c r="S17" s="34">
        <f t="shared" si="2"/>
        <v>62983.07</v>
      </c>
      <c r="T17" s="34">
        <f t="shared" si="2"/>
        <v>63027.85</v>
      </c>
      <c r="U17" s="34">
        <f t="shared" si="2"/>
        <v>63072.63</v>
      </c>
      <c r="V17" s="34">
        <f t="shared" si="2"/>
        <v>63117.41</v>
      </c>
      <c r="W17" s="34">
        <f t="shared" si="2"/>
        <v>63162.189999999995</v>
      </c>
      <c r="X17" s="34">
        <f t="shared" si="2"/>
        <v>63206.970000000008</v>
      </c>
      <c r="Y17" s="34">
        <f t="shared" si="2"/>
        <v>63251.75</v>
      </c>
      <c r="Z17" s="34">
        <f t="shared" si="2"/>
        <v>63296.53</v>
      </c>
      <c r="AA17" s="34">
        <f t="shared" si="2"/>
        <v>63341.31</v>
      </c>
      <c r="AB17" s="34">
        <f t="shared" si="2"/>
        <v>63386.09</v>
      </c>
      <c r="AC17" s="34">
        <f t="shared" si="2"/>
        <v>63430.869999999995</v>
      </c>
      <c r="AD17" s="34">
        <f t="shared" si="2"/>
        <v>63475.65</v>
      </c>
    </row>
    <row r="18" spans="1:30" x14ac:dyDescent="0.25">
      <c r="A18" s="35" t="s">
        <v>456</v>
      </c>
      <c r="B18" s="36">
        <f>B16*$N$5</f>
        <v>35404.46</v>
      </c>
      <c r="C18" s="36">
        <f t="shared" ref="C18:AD18" si="3">C16*$N$5</f>
        <v>35429.94</v>
      </c>
      <c r="D18" s="36">
        <f t="shared" si="3"/>
        <v>35455.42</v>
      </c>
      <c r="E18" s="36">
        <f t="shared" si="3"/>
        <v>35480.9</v>
      </c>
      <c r="F18" s="36">
        <f t="shared" si="3"/>
        <v>35506.379999999997</v>
      </c>
      <c r="G18" s="36">
        <f t="shared" si="3"/>
        <v>35531.86</v>
      </c>
      <c r="H18" s="36">
        <f t="shared" si="3"/>
        <v>35557.340000000004</v>
      </c>
      <c r="I18" s="36">
        <f t="shared" si="3"/>
        <v>35582.82</v>
      </c>
      <c r="J18" s="36">
        <f t="shared" si="3"/>
        <v>35608.300000000003</v>
      </c>
      <c r="K18" s="36">
        <f t="shared" si="3"/>
        <v>35633.78</v>
      </c>
      <c r="L18" s="36">
        <f t="shared" si="3"/>
        <v>35659.26</v>
      </c>
      <c r="M18" s="36">
        <f t="shared" si="3"/>
        <v>35684.74</v>
      </c>
      <c r="N18" s="36">
        <f t="shared" si="3"/>
        <v>35710.22</v>
      </c>
      <c r="O18" s="36">
        <f t="shared" si="3"/>
        <v>35735.699999999997</v>
      </c>
      <c r="P18" s="36">
        <f t="shared" si="3"/>
        <v>35761.18</v>
      </c>
      <c r="Q18" s="36">
        <f t="shared" si="3"/>
        <v>35786.660000000003</v>
      </c>
      <c r="R18" s="36">
        <f t="shared" si="3"/>
        <v>35812.14</v>
      </c>
      <c r="S18" s="36">
        <f t="shared" si="3"/>
        <v>35837.620000000003</v>
      </c>
      <c r="T18" s="36">
        <f t="shared" si="3"/>
        <v>35863.1</v>
      </c>
      <c r="U18" s="36">
        <f t="shared" si="3"/>
        <v>35888.58</v>
      </c>
      <c r="V18" s="36">
        <f t="shared" si="3"/>
        <v>35914.06</v>
      </c>
      <c r="W18" s="36">
        <f t="shared" si="3"/>
        <v>35939.54</v>
      </c>
      <c r="X18" s="36">
        <f t="shared" si="3"/>
        <v>35965.020000000004</v>
      </c>
      <c r="Y18" s="36">
        <f t="shared" si="3"/>
        <v>35990.5</v>
      </c>
      <c r="Z18" s="36">
        <f t="shared" si="3"/>
        <v>36015.980000000003</v>
      </c>
      <c r="AA18" s="36">
        <f t="shared" si="3"/>
        <v>36041.46</v>
      </c>
      <c r="AB18" s="36">
        <f t="shared" si="3"/>
        <v>36066.94</v>
      </c>
      <c r="AC18" s="36">
        <f t="shared" si="3"/>
        <v>36092.42</v>
      </c>
      <c r="AD18" s="36">
        <f t="shared" si="3"/>
        <v>36117.9</v>
      </c>
    </row>
    <row r="19" spans="1:30" x14ac:dyDescent="0.25">
      <c r="A19" s="35" t="s">
        <v>457</v>
      </c>
      <c r="B19" s="36">
        <f>B16*$O$5</f>
        <v>13589.31</v>
      </c>
      <c r="C19" s="36">
        <f t="shared" ref="C19:AD19" si="4">C16*$O$5</f>
        <v>13599.089999999998</v>
      </c>
      <c r="D19" s="36">
        <f t="shared" si="4"/>
        <v>13608.869999999999</v>
      </c>
      <c r="E19" s="36">
        <f t="shared" si="4"/>
        <v>13618.65</v>
      </c>
      <c r="F19" s="36">
        <f t="shared" si="4"/>
        <v>13628.429999999998</v>
      </c>
      <c r="G19" s="36">
        <f t="shared" si="4"/>
        <v>13638.21</v>
      </c>
      <c r="H19" s="36">
        <f t="shared" si="4"/>
        <v>13647.99</v>
      </c>
      <c r="I19" s="36">
        <f t="shared" si="4"/>
        <v>13657.769999999999</v>
      </c>
      <c r="J19" s="36">
        <f t="shared" si="4"/>
        <v>13667.55</v>
      </c>
      <c r="K19" s="36">
        <f t="shared" si="4"/>
        <v>13677.33</v>
      </c>
      <c r="L19" s="36">
        <f t="shared" si="4"/>
        <v>13687.109999999999</v>
      </c>
      <c r="M19" s="36">
        <f t="shared" si="4"/>
        <v>13696.89</v>
      </c>
      <c r="N19" s="36">
        <f t="shared" si="4"/>
        <v>13706.669999999998</v>
      </c>
      <c r="O19" s="36">
        <f t="shared" si="4"/>
        <v>13716.449999999999</v>
      </c>
      <c r="P19" s="36">
        <f t="shared" si="4"/>
        <v>13726.23</v>
      </c>
      <c r="Q19" s="36">
        <f t="shared" si="4"/>
        <v>13736.009999999998</v>
      </c>
      <c r="R19" s="36">
        <f t="shared" si="4"/>
        <v>13745.789999999999</v>
      </c>
      <c r="S19" s="36">
        <f t="shared" si="4"/>
        <v>13755.57</v>
      </c>
      <c r="T19" s="36">
        <f t="shared" si="4"/>
        <v>13765.349999999999</v>
      </c>
      <c r="U19" s="36">
        <f t="shared" si="4"/>
        <v>13775.13</v>
      </c>
      <c r="V19" s="36">
        <f t="shared" si="4"/>
        <v>13784.91</v>
      </c>
      <c r="W19" s="36">
        <f t="shared" si="4"/>
        <v>13794.689999999999</v>
      </c>
      <c r="X19" s="36">
        <f t="shared" si="4"/>
        <v>13804.47</v>
      </c>
      <c r="Y19" s="36">
        <f t="shared" si="4"/>
        <v>13814.25</v>
      </c>
      <c r="Z19" s="36">
        <f t="shared" si="4"/>
        <v>13824.029999999999</v>
      </c>
      <c r="AA19" s="36">
        <f t="shared" si="4"/>
        <v>13833.81</v>
      </c>
      <c r="AB19" s="36">
        <f t="shared" si="4"/>
        <v>13843.589999999998</v>
      </c>
      <c r="AC19" s="36">
        <f t="shared" si="4"/>
        <v>13853.369999999999</v>
      </c>
      <c r="AD19" s="36">
        <f t="shared" si="4"/>
        <v>13863.15</v>
      </c>
    </row>
    <row r="20" spans="1:30" x14ac:dyDescent="0.25">
      <c r="A20" s="35" t="s">
        <v>458</v>
      </c>
      <c r="B20" s="36">
        <f>B16*$P$5</f>
        <v>11810.75</v>
      </c>
      <c r="C20" s="36">
        <f t="shared" ref="C20:AD20" si="5">C16*$P$5</f>
        <v>11819.25</v>
      </c>
      <c r="D20" s="36">
        <f t="shared" si="5"/>
        <v>11827.75</v>
      </c>
      <c r="E20" s="36">
        <f t="shared" si="5"/>
        <v>11836.25</v>
      </c>
      <c r="F20" s="36">
        <f t="shared" si="5"/>
        <v>11844.75</v>
      </c>
      <c r="G20" s="36">
        <f t="shared" si="5"/>
        <v>11853.25</v>
      </c>
      <c r="H20" s="36">
        <f t="shared" si="5"/>
        <v>11861.75</v>
      </c>
      <c r="I20" s="36">
        <f t="shared" si="5"/>
        <v>11870.25</v>
      </c>
      <c r="J20" s="36">
        <f t="shared" si="5"/>
        <v>11878.75</v>
      </c>
      <c r="K20" s="36">
        <f t="shared" si="5"/>
        <v>11887.25</v>
      </c>
      <c r="L20" s="36">
        <f t="shared" si="5"/>
        <v>11895.75</v>
      </c>
      <c r="M20" s="36">
        <f t="shared" si="5"/>
        <v>11904.25</v>
      </c>
      <c r="N20" s="36">
        <f t="shared" si="5"/>
        <v>11912.75</v>
      </c>
      <c r="O20" s="36">
        <f t="shared" si="5"/>
        <v>11921.25</v>
      </c>
      <c r="P20" s="36">
        <f t="shared" si="5"/>
        <v>11929.75</v>
      </c>
      <c r="Q20" s="36">
        <f t="shared" si="5"/>
        <v>11938.25</v>
      </c>
      <c r="R20" s="36">
        <f t="shared" si="5"/>
        <v>11946.75</v>
      </c>
      <c r="S20" s="36">
        <f t="shared" si="5"/>
        <v>11955.25</v>
      </c>
      <c r="T20" s="36">
        <f t="shared" si="5"/>
        <v>11963.75</v>
      </c>
      <c r="U20" s="36">
        <f t="shared" si="5"/>
        <v>11972.25</v>
      </c>
      <c r="V20" s="36">
        <f t="shared" si="5"/>
        <v>11980.75</v>
      </c>
      <c r="W20" s="36">
        <f t="shared" si="5"/>
        <v>11989.25</v>
      </c>
      <c r="X20" s="36">
        <f t="shared" si="5"/>
        <v>11997.75</v>
      </c>
      <c r="Y20" s="36">
        <f t="shared" si="5"/>
        <v>12006.25</v>
      </c>
      <c r="Z20" s="36">
        <f t="shared" si="5"/>
        <v>12014.75</v>
      </c>
      <c r="AA20" s="36">
        <f t="shared" si="5"/>
        <v>12023.25</v>
      </c>
      <c r="AB20" s="36">
        <f t="shared" si="5"/>
        <v>12031.75</v>
      </c>
      <c r="AC20" s="36">
        <f t="shared" si="5"/>
        <v>12040.25</v>
      </c>
      <c r="AD20" s="36">
        <f t="shared" si="5"/>
        <v>12048.75</v>
      </c>
    </row>
    <row r="21" spans="1:30" x14ac:dyDescent="0.25">
      <c r="A21" s="35" t="s">
        <v>459</v>
      </c>
      <c r="B21" s="36">
        <f>B16*$Q$5</f>
        <v>1417.29</v>
      </c>
      <c r="C21" s="36">
        <f t="shared" ref="C21:AD21" si="6">C16*$Q$5</f>
        <v>1418.31</v>
      </c>
      <c r="D21" s="36">
        <f t="shared" si="6"/>
        <v>1419.33</v>
      </c>
      <c r="E21" s="36">
        <f t="shared" si="6"/>
        <v>1420.3500000000001</v>
      </c>
      <c r="F21" s="36">
        <f t="shared" si="6"/>
        <v>1421.3700000000001</v>
      </c>
      <c r="G21" s="36">
        <f t="shared" si="6"/>
        <v>1422.39</v>
      </c>
      <c r="H21" s="36">
        <f t="shared" si="6"/>
        <v>1423.41</v>
      </c>
      <c r="I21" s="36">
        <f t="shared" si="6"/>
        <v>1424.43</v>
      </c>
      <c r="J21" s="36">
        <f t="shared" si="6"/>
        <v>1425.45</v>
      </c>
      <c r="K21" s="36">
        <f t="shared" si="6"/>
        <v>1426.47</v>
      </c>
      <c r="L21" s="36">
        <f t="shared" si="6"/>
        <v>1427.49</v>
      </c>
      <c r="M21" s="36">
        <f t="shared" si="6"/>
        <v>1428.51</v>
      </c>
      <c r="N21" s="36">
        <f t="shared" si="6"/>
        <v>1429.53</v>
      </c>
      <c r="O21" s="36">
        <f t="shared" si="6"/>
        <v>1430.55</v>
      </c>
      <c r="P21" s="36">
        <f t="shared" si="6"/>
        <v>1431.57</v>
      </c>
      <c r="Q21" s="36">
        <f t="shared" si="6"/>
        <v>1432.59</v>
      </c>
      <c r="R21" s="36">
        <f t="shared" si="6"/>
        <v>1433.6100000000001</v>
      </c>
      <c r="S21" s="36">
        <f t="shared" si="6"/>
        <v>1434.63</v>
      </c>
      <c r="T21" s="36">
        <f t="shared" si="6"/>
        <v>1435.65</v>
      </c>
      <c r="U21" s="36">
        <f t="shared" si="6"/>
        <v>1436.67</v>
      </c>
      <c r="V21" s="36">
        <f t="shared" si="6"/>
        <v>1437.69</v>
      </c>
      <c r="W21" s="36">
        <f t="shared" si="6"/>
        <v>1438.71</v>
      </c>
      <c r="X21" s="36">
        <f t="shared" si="6"/>
        <v>1439.73</v>
      </c>
      <c r="Y21" s="36">
        <f t="shared" si="6"/>
        <v>1440.75</v>
      </c>
      <c r="Z21" s="36">
        <f t="shared" si="6"/>
        <v>1441.77</v>
      </c>
      <c r="AA21" s="36">
        <f t="shared" si="6"/>
        <v>1442.79</v>
      </c>
      <c r="AB21" s="36">
        <f t="shared" si="6"/>
        <v>1443.81</v>
      </c>
      <c r="AC21" s="36">
        <f t="shared" si="6"/>
        <v>1444.83</v>
      </c>
      <c r="AD21" s="36">
        <f t="shared" si="6"/>
        <v>1445.8500000000001</v>
      </c>
    </row>
    <row r="22" spans="1:30" x14ac:dyDescent="0.25">
      <c r="A22" s="35" t="s">
        <v>460</v>
      </c>
      <c r="B22" s="36">
        <f t="shared" ref="B22:AD22" si="7">MIN(B$18,$C$4)</f>
        <v>35404.46</v>
      </c>
      <c r="C22" s="36">
        <f t="shared" si="7"/>
        <v>35404.46</v>
      </c>
      <c r="D22" s="36">
        <f t="shared" si="7"/>
        <v>35404.46</v>
      </c>
      <c r="E22" s="36">
        <f t="shared" si="7"/>
        <v>35404.46</v>
      </c>
      <c r="F22" s="36">
        <f t="shared" si="7"/>
        <v>35404.46</v>
      </c>
      <c r="G22" s="36">
        <f t="shared" si="7"/>
        <v>35404.46</v>
      </c>
      <c r="H22" s="36">
        <f t="shared" si="7"/>
        <v>35404.46</v>
      </c>
      <c r="I22" s="36">
        <f t="shared" si="7"/>
        <v>35404.46</v>
      </c>
      <c r="J22" s="36">
        <f t="shared" si="7"/>
        <v>35404.46</v>
      </c>
      <c r="K22" s="36">
        <f t="shared" si="7"/>
        <v>35404.46</v>
      </c>
      <c r="L22" s="36">
        <f t="shared" si="7"/>
        <v>35404.46</v>
      </c>
      <c r="M22" s="36">
        <f t="shared" si="7"/>
        <v>35404.46</v>
      </c>
      <c r="N22" s="36">
        <f t="shared" si="7"/>
        <v>35404.46</v>
      </c>
      <c r="O22" s="36">
        <f t="shared" si="7"/>
        <v>35404.46</v>
      </c>
      <c r="P22" s="36">
        <f t="shared" si="7"/>
        <v>35404.46</v>
      </c>
      <c r="Q22" s="36">
        <f t="shared" si="7"/>
        <v>35404.46</v>
      </c>
      <c r="R22" s="36">
        <f t="shared" si="7"/>
        <v>35404.46</v>
      </c>
      <c r="S22" s="36">
        <f t="shared" si="7"/>
        <v>35404.46</v>
      </c>
      <c r="T22" s="36">
        <f t="shared" si="7"/>
        <v>35404.46</v>
      </c>
      <c r="U22" s="36">
        <f t="shared" si="7"/>
        <v>35404.46</v>
      </c>
      <c r="V22" s="36">
        <f t="shared" si="7"/>
        <v>35404.46</v>
      </c>
      <c r="W22" s="36">
        <f t="shared" si="7"/>
        <v>35404.46</v>
      </c>
      <c r="X22" s="36">
        <f t="shared" si="7"/>
        <v>35404.46</v>
      </c>
      <c r="Y22" s="36">
        <f t="shared" si="7"/>
        <v>35404.46</v>
      </c>
      <c r="Z22" s="36">
        <f t="shared" si="7"/>
        <v>35404.46</v>
      </c>
      <c r="AA22" s="36">
        <f t="shared" si="7"/>
        <v>35404.46</v>
      </c>
      <c r="AB22" s="36">
        <f t="shared" si="7"/>
        <v>35404.46</v>
      </c>
      <c r="AC22" s="36">
        <f t="shared" si="7"/>
        <v>35404.46</v>
      </c>
      <c r="AD22" s="36">
        <f t="shared" si="7"/>
        <v>35404.46</v>
      </c>
    </row>
    <row r="23" spans="1:30" x14ac:dyDescent="0.25">
      <c r="A23" s="35" t="s">
        <v>461</v>
      </c>
      <c r="B23" s="36">
        <f t="shared" ref="B23:AD23" si="8">MIN(B$19,$C$5)</f>
        <v>13589.31</v>
      </c>
      <c r="C23" s="36">
        <f t="shared" si="8"/>
        <v>13589.31</v>
      </c>
      <c r="D23" s="36">
        <f t="shared" si="8"/>
        <v>13589.31</v>
      </c>
      <c r="E23" s="36">
        <f t="shared" si="8"/>
        <v>13589.31</v>
      </c>
      <c r="F23" s="36">
        <f t="shared" si="8"/>
        <v>13589.31</v>
      </c>
      <c r="G23" s="36">
        <f t="shared" si="8"/>
        <v>13589.31</v>
      </c>
      <c r="H23" s="36">
        <f t="shared" si="8"/>
        <v>13589.31</v>
      </c>
      <c r="I23" s="36">
        <f t="shared" si="8"/>
        <v>13589.31</v>
      </c>
      <c r="J23" s="36">
        <f t="shared" si="8"/>
        <v>13589.31</v>
      </c>
      <c r="K23" s="36">
        <f t="shared" si="8"/>
        <v>13589.31</v>
      </c>
      <c r="L23" s="36">
        <f t="shared" si="8"/>
        <v>13589.31</v>
      </c>
      <c r="M23" s="36">
        <f t="shared" si="8"/>
        <v>13589.31</v>
      </c>
      <c r="N23" s="36">
        <f t="shared" si="8"/>
        <v>13589.31</v>
      </c>
      <c r="O23" s="36">
        <f t="shared" si="8"/>
        <v>13589.31</v>
      </c>
      <c r="P23" s="36">
        <f t="shared" si="8"/>
        <v>13589.31</v>
      </c>
      <c r="Q23" s="36">
        <f t="shared" si="8"/>
        <v>13589.31</v>
      </c>
      <c r="R23" s="36">
        <f t="shared" si="8"/>
        <v>13589.31</v>
      </c>
      <c r="S23" s="36">
        <f t="shared" si="8"/>
        <v>13589.31</v>
      </c>
      <c r="T23" s="36">
        <f t="shared" si="8"/>
        <v>13589.31</v>
      </c>
      <c r="U23" s="36">
        <f t="shared" si="8"/>
        <v>13589.31</v>
      </c>
      <c r="V23" s="36">
        <f t="shared" si="8"/>
        <v>13589.31</v>
      </c>
      <c r="W23" s="36">
        <f t="shared" si="8"/>
        <v>13589.31</v>
      </c>
      <c r="X23" s="36">
        <f t="shared" si="8"/>
        <v>13589.31</v>
      </c>
      <c r="Y23" s="36">
        <f t="shared" si="8"/>
        <v>13589.31</v>
      </c>
      <c r="Z23" s="36">
        <f t="shared" si="8"/>
        <v>13589.31</v>
      </c>
      <c r="AA23" s="36">
        <f t="shared" si="8"/>
        <v>13589.31</v>
      </c>
      <c r="AB23" s="36">
        <f t="shared" si="8"/>
        <v>13589.31</v>
      </c>
      <c r="AC23" s="36">
        <f t="shared" si="8"/>
        <v>13589.31</v>
      </c>
      <c r="AD23" s="36">
        <f t="shared" si="8"/>
        <v>13589.31</v>
      </c>
    </row>
    <row r="24" spans="1:30" x14ac:dyDescent="0.25">
      <c r="A24" s="35" t="s">
        <v>462</v>
      </c>
      <c r="B24" s="36">
        <f t="shared" ref="B24:AD24" si="9">MIN(B$20,$C$6)</f>
        <v>11810.75</v>
      </c>
      <c r="C24" s="36">
        <f t="shared" si="9"/>
        <v>11810.75</v>
      </c>
      <c r="D24" s="36">
        <f t="shared" si="9"/>
        <v>11810.75</v>
      </c>
      <c r="E24" s="36">
        <f t="shared" si="9"/>
        <v>11810.75</v>
      </c>
      <c r="F24" s="36">
        <f t="shared" si="9"/>
        <v>11810.75</v>
      </c>
      <c r="G24" s="36">
        <f t="shared" si="9"/>
        <v>11810.75</v>
      </c>
      <c r="H24" s="36">
        <f t="shared" si="9"/>
        <v>11810.75</v>
      </c>
      <c r="I24" s="36">
        <f t="shared" si="9"/>
        <v>11810.75</v>
      </c>
      <c r="J24" s="36">
        <f t="shared" si="9"/>
        <v>11810.75</v>
      </c>
      <c r="K24" s="36">
        <f t="shared" si="9"/>
        <v>11810.75</v>
      </c>
      <c r="L24" s="36">
        <f t="shared" si="9"/>
        <v>11810.75</v>
      </c>
      <c r="M24" s="36">
        <f t="shared" si="9"/>
        <v>11810.75</v>
      </c>
      <c r="N24" s="36">
        <f t="shared" si="9"/>
        <v>11810.75</v>
      </c>
      <c r="O24" s="36">
        <f t="shared" si="9"/>
        <v>11810.75</v>
      </c>
      <c r="P24" s="36">
        <f t="shared" si="9"/>
        <v>11810.75</v>
      </c>
      <c r="Q24" s="36">
        <f t="shared" si="9"/>
        <v>11810.75</v>
      </c>
      <c r="R24" s="36">
        <f t="shared" si="9"/>
        <v>11810.75</v>
      </c>
      <c r="S24" s="36">
        <f t="shared" si="9"/>
        <v>11810.75</v>
      </c>
      <c r="T24" s="36">
        <f t="shared" si="9"/>
        <v>11810.75</v>
      </c>
      <c r="U24" s="36">
        <f t="shared" si="9"/>
        <v>11810.75</v>
      </c>
      <c r="V24" s="36">
        <f t="shared" si="9"/>
        <v>11810.75</v>
      </c>
      <c r="W24" s="36">
        <f t="shared" si="9"/>
        <v>11810.75</v>
      </c>
      <c r="X24" s="36">
        <f t="shared" si="9"/>
        <v>11810.75</v>
      </c>
      <c r="Y24" s="36">
        <f t="shared" si="9"/>
        <v>11810.75</v>
      </c>
      <c r="Z24" s="36">
        <f t="shared" si="9"/>
        <v>11810.75</v>
      </c>
      <c r="AA24" s="36">
        <f t="shared" si="9"/>
        <v>11810.75</v>
      </c>
      <c r="AB24" s="36">
        <f t="shared" si="9"/>
        <v>11810.75</v>
      </c>
      <c r="AC24" s="36">
        <f t="shared" si="9"/>
        <v>11810.75</v>
      </c>
      <c r="AD24" s="36">
        <f t="shared" si="9"/>
        <v>11810.75</v>
      </c>
    </row>
    <row r="25" spans="1:30" x14ac:dyDescent="0.25">
      <c r="A25" s="35" t="s">
        <v>463</v>
      </c>
      <c r="B25" s="36">
        <f t="shared" ref="B25:AD25" si="10">MIN(B$21,$C$7)</f>
        <v>1417.29</v>
      </c>
      <c r="C25" s="36">
        <f t="shared" si="10"/>
        <v>1417.29</v>
      </c>
      <c r="D25" s="36">
        <f t="shared" si="10"/>
        <v>1417.29</v>
      </c>
      <c r="E25" s="36">
        <f t="shared" si="10"/>
        <v>1417.29</v>
      </c>
      <c r="F25" s="36">
        <f t="shared" si="10"/>
        <v>1417.29</v>
      </c>
      <c r="G25" s="36">
        <f t="shared" si="10"/>
        <v>1417.29</v>
      </c>
      <c r="H25" s="36">
        <f t="shared" si="10"/>
        <v>1417.29</v>
      </c>
      <c r="I25" s="36">
        <f t="shared" si="10"/>
        <v>1417.29</v>
      </c>
      <c r="J25" s="36">
        <f t="shared" si="10"/>
        <v>1417.29</v>
      </c>
      <c r="K25" s="36">
        <f t="shared" si="10"/>
        <v>1417.29</v>
      </c>
      <c r="L25" s="36">
        <f t="shared" si="10"/>
        <v>1417.29</v>
      </c>
      <c r="M25" s="36">
        <f t="shared" si="10"/>
        <v>1417.29</v>
      </c>
      <c r="N25" s="36">
        <f t="shared" si="10"/>
        <v>1417.29</v>
      </c>
      <c r="O25" s="36">
        <f t="shared" si="10"/>
        <v>1417.29</v>
      </c>
      <c r="P25" s="36">
        <f t="shared" si="10"/>
        <v>1417.29</v>
      </c>
      <c r="Q25" s="36">
        <f t="shared" si="10"/>
        <v>1417.29</v>
      </c>
      <c r="R25" s="36">
        <f t="shared" si="10"/>
        <v>1417.29</v>
      </c>
      <c r="S25" s="36">
        <f t="shared" si="10"/>
        <v>1417.29</v>
      </c>
      <c r="T25" s="36">
        <f t="shared" si="10"/>
        <v>1417.29</v>
      </c>
      <c r="U25" s="36">
        <f t="shared" si="10"/>
        <v>1417.29</v>
      </c>
      <c r="V25" s="36">
        <f t="shared" si="10"/>
        <v>1417.29</v>
      </c>
      <c r="W25" s="36">
        <f t="shared" si="10"/>
        <v>1417.29</v>
      </c>
      <c r="X25" s="36">
        <f t="shared" si="10"/>
        <v>1417.29</v>
      </c>
      <c r="Y25" s="36">
        <f t="shared" si="10"/>
        <v>1417.29</v>
      </c>
      <c r="Z25" s="36">
        <f t="shared" si="10"/>
        <v>1417.29</v>
      </c>
      <c r="AA25" s="36">
        <f t="shared" si="10"/>
        <v>1417.29</v>
      </c>
      <c r="AB25" s="36">
        <f t="shared" si="10"/>
        <v>1417.29</v>
      </c>
      <c r="AC25" s="36">
        <f t="shared" si="10"/>
        <v>1417.29</v>
      </c>
      <c r="AD25" s="36">
        <f t="shared" si="10"/>
        <v>1417.29</v>
      </c>
    </row>
    <row r="26" spans="1:30" x14ac:dyDescent="0.25">
      <c r="A26" s="37" t="s">
        <v>464</v>
      </c>
      <c r="B26" s="38">
        <v>0</v>
      </c>
      <c r="C26" s="38">
        <f>IF(C22&gt;$B$4,(C22-$B$4)*$H$4,0)</f>
        <v>13499.219999999994</v>
      </c>
      <c r="D26" s="38">
        <v>0</v>
      </c>
      <c r="E26" s="38">
        <f>IF(E22&gt;$B$4,(E22-$B$4)*$H$4,0)</f>
        <v>13499.219999999994</v>
      </c>
      <c r="F26" s="38">
        <v>0</v>
      </c>
      <c r="G26" s="38">
        <f>IF(G22&gt;$B$4,(G22-$B$4)*$H$4,0)</f>
        <v>13499.219999999994</v>
      </c>
      <c r="H26" s="38">
        <v>0</v>
      </c>
      <c r="I26" s="38">
        <v>0</v>
      </c>
      <c r="J26" s="38">
        <f>IF(J22&gt;$B$4,(J22-$B$4)*$H$4,0)</f>
        <v>13499.219999999994</v>
      </c>
      <c r="K26" s="38">
        <v>0</v>
      </c>
      <c r="L26" s="38">
        <f>IF(L22&gt;$B$4,(L22-$B$4)*$H$4,0)</f>
        <v>13499.219999999994</v>
      </c>
      <c r="M26" s="38">
        <v>0</v>
      </c>
      <c r="N26" s="38">
        <f>IF(N22&gt;$B$4,(N22-$B$4)*$H$4,0)</f>
        <v>13499.219999999994</v>
      </c>
      <c r="O26" s="38">
        <v>0</v>
      </c>
      <c r="P26" s="38">
        <f>IF(P22&gt;$B$4,(P22-$B$4)*$H$4,0)</f>
        <v>13499.219999999994</v>
      </c>
      <c r="Q26" s="38">
        <v>0</v>
      </c>
      <c r="R26" s="38">
        <f>IF(R22&gt;$B$4,(R22-$B$4)*$H$4,0)</f>
        <v>13499.219999999994</v>
      </c>
      <c r="S26" s="38">
        <v>0</v>
      </c>
      <c r="T26" s="38">
        <f>IF(T22&gt;$B$4,(T22-$B$4)*$H$4,0)</f>
        <v>13499.219999999994</v>
      </c>
      <c r="U26" s="38">
        <v>0</v>
      </c>
      <c r="V26" s="38">
        <f>IF(V22&gt;$B$4,(V22-$B$4)*$H$4,0)</f>
        <v>13499.219999999994</v>
      </c>
      <c r="W26" s="38">
        <v>0</v>
      </c>
      <c r="X26" s="38">
        <f>IF(X22&gt;$B$4,(X22-$B$4)*$H$4,0)</f>
        <v>13499.219999999994</v>
      </c>
      <c r="Y26" s="38">
        <v>0</v>
      </c>
      <c r="Z26" s="38">
        <f>IF(Z22&gt;$B$4,(Z22-$B$4)*$H$4,0)</f>
        <v>13499.219999999994</v>
      </c>
      <c r="AA26" s="38">
        <v>0</v>
      </c>
      <c r="AB26" s="38">
        <f>IF(AB22&gt;$B$4,(AB22-$B$4)*$H$4,0)</f>
        <v>13499.219999999994</v>
      </c>
      <c r="AC26" s="38">
        <v>0</v>
      </c>
      <c r="AD26" s="38">
        <f>IF(AD22&gt;$B$4,(AD22-$B$4)*$H$4,0)</f>
        <v>13499.219999999994</v>
      </c>
    </row>
    <row r="27" spans="1:30" x14ac:dyDescent="0.25">
      <c r="A27" s="37" t="s">
        <v>465</v>
      </c>
      <c r="B27" s="38">
        <v>0</v>
      </c>
      <c r="C27" s="38">
        <f>IF(C23&gt;$B$5,(C23-$B$5)*$H$5,0)</f>
        <v>9523.0999999999949</v>
      </c>
      <c r="D27" s="38">
        <v>0</v>
      </c>
      <c r="E27" s="38">
        <f>IF(E23&gt;$B$5,(E23-$B$5)*$H$5,0)</f>
        <v>9523.0999999999949</v>
      </c>
      <c r="F27" s="38">
        <v>0</v>
      </c>
      <c r="G27" s="38">
        <f>IF(G23&gt;$B$5,(G23-$B$5)*$H$5,0)</f>
        <v>9523.0999999999949</v>
      </c>
      <c r="H27" s="38">
        <v>0</v>
      </c>
      <c r="I27" s="38">
        <v>0</v>
      </c>
      <c r="J27" s="38">
        <f>IF(J23&gt;$B$5,(J23-$B$5)*$H$5,0)</f>
        <v>9523.0999999999949</v>
      </c>
      <c r="K27" s="38">
        <v>0</v>
      </c>
      <c r="L27" s="38">
        <f>IF(L23&gt;$B$5,(L23-$B$5)*$H$5,0)</f>
        <v>9523.0999999999949</v>
      </c>
      <c r="M27" s="38">
        <v>0</v>
      </c>
      <c r="N27" s="38">
        <f>IF(N23&gt;$B$5,(N23-$B$5)*$H$5,0)</f>
        <v>9523.0999999999949</v>
      </c>
      <c r="O27" s="38">
        <v>0</v>
      </c>
      <c r="P27" s="38">
        <f>IF(P23&gt;$B$5,(P23-$B$5)*$H$5,0)</f>
        <v>9523.0999999999949</v>
      </c>
      <c r="Q27" s="38">
        <v>0</v>
      </c>
      <c r="R27" s="38">
        <f>IF(R23&gt;$B$5,(R23-$B$5)*$H$5,0)</f>
        <v>9523.0999999999949</v>
      </c>
      <c r="S27" s="38">
        <v>0</v>
      </c>
      <c r="T27" s="38">
        <f>IF(T23&gt;$B$5,(T23-$B$5)*$H$5,0)</f>
        <v>9523.0999999999949</v>
      </c>
      <c r="U27" s="38">
        <v>0</v>
      </c>
      <c r="V27" s="38">
        <f>IF(V23&gt;$B$5,(V23-$B$5)*$H$5,0)</f>
        <v>9523.0999999999949</v>
      </c>
      <c r="W27" s="38">
        <v>0</v>
      </c>
      <c r="X27" s="38">
        <f>IF(X23&gt;$B$5,(X23-$B$5)*$H$5,0)</f>
        <v>9523.0999999999949</v>
      </c>
      <c r="Y27" s="38">
        <v>0</v>
      </c>
      <c r="Z27" s="38">
        <f>IF(Z23&gt;$B$5,(Z23-$B$5)*$H$5,0)</f>
        <v>9523.0999999999949</v>
      </c>
      <c r="AA27" s="38">
        <v>0</v>
      </c>
      <c r="AB27" s="38">
        <f>IF(AB23&gt;$B$5,(AB23-$B$5)*$H$5,0)</f>
        <v>9523.0999999999949</v>
      </c>
      <c r="AC27" s="38">
        <v>0</v>
      </c>
      <c r="AD27" s="38">
        <f>IF(AD23&gt;$B$5,(AD23-$B$5)*$H$5,0)</f>
        <v>9523.0999999999949</v>
      </c>
    </row>
    <row r="28" spans="1:30" x14ac:dyDescent="0.25">
      <c r="A28" s="37" t="s">
        <v>466</v>
      </c>
      <c r="B28" s="38">
        <v>0</v>
      </c>
      <c r="C28" s="38">
        <f>IF(C24&gt;$B$6,(C24-$B$6)*$H$6,0)</f>
        <v>20876.25</v>
      </c>
      <c r="D28" s="38">
        <v>0</v>
      </c>
      <c r="E28" s="38">
        <f>IF(E24&gt;$B$6,(E24-$B$6)*$H$6,0)</f>
        <v>20876.25</v>
      </c>
      <c r="F28" s="38">
        <v>0</v>
      </c>
      <c r="G28" s="38">
        <f>IF(G24&gt;$B$6,(G24-$B$6)*$H$6,0)</f>
        <v>20876.25</v>
      </c>
      <c r="H28" s="38">
        <v>0</v>
      </c>
      <c r="I28" s="38">
        <v>0</v>
      </c>
      <c r="J28" s="38">
        <f>IF(J24&gt;$B$6,(J24-$B$6)*$H$6,0)</f>
        <v>20876.25</v>
      </c>
      <c r="K28" s="38">
        <v>0</v>
      </c>
      <c r="L28" s="38">
        <f>IF(L24&gt;$B$6,(L24-$B$6)*$H$6,0)</f>
        <v>20876.25</v>
      </c>
      <c r="M28" s="38">
        <v>0</v>
      </c>
      <c r="N28" s="38">
        <f>IF(N24&gt;$B$6,(N24-$B$6)*$H$6,0)</f>
        <v>20876.25</v>
      </c>
      <c r="O28" s="38">
        <v>0</v>
      </c>
      <c r="P28" s="38">
        <f>IF(P24&gt;$B$6,(P24-$B$6)*$H$6,0)</f>
        <v>20876.25</v>
      </c>
      <c r="Q28" s="38">
        <v>0</v>
      </c>
      <c r="R28" s="38">
        <f>IF(R24&gt;$B$6,(R24-$B$6)*$H$6,0)</f>
        <v>20876.25</v>
      </c>
      <c r="S28" s="38">
        <v>0</v>
      </c>
      <c r="T28" s="38">
        <f>IF(T24&gt;$B$6,(T24-$B$6)*$H$6,0)</f>
        <v>20876.25</v>
      </c>
      <c r="U28" s="38">
        <v>0</v>
      </c>
      <c r="V28" s="38">
        <f>IF(V24&gt;$B$6,(V24-$B$6)*$H$6,0)</f>
        <v>20876.25</v>
      </c>
      <c r="W28" s="38">
        <v>0</v>
      </c>
      <c r="X28" s="38">
        <f>IF(X24&gt;$B$6,(X24-$B$6)*$H$6,0)</f>
        <v>20876.25</v>
      </c>
      <c r="Y28" s="38">
        <v>0</v>
      </c>
      <c r="Z28" s="38">
        <f>IF(Z24&gt;$B$6,(Z24-$B$6)*$H$6,0)</f>
        <v>20876.25</v>
      </c>
      <c r="AA28" s="38">
        <v>0</v>
      </c>
      <c r="AB28" s="38">
        <f>IF(AB24&gt;$B$6,(AB24-$B$6)*$H$6,0)</f>
        <v>20876.25</v>
      </c>
      <c r="AC28" s="38">
        <v>0</v>
      </c>
      <c r="AD28" s="38">
        <f>IF(AD24&gt;$B$6,(AD24-$B$6)*$H$6,0)</f>
        <v>20876.25</v>
      </c>
    </row>
    <row r="29" spans="1:30" x14ac:dyDescent="0.25">
      <c r="A29" s="37" t="s">
        <v>467</v>
      </c>
      <c r="B29" s="38">
        <v>0</v>
      </c>
      <c r="C29" s="38">
        <f>IF(C25&gt;$B$7,(C25-$B$7)*$H$7,0)</f>
        <v>4700.1499999999987</v>
      </c>
      <c r="D29" s="38">
        <v>0</v>
      </c>
      <c r="E29" s="38">
        <f>IF(E25&gt;$B$7,(E25-$B$7)*$H$7,0)</f>
        <v>4700.1499999999987</v>
      </c>
      <c r="F29" s="38">
        <v>0</v>
      </c>
      <c r="G29" s="38">
        <f>IF(G25&gt;$B$7,(G25-$B$7)*$H$7,0)</f>
        <v>4700.1499999999987</v>
      </c>
      <c r="H29" s="38">
        <v>0</v>
      </c>
      <c r="I29" s="38">
        <v>0</v>
      </c>
      <c r="J29" s="38">
        <f>IF(J25&gt;$B$7,(J25-$B$7)*$H$7,0)</f>
        <v>4700.1499999999987</v>
      </c>
      <c r="K29" s="38">
        <v>0</v>
      </c>
      <c r="L29" s="38">
        <f>IF(L25&gt;$B$7,(L25-$B$7)*$H$7,0)</f>
        <v>4700.1499999999987</v>
      </c>
      <c r="M29" s="38">
        <v>0</v>
      </c>
      <c r="N29" s="38">
        <f>IF(N25&gt;$B$7,(N25-$B$7)*$H$7,0)</f>
        <v>4700.1499999999987</v>
      </c>
      <c r="O29" s="38">
        <v>0</v>
      </c>
      <c r="P29" s="38">
        <f>IF(P25&gt;$B$7,(P25-$B$7)*$H$7,0)</f>
        <v>4700.1499999999987</v>
      </c>
      <c r="Q29" s="38">
        <v>0</v>
      </c>
      <c r="R29" s="38">
        <f>IF(R25&gt;$B$7,(R25-$B$7)*$H$7,0)</f>
        <v>4700.1499999999987</v>
      </c>
      <c r="S29" s="38">
        <v>0</v>
      </c>
      <c r="T29" s="38">
        <f>IF(T25&gt;$B$7,(T25-$B$7)*$H$7,0)</f>
        <v>4700.1499999999987</v>
      </c>
      <c r="U29" s="38">
        <v>0</v>
      </c>
      <c r="V29" s="38">
        <f>IF(V25&gt;$B$7,(V25-$B$7)*$H$7,0)</f>
        <v>4700.1499999999987</v>
      </c>
      <c r="W29" s="38">
        <v>0</v>
      </c>
      <c r="X29" s="38">
        <f>IF(X25&gt;$B$7,(X25-$B$7)*$H$7,0)</f>
        <v>4700.1499999999987</v>
      </c>
      <c r="Y29" s="38">
        <v>0</v>
      </c>
      <c r="Z29" s="38">
        <f>IF(Z25&gt;$B$7,(Z25-$B$7)*$H$7,0)</f>
        <v>4700.1499999999987</v>
      </c>
      <c r="AA29" s="38">
        <v>0</v>
      </c>
      <c r="AB29" s="38">
        <f>IF(AB25&gt;$B$7,(AB25-$B$7)*$H$7,0)</f>
        <v>4700.1499999999987</v>
      </c>
      <c r="AC29" s="38">
        <v>0</v>
      </c>
      <c r="AD29" s="38">
        <f>IF(AD25&gt;$B$7,(AD25-$B$7)*$H$7,0)</f>
        <v>4700.1499999999987</v>
      </c>
    </row>
    <row r="30" spans="1:30" x14ac:dyDescent="0.25">
      <c r="A30" s="39" t="s">
        <v>468</v>
      </c>
      <c r="B30" s="40">
        <f>G4+G5+G6+G7</f>
        <v>3065.3219999999992</v>
      </c>
      <c r="C30" s="40">
        <f t="shared" ref="C30:AD30" si="11">B30</f>
        <v>3065.3219999999992</v>
      </c>
      <c r="D30" s="40">
        <f t="shared" si="11"/>
        <v>3065.3219999999992</v>
      </c>
      <c r="E30" s="40">
        <f t="shared" si="11"/>
        <v>3065.3219999999992</v>
      </c>
      <c r="F30" s="40">
        <f t="shared" si="11"/>
        <v>3065.3219999999992</v>
      </c>
      <c r="G30" s="40">
        <f t="shared" si="11"/>
        <v>3065.3219999999992</v>
      </c>
      <c r="H30" s="40">
        <f t="shared" si="11"/>
        <v>3065.3219999999992</v>
      </c>
      <c r="I30" s="40">
        <f t="shared" si="11"/>
        <v>3065.3219999999992</v>
      </c>
      <c r="J30" s="40">
        <f t="shared" si="11"/>
        <v>3065.3219999999992</v>
      </c>
      <c r="K30" s="40">
        <f t="shared" si="11"/>
        <v>3065.3219999999992</v>
      </c>
      <c r="L30" s="40">
        <f t="shared" si="11"/>
        <v>3065.3219999999992</v>
      </c>
      <c r="M30" s="40">
        <f t="shared" si="11"/>
        <v>3065.3219999999992</v>
      </c>
      <c r="N30" s="40">
        <f t="shared" si="11"/>
        <v>3065.3219999999992</v>
      </c>
      <c r="O30" s="40">
        <f t="shared" si="11"/>
        <v>3065.3219999999992</v>
      </c>
      <c r="P30" s="40">
        <f t="shared" si="11"/>
        <v>3065.3219999999992</v>
      </c>
      <c r="Q30" s="40">
        <f t="shared" si="11"/>
        <v>3065.3219999999992</v>
      </c>
      <c r="R30" s="40">
        <f t="shared" si="11"/>
        <v>3065.3219999999992</v>
      </c>
      <c r="S30" s="40">
        <f t="shared" si="11"/>
        <v>3065.3219999999992</v>
      </c>
      <c r="T30" s="40">
        <f t="shared" si="11"/>
        <v>3065.3219999999992</v>
      </c>
      <c r="U30" s="40">
        <f t="shared" si="11"/>
        <v>3065.3219999999992</v>
      </c>
      <c r="V30" s="40">
        <f t="shared" si="11"/>
        <v>3065.3219999999992</v>
      </c>
      <c r="W30" s="40">
        <f t="shared" si="11"/>
        <v>3065.3219999999992</v>
      </c>
      <c r="X30" s="40">
        <f t="shared" si="11"/>
        <v>3065.3219999999992</v>
      </c>
      <c r="Y30" s="40">
        <f t="shared" si="11"/>
        <v>3065.3219999999992</v>
      </c>
      <c r="Z30" s="40">
        <f t="shared" si="11"/>
        <v>3065.3219999999992</v>
      </c>
      <c r="AA30" s="40">
        <f t="shared" si="11"/>
        <v>3065.3219999999992</v>
      </c>
      <c r="AB30" s="40">
        <f t="shared" si="11"/>
        <v>3065.3219999999992</v>
      </c>
      <c r="AC30" s="40">
        <f t="shared" si="11"/>
        <v>3065.3219999999992</v>
      </c>
      <c r="AD30" s="40">
        <f t="shared" si="11"/>
        <v>3065.3219999999992</v>
      </c>
    </row>
    <row r="31" spans="1:30" x14ac:dyDescent="0.25">
      <c r="A31" s="41" t="s">
        <v>469</v>
      </c>
      <c r="B31" s="42">
        <f t="shared" ref="B31:AD31" si="12">B26+B27+B28+B29-B30</f>
        <v>-3065.3219999999992</v>
      </c>
      <c r="C31" s="42">
        <f t="shared" si="12"/>
        <v>45533.397999999994</v>
      </c>
      <c r="D31" s="42">
        <f t="shared" si="12"/>
        <v>-3065.3219999999992</v>
      </c>
      <c r="E31" s="42">
        <f t="shared" si="12"/>
        <v>45533.397999999994</v>
      </c>
      <c r="F31" s="42">
        <f t="shared" si="12"/>
        <v>-3065.3219999999992</v>
      </c>
      <c r="G31" s="42">
        <f t="shared" si="12"/>
        <v>45533.397999999994</v>
      </c>
      <c r="H31" s="42">
        <f t="shared" si="12"/>
        <v>-3065.3219999999992</v>
      </c>
      <c r="I31" s="42">
        <f t="shared" si="12"/>
        <v>-3065.3219999999992</v>
      </c>
      <c r="J31" s="42">
        <f t="shared" si="12"/>
        <v>45533.397999999994</v>
      </c>
      <c r="K31" s="42">
        <f t="shared" si="12"/>
        <v>-3065.3219999999992</v>
      </c>
      <c r="L31" s="42">
        <f t="shared" si="12"/>
        <v>45533.397999999994</v>
      </c>
      <c r="M31" s="42">
        <f t="shared" si="12"/>
        <v>-3065.3219999999992</v>
      </c>
      <c r="N31" s="42">
        <f t="shared" si="12"/>
        <v>45533.397999999994</v>
      </c>
      <c r="O31" s="42">
        <f t="shared" si="12"/>
        <v>-3065.3219999999992</v>
      </c>
      <c r="P31" s="42">
        <f t="shared" si="12"/>
        <v>45533.397999999994</v>
      </c>
      <c r="Q31" s="42">
        <f t="shared" si="12"/>
        <v>-3065.3219999999992</v>
      </c>
      <c r="R31" s="42">
        <f t="shared" si="12"/>
        <v>45533.397999999994</v>
      </c>
      <c r="S31" s="42">
        <f t="shared" si="12"/>
        <v>-3065.3219999999992</v>
      </c>
      <c r="T31" s="42">
        <f t="shared" si="12"/>
        <v>45533.397999999994</v>
      </c>
      <c r="U31" s="42">
        <f t="shared" si="12"/>
        <v>-3065.3219999999992</v>
      </c>
      <c r="V31" s="42">
        <f t="shared" si="12"/>
        <v>45533.397999999994</v>
      </c>
      <c r="W31" s="42">
        <f t="shared" si="12"/>
        <v>-3065.3219999999992</v>
      </c>
      <c r="X31" s="42">
        <f t="shared" si="12"/>
        <v>45533.397999999994</v>
      </c>
      <c r="Y31" s="42">
        <f t="shared" si="12"/>
        <v>-3065.3219999999992</v>
      </c>
      <c r="Z31" s="42">
        <f t="shared" si="12"/>
        <v>45533.397999999994</v>
      </c>
      <c r="AA31" s="42">
        <f t="shared" si="12"/>
        <v>-3065.3219999999992</v>
      </c>
      <c r="AB31" s="42">
        <f t="shared" si="12"/>
        <v>45533.397999999994</v>
      </c>
      <c r="AC31" s="42">
        <f t="shared" si="12"/>
        <v>-3065.3219999999992</v>
      </c>
      <c r="AD31" s="42">
        <f t="shared" si="12"/>
        <v>45533.397999999994</v>
      </c>
    </row>
    <row r="32" spans="1:30" x14ac:dyDescent="0.25">
      <c r="A32" s="43" t="s">
        <v>470</v>
      </c>
      <c r="B32" s="42">
        <f>-B12-B11+B31</f>
        <v>-310443.77199999988</v>
      </c>
      <c r="C32" s="42">
        <f t="shared" ref="C32:AD32" si="13">B32+C31</f>
        <v>-264910.37399999989</v>
      </c>
      <c r="D32" s="42">
        <f t="shared" si="13"/>
        <v>-267975.69599999988</v>
      </c>
      <c r="E32" s="42">
        <f t="shared" si="13"/>
        <v>-222442.29799999989</v>
      </c>
      <c r="F32" s="42">
        <f t="shared" si="13"/>
        <v>-225507.61999999988</v>
      </c>
      <c r="G32" s="42">
        <f t="shared" si="13"/>
        <v>-179974.22199999989</v>
      </c>
      <c r="H32" s="42">
        <f t="shared" si="13"/>
        <v>-183039.54399999988</v>
      </c>
      <c r="I32" s="42">
        <f t="shared" si="13"/>
        <v>-186104.86599999986</v>
      </c>
      <c r="J32" s="42">
        <f t="shared" si="13"/>
        <v>-140571.46799999988</v>
      </c>
      <c r="K32" s="42">
        <f t="shared" si="13"/>
        <v>-143636.78999999986</v>
      </c>
      <c r="L32" s="42">
        <f t="shared" si="13"/>
        <v>-98103.391999999876</v>
      </c>
      <c r="M32" s="42">
        <f t="shared" si="13"/>
        <v>-101168.71399999988</v>
      </c>
      <c r="N32" s="42">
        <f t="shared" si="13"/>
        <v>-55635.315999999882</v>
      </c>
      <c r="O32" s="42">
        <f t="shared" si="13"/>
        <v>-58700.637999999883</v>
      </c>
      <c r="P32" s="42">
        <f t="shared" si="13"/>
        <v>-13167.239999999889</v>
      </c>
      <c r="Q32" s="42">
        <f t="shared" si="13"/>
        <v>-16232.561999999889</v>
      </c>
      <c r="R32" s="42">
        <f t="shared" si="13"/>
        <v>29300.836000000105</v>
      </c>
      <c r="S32" s="42">
        <f t="shared" si="13"/>
        <v>26235.514000000105</v>
      </c>
      <c r="T32" s="42">
        <f t="shared" si="13"/>
        <v>71768.912000000098</v>
      </c>
      <c r="U32" s="42">
        <f t="shared" si="13"/>
        <v>68703.590000000098</v>
      </c>
      <c r="V32" s="42">
        <f t="shared" si="13"/>
        <v>114236.9880000001</v>
      </c>
      <c r="W32" s="42">
        <f t="shared" si="13"/>
        <v>111171.6660000001</v>
      </c>
      <c r="X32" s="42">
        <f t="shared" si="13"/>
        <v>156705.0640000001</v>
      </c>
      <c r="Y32" s="42">
        <f t="shared" si="13"/>
        <v>153639.74200000011</v>
      </c>
      <c r="Z32" s="42">
        <f t="shared" si="13"/>
        <v>199173.1400000001</v>
      </c>
      <c r="AA32" s="42">
        <f t="shared" si="13"/>
        <v>196107.81800000012</v>
      </c>
      <c r="AB32" s="42">
        <f t="shared" si="13"/>
        <v>241641.2160000001</v>
      </c>
      <c r="AC32" s="42">
        <f t="shared" si="13"/>
        <v>238575.89400000012</v>
      </c>
      <c r="AD32" s="42">
        <f t="shared" si="13"/>
        <v>284109.29200000013</v>
      </c>
    </row>
    <row r="33" spans="2:30" x14ac:dyDescent="0.25">
      <c r="B33" s="44">
        <f t="shared" ref="B33:AD33" si="14">B32/$B$13</f>
        <v>-1.0099724687921354</v>
      </c>
      <c r="C33" s="44">
        <f t="shared" si="14"/>
        <v>-0.86183782239776396</v>
      </c>
      <c r="D33" s="44">
        <f t="shared" si="14"/>
        <v>-0.8718102911898995</v>
      </c>
      <c r="E33" s="44">
        <f t="shared" si="14"/>
        <v>-0.72367564479552804</v>
      </c>
      <c r="F33" s="44">
        <f t="shared" si="14"/>
        <v>-0.73364811358766358</v>
      </c>
      <c r="G33" s="44">
        <f t="shared" si="14"/>
        <v>-0.585513467193292</v>
      </c>
      <c r="H33" s="44">
        <f t="shared" si="14"/>
        <v>-0.59548593598542754</v>
      </c>
      <c r="I33" s="44">
        <f t="shared" si="14"/>
        <v>-0.60545840477756308</v>
      </c>
      <c r="J33" s="44">
        <f t="shared" si="14"/>
        <v>-0.45732375838319156</v>
      </c>
      <c r="K33" s="44">
        <f t="shared" si="14"/>
        <v>-0.46729622717532704</v>
      </c>
      <c r="L33" s="44">
        <f t="shared" si="14"/>
        <v>-0.31916158078095558</v>
      </c>
      <c r="M33" s="44">
        <f t="shared" si="14"/>
        <v>-0.32913404957309111</v>
      </c>
      <c r="N33" s="44">
        <f t="shared" si="14"/>
        <v>-0.1809994031787196</v>
      </c>
      <c r="O33" s="44">
        <f t="shared" si="14"/>
        <v>-0.19097187197085516</v>
      </c>
      <c r="P33" s="44">
        <f t="shared" si="14"/>
        <v>-4.2837225576483624E-2</v>
      </c>
      <c r="Q33" s="44">
        <f t="shared" si="14"/>
        <v>-5.2809694368619188E-2</v>
      </c>
      <c r="R33" s="44">
        <f t="shared" si="14"/>
        <v>9.5324952025752335E-2</v>
      </c>
      <c r="S33" s="44">
        <f t="shared" si="14"/>
        <v>8.5352483233616785E-2</v>
      </c>
      <c r="T33" s="44">
        <f t="shared" si="14"/>
        <v>0.23348712962798832</v>
      </c>
      <c r="U33" s="44">
        <f t="shared" si="14"/>
        <v>0.22351466083585275</v>
      </c>
      <c r="V33" s="44">
        <f t="shared" si="14"/>
        <v>0.37164930723022432</v>
      </c>
      <c r="W33" s="44">
        <f t="shared" si="14"/>
        <v>0.36167683843808873</v>
      </c>
      <c r="X33" s="44">
        <f t="shared" si="14"/>
        <v>0.5098114848324603</v>
      </c>
      <c r="Y33" s="44">
        <f t="shared" si="14"/>
        <v>0.49983901604032477</v>
      </c>
      <c r="Z33" s="44">
        <f t="shared" si="14"/>
        <v>0.64797366243469623</v>
      </c>
      <c r="AA33" s="44">
        <f t="shared" si="14"/>
        <v>0.6380011936425608</v>
      </c>
      <c r="AB33" s="44">
        <f t="shared" si="14"/>
        <v>0.78613584003693227</v>
      </c>
      <c r="AC33" s="44">
        <f t="shared" si="14"/>
        <v>0.77616337124479673</v>
      </c>
      <c r="AD33" s="44">
        <f t="shared" si="14"/>
        <v>0.92429801763916841</v>
      </c>
    </row>
    <row r="37" spans="2:30" x14ac:dyDescent="0.25">
      <c r="B37" s="112">
        <f t="shared" ref="B37:P37" si="15">B18/B17</f>
        <v>0.56900401965163017</v>
      </c>
      <c r="C37" s="112">
        <f t="shared" si="15"/>
        <v>0.56900401965163028</v>
      </c>
      <c r="D37" s="112">
        <f t="shared" si="15"/>
        <v>0.56900401965163017</v>
      </c>
      <c r="E37" s="112">
        <f t="shared" si="15"/>
        <v>0.56900401965163017</v>
      </c>
      <c r="F37" s="112">
        <f t="shared" si="15"/>
        <v>0.56900401965163017</v>
      </c>
      <c r="G37" s="112">
        <f t="shared" si="15"/>
        <v>0.56900401965163017</v>
      </c>
      <c r="H37" s="112">
        <f t="shared" si="15"/>
        <v>0.56900401965163017</v>
      </c>
      <c r="I37" s="112">
        <f t="shared" si="15"/>
        <v>0.56900401965163017</v>
      </c>
      <c r="J37" s="112">
        <f t="shared" si="15"/>
        <v>0.56900401965163017</v>
      </c>
      <c r="K37" s="112">
        <f t="shared" si="15"/>
        <v>0.56900401965163017</v>
      </c>
      <c r="L37" s="112">
        <f t="shared" si="15"/>
        <v>0.56900401965163017</v>
      </c>
      <c r="M37" s="112">
        <f t="shared" si="15"/>
        <v>0.56900401965163017</v>
      </c>
      <c r="N37" s="112">
        <f t="shared" si="15"/>
        <v>0.56900401965163028</v>
      </c>
      <c r="O37" s="112">
        <f t="shared" si="15"/>
        <v>0.56900401965163017</v>
      </c>
      <c r="P37" s="112">
        <f t="shared" si="15"/>
        <v>0.56900401965163017</v>
      </c>
    </row>
    <row r="38" spans="2:30" x14ac:dyDescent="0.25">
      <c r="B38" s="112">
        <f t="shared" ref="B38:P38" si="16">B19/B17</f>
        <v>0.2184010719071014</v>
      </c>
      <c r="C38" s="112">
        <f t="shared" si="16"/>
        <v>0.21840107190710137</v>
      </c>
      <c r="D38" s="112">
        <f t="shared" si="16"/>
        <v>0.2184010719071014</v>
      </c>
      <c r="E38" s="112">
        <f t="shared" si="16"/>
        <v>0.21840107190710137</v>
      </c>
      <c r="F38" s="112">
        <f t="shared" si="16"/>
        <v>0.21840107190710137</v>
      </c>
      <c r="G38" s="112">
        <f t="shared" si="16"/>
        <v>0.21840107190710137</v>
      </c>
      <c r="H38" s="112">
        <f t="shared" si="16"/>
        <v>0.21840107190710137</v>
      </c>
      <c r="I38" s="112">
        <f t="shared" si="16"/>
        <v>0.21840107190710137</v>
      </c>
      <c r="J38" s="112">
        <f t="shared" si="16"/>
        <v>0.21840107190710137</v>
      </c>
      <c r="K38" s="112">
        <f t="shared" si="16"/>
        <v>0.21840107190710137</v>
      </c>
      <c r="L38" s="112">
        <f t="shared" si="16"/>
        <v>0.21840107190710137</v>
      </c>
      <c r="M38" s="112">
        <f t="shared" si="16"/>
        <v>0.21840107190710137</v>
      </c>
      <c r="N38" s="112">
        <f t="shared" si="16"/>
        <v>0.21840107190710137</v>
      </c>
      <c r="O38" s="112">
        <f t="shared" si="16"/>
        <v>0.21840107190710137</v>
      </c>
      <c r="P38" s="112">
        <f t="shared" si="16"/>
        <v>0.21840107190710137</v>
      </c>
    </row>
    <row r="39" spans="2:30" x14ac:dyDescent="0.25">
      <c r="B39" s="112">
        <f t="shared" ref="B39:P39" si="17">B20/B17</f>
        <v>0.18981688253684681</v>
      </c>
      <c r="C39" s="112">
        <f t="shared" si="17"/>
        <v>0.18981688253684681</v>
      </c>
      <c r="D39" s="112">
        <f t="shared" si="17"/>
        <v>0.18981688253684681</v>
      </c>
      <c r="E39" s="112">
        <f t="shared" si="17"/>
        <v>0.18981688253684681</v>
      </c>
      <c r="F39" s="112">
        <f t="shared" si="17"/>
        <v>0.18981688253684681</v>
      </c>
      <c r="G39" s="112">
        <f t="shared" si="17"/>
        <v>0.18981688253684681</v>
      </c>
      <c r="H39" s="112">
        <f t="shared" si="17"/>
        <v>0.18981688253684678</v>
      </c>
      <c r="I39" s="112">
        <f t="shared" si="17"/>
        <v>0.18981688253684681</v>
      </c>
      <c r="J39" s="112">
        <f t="shared" si="17"/>
        <v>0.18981688253684681</v>
      </c>
      <c r="K39" s="112">
        <f t="shared" si="17"/>
        <v>0.18981688253684681</v>
      </c>
      <c r="L39" s="112">
        <f t="shared" si="17"/>
        <v>0.18981688253684681</v>
      </c>
      <c r="M39" s="112">
        <f t="shared" si="17"/>
        <v>0.18981688253684681</v>
      </c>
      <c r="N39" s="112">
        <f t="shared" si="17"/>
        <v>0.18981688253684681</v>
      </c>
      <c r="O39" s="112">
        <f t="shared" si="17"/>
        <v>0.18981688253684681</v>
      </c>
      <c r="P39" s="112">
        <f t="shared" si="17"/>
        <v>0.18981688253684681</v>
      </c>
    </row>
    <row r="40" spans="2:30" x14ac:dyDescent="0.25">
      <c r="B40" s="112">
        <f t="shared" ref="B40:P40" si="18">B21/B17</f>
        <v>2.2778025904421618E-2</v>
      </c>
      <c r="C40" s="112">
        <f t="shared" si="18"/>
        <v>2.2778025904421618E-2</v>
      </c>
      <c r="D40" s="112">
        <f t="shared" si="18"/>
        <v>2.2778025904421618E-2</v>
      </c>
      <c r="E40" s="112">
        <f t="shared" si="18"/>
        <v>2.2778025904421618E-2</v>
      </c>
      <c r="F40" s="112">
        <f t="shared" si="18"/>
        <v>2.2778025904421618E-2</v>
      </c>
      <c r="G40" s="112">
        <f t="shared" si="18"/>
        <v>2.2778025904421618E-2</v>
      </c>
      <c r="H40" s="112">
        <f t="shared" si="18"/>
        <v>2.2778025904421618E-2</v>
      </c>
      <c r="I40" s="112">
        <f t="shared" si="18"/>
        <v>2.2778025904421618E-2</v>
      </c>
      <c r="J40" s="112">
        <f t="shared" si="18"/>
        <v>2.2778025904421618E-2</v>
      </c>
      <c r="K40" s="112">
        <f t="shared" si="18"/>
        <v>2.2778025904421618E-2</v>
      </c>
      <c r="L40" s="112">
        <f t="shared" si="18"/>
        <v>2.2778025904421618E-2</v>
      </c>
      <c r="M40" s="112">
        <f t="shared" si="18"/>
        <v>2.2778025904421618E-2</v>
      </c>
      <c r="N40" s="112">
        <f t="shared" si="18"/>
        <v>2.2778025904421618E-2</v>
      </c>
      <c r="O40" s="112">
        <f t="shared" si="18"/>
        <v>2.2778025904421618E-2</v>
      </c>
      <c r="P40" s="112">
        <f t="shared" si="18"/>
        <v>2.2778025904421614E-2</v>
      </c>
    </row>
    <row r="41" spans="2:30" x14ac:dyDescent="0.25">
      <c r="G41" s="49">
        <f>G21-B7</f>
        <v>139.3900000000001</v>
      </c>
      <c r="I41" s="49">
        <f>I21-B7</f>
        <v>141.43000000000006</v>
      </c>
    </row>
    <row r="43" spans="2:30" x14ac:dyDescent="0.25">
      <c r="D43">
        <v>46500</v>
      </c>
    </row>
    <row r="44" spans="2:30" x14ac:dyDescent="0.25">
      <c r="D44">
        <f>D43*D37</f>
        <v>26458.686913800804</v>
      </c>
    </row>
    <row r="45" spans="2:30" x14ac:dyDescent="0.25">
      <c r="D45">
        <f>D38*D43</f>
        <v>10155.649843680216</v>
      </c>
    </row>
    <row r="46" spans="2:30" x14ac:dyDescent="0.25">
      <c r="D46">
        <f>D39*D43</f>
        <v>8826.4850379633772</v>
      </c>
    </row>
    <row r="47" spans="2:30" x14ac:dyDescent="0.25">
      <c r="D47">
        <f>D40*D43</f>
        <v>1059.1782045556051</v>
      </c>
    </row>
  </sheetData>
  <mergeCells count="3">
    <mergeCell ref="D2:E2"/>
    <mergeCell ref="F2:G2"/>
    <mergeCell ref="H2:I2"/>
  </mergeCells>
  <conditionalFormatting sqref="B32:AD32">
    <cfRule type="cellIs" dxfId="3" priority="1" operator="lessThan">
      <formula>0</formula>
    </cfRule>
  </conditionalFormatting>
  <conditionalFormatting sqref="B32:AD32">
    <cfRule type="cellIs" dxfId="2" priority="2" operator="greaterThan">
      <formula>0</formula>
    </cfRule>
  </conditionalFormatting>
  <pageMargins left="0.7" right="0.7" top="0.75" bottom="0.75" header="0.3" footer="0.3"/>
  <pageSetup paperSize="9" fitToWidth="0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FE0A4-CBC1-47C6-A91A-D07F7B7AEF01}">
  <sheetPr>
    <tabColor theme="7" tint="-0.249977111117893"/>
  </sheetPr>
  <dimension ref="A1:AC21"/>
  <sheetViews>
    <sheetView workbookViewId="0">
      <selection activeCell="A9" sqref="A9:XFD9"/>
    </sheetView>
  </sheetViews>
  <sheetFormatPr baseColWidth="10" defaultRowHeight="15" x14ac:dyDescent="0.25"/>
  <cols>
    <col min="1" max="1" width="21.28515625" style="319" bestFit="1" customWidth="1"/>
    <col min="2" max="2" width="5.42578125" style="319" bestFit="1" customWidth="1"/>
    <col min="3" max="3" width="4.7109375" style="319" bestFit="1" customWidth="1"/>
    <col min="4" max="4" width="4.5703125" style="319" bestFit="1" customWidth="1"/>
    <col min="5" max="5" width="3.7109375" style="319" bestFit="1" customWidth="1"/>
    <col min="6" max="6" width="7.42578125" style="319" bestFit="1" customWidth="1"/>
    <col min="7" max="7" width="4.5703125" style="319" bestFit="1" customWidth="1"/>
    <col min="8" max="8" width="4.5703125" style="319" customWidth="1"/>
    <col min="9" max="9" width="4.7109375" style="319" bestFit="1" customWidth="1"/>
    <col min="10" max="11" width="5.5703125" style="319" bestFit="1" customWidth="1"/>
    <col min="12" max="12" width="4.5703125" style="319" bestFit="1" customWidth="1"/>
    <col min="13" max="15" width="5.5703125" style="319" bestFit="1" customWidth="1"/>
    <col min="16" max="19" width="7.85546875" style="319" bestFit="1" customWidth="1"/>
    <col min="20" max="22" width="6.85546875" style="319" customWidth="1"/>
    <col min="23" max="23" width="8.42578125" style="324" bestFit="1" customWidth="1"/>
    <col min="24" max="24" width="7.5703125" style="319" bestFit="1" customWidth="1"/>
    <col min="25" max="25" width="7.140625" style="319" bestFit="1" customWidth="1"/>
    <col min="26" max="26" width="7.5703125" style="319" bestFit="1" customWidth="1"/>
    <col min="27" max="27" width="9" style="319" bestFit="1" customWidth="1"/>
    <col min="28" max="28" width="6.140625" style="319" bestFit="1" customWidth="1"/>
    <col min="29" max="29" width="11.42578125" style="319"/>
  </cols>
  <sheetData>
    <row r="1" spans="1:28" x14ac:dyDescent="0.25">
      <c r="A1" s="321"/>
      <c r="B1" s="321"/>
      <c r="C1" s="321"/>
      <c r="D1" s="351"/>
      <c r="E1" s="321"/>
      <c r="F1" s="321"/>
      <c r="G1" s="321"/>
      <c r="H1" s="321"/>
      <c r="I1" s="321"/>
      <c r="J1" s="321"/>
      <c r="K1" s="321"/>
      <c r="L1" s="321"/>
      <c r="M1" s="321"/>
      <c r="N1" s="321"/>
      <c r="O1" s="321"/>
      <c r="P1" s="321" t="s">
        <v>252</v>
      </c>
      <c r="X1" s="321"/>
      <c r="Y1" s="321"/>
      <c r="Z1" s="321"/>
      <c r="AA1" s="321"/>
      <c r="AB1" s="321"/>
    </row>
    <row r="2" spans="1:28" x14ac:dyDescent="0.25">
      <c r="A2" s="352" t="s">
        <v>84</v>
      </c>
      <c r="B2" s="352" t="s">
        <v>188</v>
      </c>
      <c r="C2" s="352" t="s">
        <v>86</v>
      </c>
      <c r="D2" s="353" t="s">
        <v>187</v>
      </c>
      <c r="E2" s="353" t="s">
        <v>494</v>
      </c>
      <c r="F2" s="354" t="s">
        <v>96</v>
      </c>
      <c r="G2" s="354" t="s">
        <v>260</v>
      </c>
      <c r="H2" s="354" t="s">
        <v>499</v>
      </c>
      <c r="I2" s="355" t="s">
        <v>14</v>
      </c>
      <c r="J2" s="355" t="s">
        <v>37</v>
      </c>
      <c r="K2" s="355" t="s">
        <v>168</v>
      </c>
      <c r="L2" s="355" t="s">
        <v>30</v>
      </c>
      <c r="M2" s="355" t="s">
        <v>170</v>
      </c>
      <c r="N2" s="355" t="s">
        <v>171</v>
      </c>
      <c r="O2" s="355" t="s">
        <v>172</v>
      </c>
      <c r="P2" s="347" t="s">
        <v>264</v>
      </c>
      <c r="Q2" s="347" t="s">
        <v>265</v>
      </c>
      <c r="R2" s="347" t="s">
        <v>264</v>
      </c>
      <c r="S2" s="347" t="s">
        <v>28</v>
      </c>
      <c r="T2" s="347" t="s">
        <v>266</v>
      </c>
      <c r="U2" s="347" t="s">
        <v>267</v>
      </c>
      <c r="V2" s="347" t="s">
        <v>266</v>
      </c>
      <c r="W2" s="356" t="s">
        <v>114</v>
      </c>
      <c r="X2" s="360" t="s">
        <v>495</v>
      </c>
      <c r="Y2" s="360" t="s">
        <v>189</v>
      </c>
      <c r="Z2" s="347" t="s">
        <v>496</v>
      </c>
      <c r="AA2" s="347" t="s">
        <v>497</v>
      </c>
      <c r="AB2" s="347" t="s">
        <v>498</v>
      </c>
    </row>
    <row r="3" spans="1:28" x14ac:dyDescent="0.25">
      <c r="A3" s="540" t="s">
        <v>500</v>
      </c>
      <c r="B3" s="319">
        <v>28</v>
      </c>
      <c r="C3" s="348">
        <v>53</v>
      </c>
      <c r="D3" s="324" t="s">
        <v>138</v>
      </c>
      <c r="E3" s="324">
        <v>4</v>
      </c>
      <c r="F3" s="358">
        <v>1</v>
      </c>
      <c r="G3" s="349">
        <v>8</v>
      </c>
      <c r="H3" s="350">
        <f t="shared" ref="H3:H14" si="0">LOG(G3+1)*4/3</f>
        <v>1.2723233459190999</v>
      </c>
      <c r="I3" s="350">
        <v>0</v>
      </c>
      <c r="J3" s="350">
        <v>8</v>
      </c>
      <c r="K3" s="350">
        <v>14</v>
      </c>
      <c r="L3" s="350">
        <v>7</v>
      </c>
      <c r="M3" s="350">
        <v>8</v>
      </c>
      <c r="N3" s="350">
        <v>9</v>
      </c>
      <c r="O3" s="350">
        <v>14</v>
      </c>
      <c r="P3" s="359">
        <f t="shared" ref="P3:P14" si="1">((J3+F3+(LOG(G3)*4/3))*0.189)</f>
        <v>1.9285786767219699</v>
      </c>
      <c r="Q3" s="359">
        <f t="shared" ref="Q3:Q14" si="2">((J3+F3+(LOG(G3)*4/3))*0.4)</f>
        <v>4.0816479930623704</v>
      </c>
      <c r="R3" s="359">
        <f t="shared" ref="R3:R14" si="3">P3/2</f>
        <v>0.96428933836098496</v>
      </c>
      <c r="S3" s="359">
        <f t="shared" ref="S3:S14" si="4">((K3+F3+(LOG(G3)*4/3))*1)</f>
        <v>16.204119982655925</v>
      </c>
      <c r="T3" s="359">
        <f t="shared" ref="T3:T14" si="5">((M3+F3+(LOG(G3)*4/3))*0.253)</f>
        <v>2.5816423556119492</v>
      </c>
      <c r="U3" s="359">
        <f t="shared" ref="U3:U14" si="6">((N3+F3+(LOG(G3)*4/3))*0.21)+((M3+F3+(LOG(G3)*4/3))*0.341)</f>
        <v>5.8324701104434151</v>
      </c>
      <c r="V3" s="359">
        <f t="shared" ref="V3:V14" si="7">T3/2</f>
        <v>1.2908211778059746</v>
      </c>
      <c r="W3" s="539">
        <f t="shared" ref="W3:W14" si="8">(1.66*(F3+H3+N3)+0.55*(F3+H3+O3)-7.6)</f>
        <v>20.061834594481205</v>
      </c>
      <c r="X3" s="319">
        <v>5380</v>
      </c>
      <c r="Y3" s="362">
        <f>29.3*0.9</f>
        <v>26.37</v>
      </c>
      <c r="Z3" s="321">
        <v>1850</v>
      </c>
      <c r="AA3" s="348">
        <f t="shared" ref="AA3:AA14" si="9">X3+(Y3*16*(32-B3-((112-C3)/112)))-Y3</f>
        <v>6819.0485714285714</v>
      </c>
      <c r="AB3" s="348">
        <f t="shared" ref="AB3:AB14" si="10">(AA3)/(32-B3+((112-C3)/112))-((Z3)/(32-B3+((112-C3)/112)))</f>
        <v>1097.6990927021695</v>
      </c>
    </row>
    <row r="4" spans="1:28" x14ac:dyDescent="0.25">
      <c r="A4" s="357" t="s">
        <v>649</v>
      </c>
      <c r="B4" s="319">
        <v>29</v>
      </c>
      <c r="C4" s="348">
        <v>17</v>
      </c>
      <c r="D4" s="324" t="s">
        <v>138</v>
      </c>
      <c r="E4" s="324">
        <v>1</v>
      </c>
      <c r="F4" s="358">
        <v>1</v>
      </c>
      <c r="G4" s="349">
        <v>8</v>
      </c>
      <c r="H4" s="350">
        <f t="shared" si="0"/>
        <v>1.2723233459190999</v>
      </c>
      <c r="I4" s="350">
        <v>0</v>
      </c>
      <c r="J4" s="350">
        <v>3</v>
      </c>
      <c r="K4" s="350">
        <v>14</v>
      </c>
      <c r="L4" s="350">
        <v>2</v>
      </c>
      <c r="M4" s="350">
        <v>11</v>
      </c>
      <c r="N4" s="350">
        <v>12</v>
      </c>
      <c r="O4" s="350">
        <v>14</v>
      </c>
      <c r="P4" s="359">
        <f t="shared" si="1"/>
        <v>0.98357867672196986</v>
      </c>
      <c r="Q4" s="359">
        <f t="shared" si="2"/>
        <v>2.0816479930623699</v>
      </c>
      <c r="R4" s="359">
        <f t="shared" si="3"/>
        <v>0.49178933836098493</v>
      </c>
      <c r="S4" s="359">
        <f t="shared" si="4"/>
        <v>16.204119982655925</v>
      </c>
      <c r="T4" s="359">
        <f t="shared" si="5"/>
        <v>3.3406423556119491</v>
      </c>
      <c r="U4" s="359">
        <f t="shared" si="6"/>
        <v>7.4854701104434156</v>
      </c>
      <c r="V4" s="359">
        <f t="shared" si="7"/>
        <v>1.6703211778059746</v>
      </c>
      <c r="W4" s="539">
        <f t="shared" si="8"/>
        <v>25.041834594481209</v>
      </c>
      <c r="X4" s="319">
        <v>7300</v>
      </c>
      <c r="Y4" s="362">
        <v>32.299999999999997</v>
      </c>
      <c r="Z4" s="321">
        <v>3800</v>
      </c>
      <c r="AA4" s="348">
        <f t="shared" si="9"/>
        <v>8379.7428571428572</v>
      </c>
      <c r="AB4" s="348">
        <f t="shared" si="10"/>
        <v>1190.0955916473317</v>
      </c>
    </row>
    <row r="5" spans="1:28" x14ac:dyDescent="0.25">
      <c r="A5" s="357" t="s">
        <v>651</v>
      </c>
      <c r="B5" s="319">
        <v>29</v>
      </c>
      <c r="C5" s="348">
        <v>75</v>
      </c>
      <c r="D5" s="324"/>
      <c r="E5" s="324">
        <v>4</v>
      </c>
      <c r="F5" s="358">
        <v>1</v>
      </c>
      <c r="G5" s="349">
        <v>11</v>
      </c>
      <c r="H5" s="350">
        <f t="shared" si="0"/>
        <v>1.4389083280634998</v>
      </c>
      <c r="I5" s="350">
        <v>0</v>
      </c>
      <c r="J5" s="350">
        <v>13</v>
      </c>
      <c r="K5" s="350">
        <v>13</v>
      </c>
      <c r="L5" s="350">
        <v>3</v>
      </c>
      <c r="M5" s="350">
        <v>5</v>
      </c>
      <c r="N5" s="350">
        <v>7</v>
      </c>
      <c r="O5" s="350">
        <v>17</v>
      </c>
      <c r="P5" s="359">
        <f t="shared" si="1"/>
        <v>2.9084309566598727</v>
      </c>
      <c r="Q5" s="359">
        <f t="shared" si="2"/>
        <v>6.1554094320843866</v>
      </c>
      <c r="R5" s="359">
        <f t="shared" si="3"/>
        <v>1.4542154783299364</v>
      </c>
      <c r="S5" s="359">
        <f t="shared" si="4"/>
        <v>15.388523580210967</v>
      </c>
      <c r="T5" s="359">
        <f t="shared" si="5"/>
        <v>1.8692964657933746</v>
      </c>
      <c r="U5" s="359">
        <f t="shared" si="6"/>
        <v>4.4910764926962425</v>
      </c>
      <c r="V5" s="359">
        <f t="shared" si="7"/>
        <v>0.9346482328966873</v>
      </c>
      <c r="W5" s="539">
        <f t="shared" si="8"/>
        <v>18.759987405020333</v>
      </c>
      <c r="X5" s="319">
        <v>4800</v>
      </c>
      <c r="Y5" s="362">
        <v>26.4</v>
      </c>
      <c r="Z5" s="321">
        <v>1900</v>
      </c>
      <c r="AA5" s="348">
        <f t="shared" si="9"/>
        <v>5901.2571428571428</v>
      </c>
      <c r="AB5" s="348">
        <f t="shared" si="10"/>
        <v>1201.4498659517426</v>
      </c>
    </row>
    <row r="6" spans="1:28" x14ac:dyDescent="0.25">
      <c r="A6" s="357" t="s">
        <v>646</v>
      </c>
      <c r="B6" s="319">
        <v>28</v>
      </c>
      <c r="C6" s="348">
        <v>103</v>
      </c>
      <c r="D6" s="324" t="s">
        <v>134</v>
      </c>
      <c r="E6" s="324">
        <v>2</v>
      </c>
      <c r="F6" s="358">
        <v>1</v>
      </c>
      <c r="G6" s="349">
        <v>10</v>
      </c>
      <c r="H6" s="350">
        <f t="shared" si="0"/>
        <v>1.3885235802109668</v>
      </c>
      <c r="I6" s="350">
        <v>0</v>
      </c>
      <c r="J6" s="350">
        <v>8</v>
      </c>
      <c r="K6" s="350">
        <v>14</v>
      </c>
      <c r="L6" s="350">
        <v>4</v>
      </c>
      <c r="M6" s="350">
        <v>7</v>
      </c>
      <c r="N6" s="350">
        <v>7</v>
      </c>
      <c r="O6" s="350">
        <v>16</v>
      </c>
      <c r="P6" s="359">
        <f t="shared" si="1"/>
        <v>1.9530000000000001</v>
      </c>
      <c r="Q6" s="359">
        <f t="shared" si="2"/>
        <v>4.1333333333333337</v>
      </c>
      <c r="R6" s="359">
        <f t="shared" si="3"/>
        <v>0.97650000000000003</v>
      </c>
      <c r="S6" s="359">
        <f t="shared" si="4"/>
        <v>16.333333333333332</v>
      </c>
      <c r="T6" s="359">
        <f t="shared" si="5"/>
        <v>2.3613333333333335</v>
      </c>
      <c r="U6" s="359">
        <f t="shared" si="6"/>
        <v>5.1426666666666669</v>
      </c>
      <c r="V6" s="359">
        <f t="shared" si="7"/>
        <v>1.1806666666666668</v>
      </c>
      <c r="W6" s="539">
        <f t="shared" si="8"/>
        <v>18.098637112266232</v>
      </c>
      <c r="X6" s="319">
        <v>4850</v>
      </c>
      <c r="Y6" s="362">
        <v>31.5</v>
      </c>
      <c r="Z6" s="321">
        <v>1850</v>
      </c>
      <c r="AA6" s="348">
        <f t="shared" si="9"/>
        <v>6794</v>
      </c>
      <c r="AB6" s="348">
        <f t="shared" si="10"/>
        <v>1211.6586433260395</v>
      </c>
    </row>
    <row r="7" spans="1:28" x14ac:dyDescent="0.25">
      <c r="A7" s="357" t="s">
        <v>647</v>
      </c>
      <c r="B7" s="319">
        <v>28</v>
      </c>
      <c r="C7" s="348">
        <v>12</v>
      </c>
      <c r="D7" s="324"/>
      <c r="E7" s="324">
        <v>3</v>
      </c>
      <c r="F7" s="358">
        <v>1</v>
      </c>
      <c r="G7" s="349">
        <v>6</v>
      </c>
      <c r="H7" s="350">
        <f t="shared" si="0"/>
        <v>1.1267973866856758</v>
      </c>
      <c r="I7" s="350">
        <v>0</v>
      </c>
      <c r="J7" s="350">
        <v>8</v>
      </c>
      <c r="K7" s="350">
        <v>15</v>
      </c>
      <c r="L7" s="350">
        <v>2</v>
      </c>
      <c r="M7" s="350">
        <v>3</v>
      </c>
      <c r="N7" s="350">
        <v>9</v>
      </c>
      <c r="O7" s="350">
        <v>18</v>
      </c>
      <c r="P7" s="359">
        <f t="shared" si="1"/>
        <v>1.8970941150966782</v>
      </c>
      <c r="Q7" s="359">
        <f t="shared" si="2"/>
        <v>4.0150140002046104</v>
      </c>
      <c r="R7" s="359">
        <f t="shared" si="3"/>
        <v>0.94854705754833912</v>
      </c>
      <c r="S7" s="359">
        <f t="shared" si="4"/>
        <v>17.037535000511525</v>
      </c>
      <c r="T7" s="359">
        <f t="shared" si="5"/>
        <v>1.2744963551294159</v>
      </c>
      <c r="U7" s="359">
        <f t="shared" si="6"/>
        <v>4.0356817852818505</v>
      </c>
      <c r="V7" s="359">
        <f t="shared" si="7"/>
        <v>0.63724817756470797</v>
      </c>
      <c r="W7" s="539">
        <f t="shared" si="8"/>
        <v>21.940222224575344</v>
      </c>
      <c r="X7" s="319">
        <v>6250</v>
      </c>
      <c r="Y7" s="362">
        <f>45.7*1.2</f>
        <v>54.84</v>
      </c>
      <c r="Z7" s="321">
        <v>2800</v>
      </c>
      <c r="AA7" s="348">
        <f t="shared" si="9"/>
        <v>8921.4914285714294</v>
      </c>
      <c r="AB7" s="348">
        <f t="shared" si="10"/>
        <v>1251.1077372262775</v>
      </c>
    </row>
    <row r="8" spans="1:28" x14ac:dyDescent="0.25">
      <c r="A8" s="357" t="s">
        <v>650</v>
      </c>
      <c r="B8" s="319">
        <v>28</v>
      </c>
      <c r="C8" s="348">
        <v>87</v>
      </c>
      <c r="D8" s="324" t="s">
        <v>157</v>
      </c>
      <c r="E8" s="324">
        <v>4</v>
      </c>
      <c r="F8" s="358">
        <v>1</v>
      </c>
      <c r="G8" s="349">
        <v>7</v>
      </c>
      <c r="H8" s="350">
        <f t="shared" si="0"/>
        <v>1.2041199826559248</v>
      </c>
      <c r="I8" s="350">
        <v>0</v>
      </c>
      <c r="J8" s="350">
        <v>5</v>
      </c>
      <c r="K8" s="350">
        <v>14</v>
      </c>
      <c r="L8" s="350">
        <v>5</v>
      </c>
      <c r="M8" s="350">
        <v>6</v>
      </c>
      <c r="N8" s="350">
        <v>12</v>
      </c>
      <c r="O8" s="350">
        <v>14</v>
      </c>
      <c r="P8" s="359">
        <f t="shared" si="1"/>
        <v>1.3469647060835925</v>
      </c>
      <c r="Q8" s="359">
        <f t="shared" si="2"/>
        <v>2.8507189546742704</v>
      </c>
      <c r="R8" s="359">
        <f t="shared" si="3"/>
        <v>0.67348235304179627</v>
      </c>
      <c r="S8" s="359">
        <f t="shared" si="4"/>
        <v>16.126797386685677</v>
      </c>
      <c r="T8" s="359">
        <f t="shared" si="5"/>
        <v>2.056079738831476</v>
      </c>
      <c r="U8" s="359">
        <f t="shared" si="6"/>
        <v>5.7378653600638074</v>
      </c>
      <c r="V8" s="359">
        <f t="shared" si="7"/>
        <v>1.028039869415738</v>
      </c>
      <c r="W8" s="539">
        <f t="shared" si="8"/>
        <v>24.891105161669593</v>
      </c>
      <c r="X8" s="319">
        <v>5750</v>
      </c>
      <c r="Y8" s="362">
        <v>37.9</v>
      </c>
      <c r="Z8" s="321">
        <v>2684</v>
      </c>
      <c r="AA8" s="348">
        <f t="shared" si="9"/>
        <v>8002.3428571428576</v>
      </c>
      <c r="AB8" s="348">
        <f t="shared" si="10"/>
        <v>1259.3116279069768</v>
      </c>
    </row>
    <row r="9" spans="1:28" x14ac:dyDescent="0.25">
      <c r="A9" s="357" t="s">
        <v>648</v>
      </c>
      <c r="B9" s="319">
        <v>28</v>
      </c>
      <c r="C9" s="348">
        <v>57</v>
      </c>
      <c r="D9" s="324" t="s">
        <v>128</v>
      </c>
      <c r="E9" s="324">
        <v>4</v>
      </c>
      <c r="F9" s="358">
        <v>1</v>
      </c>
      <c r="G9" s="349">
        <v>7</v>
      </c>
      <c r="H9" s="350">
        <f t="shared" si="0"/>
        <v>1.2041199826559248</v>
      </c>
      <c r="I9" s="350">
        <v>0</v>
      </c>
      <c r="J9" s="350">
        <v>3</v>
      </c>
      <c r="K9" s="350">
        <v>14</v>
      </c>
      <c r="L9" s="350">
        <v>4</v>
      </c>
      <c r="M9" s="350">
        <v>8</v>
      </c>
      <c r="N9" s="350">
        <v>10</v>
      </c>
      <c r="O9" s="350">
        <v>15</v>
      </c>
      <c r="P9" s="359">
        <f t="shared" si="1"/>
        <v>0.96896470608359264</v>
      </c>
      <c r="Q9" s="359">
        <f t="shared" si="2"/>
        <v>2.0507189546742701</v>
      </c>
      <c r="R9" s="359">
        <f t="shared" si="3"/>
        <v>0.48448235304179632</v>
      </c>
      <c r="S9" s="359">
        <f t="shared" si="4"/>
        <v>16.126797386685677</v>
      </c>
      <c r="T9" s="359">
        <f t="shared" si="5"/>
        <v>2.5620797388314758</v>
      </c>
      <c r="U9" s="359">
        <f t="shared" si="6"/>
        <v>5.9998653600638079</v>
      </c>
      <c r="V9" s="359">
        <f t="shared" si="7"/>
        <v>1.2810398694157379</v>
      </c>
      <c r="W9" s="539">
        <f t="shared" si="8"/>
        <v>22.12110516166959</v>
      </c>
      <c r="X9" s="319">
        <v>5500</v>
      </c>
      <c r="Y9" s="362">
        <v>30.4</v>
      </c>
      <c r="Z9" s="321">
        <v>1350</v>
      </c>
      <c r="AA9" s="348">
        <f t="shared" si="9"/>
        <v>7176.3428571428576</v>
      </c>
      <c r="AB9" s="348">
        <f t="shared" si="10"/>
        <v>1297.3168986083499</v>
      </c>
    </row>
    <row r="10" spans="1:28" x14ac:dyDescent="0.25">
      <c r="A10" s="357" t="s">
        <v>645</v>
      </c>
      <c r="B10" s="319">
        <v>26</v>
      </c>
      <c r="C10" s="348">
        <v>20</v>
      </c>
      <c r="D10" s="324" t="s">
        <v>138</v>
      </c>
      <c r="E10" s="324">
        <v>3</v>
      </c>
      <c r="F10" s="358">
        <v>1</v>
      </c>
      <c r="G10" s="349">
        <v>6</v>
      </c>
      <c r="H10" s="350">
        <f t="shared" si="0"/>
        <v>1.1267973866856758</v>
      </c>
      <c r="I10" s="350">
        <v>0</v>
      </c>
      <c r="J10" s="350">
        <v>9</v>
      </c>
      <c r="K10" s="350">
        <v>14</v>
      </c>
      <c r="L10" s="350">
        <v>3</v>
      </c>
      <c r="M10" s="350">
        <v>3</v>
      </c>
      <c r="N10" s="350">
        <v>8</v>
      </c>
      <c r="O10" s="350">
        <v>16</v>
      </c>
      <c r="P10" s="359">
        <f t="shared" si="1"/>
        <v>2.0860941150966781</v>
      </c>
      <c r="Q10" s="359">
        <f t="shared" si="2"/>
        <v>4.4150140002046099</v>
      </c>
      <c r="R10" s="359">
        <f t="shared" si="3"/>
        <v>1.043047057548339</v>
      </c>
      <c r="S10" s="359">
        <f t="shared" si="4"/>
        <v>16.037535000511525</v>
      </c>
      <c r="T10" s="359">
        <f t="shared" si="5"/>
        <v>1.2744963551294159</v>
      </c>
      <c r="U10" s="359">
        <f t="shared" si="6"/>
        <v>3.8256817852818505</v>
      </c>
      <c r="V10" s="359">
        <f t="shared" si="7"/>
        <v>0.63724817756470797</v>
      </c>
      <c r="W10" s="539">
        <f t="shared" si="8"/>
        <v>19.180222224575346</v>
      </c>
      <c r="X10" s="319">
        <v>9000</v>
      </c>
      <c r="Y10" s="362">
        <f>25.3*1.2</f>
        <v>30.36</v>
      </c>
      <c r="Z10" s="321">
        <v>2500</v>
      </c>
      <c r="AA10" s="348">
        <f t="shared" si="9"/>
        <v>11485.182857142856</v>
      </c>
      <c r="AB10" s="348">
        <f t="shared" si="10"/>
        <v>1317.1995811518323</v>
      </c>
    </row>
    <row r="11" spans="1:28" x14ac:dyDescent="0.25">
      <c r="A11" s="357" t="s">
        <v>644</v>
      </c>
      <c r="B11" s="319">
        <v>26</v>
      </c>
      <c r="C11" s="348">
        <v>38</v>
      </c>
      <c r="D11" s="324" t="s">
        <v>157</v>
      </c>
      <c r="E11" s="324">
        <v>4</v>
      </c>
      <c r="F11" s="358">
        <v>1</v>
      </c>
      <c r="G11" s="349">
        <v>6</v>
      </c>
      <c r="H11" s="350">
        <f t="shared" si="0"/>
        <v>1.1267973866856758</v>
      </c>
      <c r="I11" s="350">
        <v>0</v>
      </c>
      <c r="J11" s="350">
        <v>9</v>
      </c>
      <c r="K11" s="350">
        <v>14</v>
      </c>
      <c r="L11" s="350">
        <v>4</v>
      </c>
      <c r="M11" s="350">
        <v>3</v>
      </c>
      <c r="N11" s="350">
        <v>8</v>
      </c>
      <c r="O11" s="350">
        <v>17</v>
      </c>
      <c r="P11" s="359">
        <f t="shared" si="1"/>
        <v>2.0860941150966781</v>
      </c>
      <c r="Q11" s="359">
        <f t="shared" si="2"/>
        <v>4.4150140002046099</v>
      </c>
      <c r="R11" s="359">
        <f t="shared" si="3"/>
        <v>1.043047057548339</v>
      </c>
      <c r="S11" s="359">
        <f t="shared" si="4"/>
        <v>16.037535000511525</v>
      </c>
      <c r="T11" s="359">
        <f t="shared" si="5"/>
        <v>1.2744963551294159</v>
      </c>
      <c r="U11" s="359">
        <f t="shared" si="6"/>
        <v>3.8256817852818505</v>
      </c>
      <c r="V11" s="359">
        <f t="shared" si="7"/>
        <v>0.63724817756470797</v>
      </c>
      <c r="W11" s="539">
        <f t="shared" si="8"/>
        <v>19.730222224575343</v>
      </c>
      <c r="X11" s="319">
        <v>9000</v>
      </c>
      <c r="Y11" s="362">
        <v>28.1</v>
      </c>
      <c r="Z11" s="321">
        <v>2500</v>
      </c>
      <c r="AA11" s="348">
        <f t="shared" si="9"/>
        <v>11372.442857142856</v>
      </c>
      <c r="AB11" s="348">
        <f t="shared" si="10"/>
        <v>1332.0557640750667</v>
      </c>
    </row>
    <row r="12" spans="1:28" x14ac:dyDescent="0.25">
      <c r="A12" s="357" t="s">
        <v>643</v>
      </c>
      <c r="B12" s="319">
        <v>26</v>
      </c>
      <c r="C12" s="348">
        <v>36</v>
      </c>
      <c r="D12" s="324" t="s">
        <v>134</v>
      </c>
      <c r="E12" s="324">
        <v>1</v>
      </c>
      <c r="F12" s="358">
        <v>1</v>
      </c>
      <c r="G12" s="349">
        <v>5</v>
      </c>
      <c r="H12" s="350">
        <f t="shared" si="0"/>
        <v>1.0375350005115249</v>
      </c>
      <c r="I12" s="350">
        <v>0</v>
      </c>
      <c r="J12" s="350">
        <v>9</v>
      </c>
      <c r="K12" s="350">
        <v>14</v>
      </c>
      <c r="L12" s="350">
        <v>3</v>
      </c>
      <c r="M12" s="350">
        <v>2</v>
      </c>
      <c r="N12" s="350">
        <v>9</v>
      </c>
      <c r="O12" s="350">
        <v>16</v>
      </c>
      <c r="P12" s="359">
        <f t="shared" si="1"/>
        <v>2.0661404410926765</v>
      </c>
      <c r="Q12" s="359">
        <f t="shared" si="2"/>
        <v>4.3727840023125433</v>
      </c>
      <c r="R12" s="359">
        <f t="shared" si="3"/>
        <v>1.0330702205463382</v>
      </c>
      <c r="S12" s="359">
        <f t="shared" si="4"/>
        <v>15.931960005781358</v>
      </c>
      <c r="T12" s="359">
        <f t="shared" si="5"/>
        <v>0.99478588146268376</v>
      </c>
      <c r="U12" s="359">
        <f t="shared" si="6"/>
        <v>3.6365099631855284</v>
      </c>
      <c r="V12" s="359">
        <f t="shared" si="7"/>
        <v>0.49739294073134188</v>
      </c>
      <c r="W12" s="539">
        <f t="shared" si="8"/>
        <v>20.642952351130468</v>
      </c>
      <c r="X12" s="319">
        <v>9000</v>
      </c>
      <c r="Y12" s="362">
        <v>28.9</v>
      </c>
      <c r="Z12" s="321">
        <v>2500</v>
      </c>
      <c r="AA12" s="348">
        <f t="shared" si="9"/>
        <v>11431.728571428572</v>
      </c>
      <c r="AB12" s="348">
        <f t="shared" si="10"/>
        <v>1337.3711229946525</v>
      </c>
    </row>
    <row r="13" spans="1:28" x14ac:dyDescent="0.25">
      <c r="A13" s="357" t="s">
        <v>642</v>
      </c>
      <c r="B13" s="319">
        <v>26</v>
      </c>
      <c r="C13" s="348">
        <v>21</v>
      </c>
      <c r="D13" s="324" t="s">
        <v>128</v>
      </c>
      <c r="E13" s="324">
        <v>4</v>
      </c>
      <c r="F13" s="358">
        <v>1</v>
      </c>
      <c r="G13" s="349">
        <v>6</v>
      </c>
      <c r="H13" s="350">
        <f t="shared" si="0"/>
        <v>1.1267973866856758</v>
      </c>
      <c r="I13" s="350">
        <v>0</v>
      </c>
      <c r="J13" s="350">
        <v>9</v>
      </c>
      <c r="K13" s="350">
        <v>14</v>
      </c>
      <c r="L13" s="350">
        <v>3</v>
      </c>
      <c r="M13" s="350">
        <v>2</v>
      </c>
      <c r="N13" s="350">
        <v>9</v>
      </c>
      <c r="O13" s="350">
        <v>16</v>
      </c>
      <c r="P13" s="359">
        <f t="shared" si="1"/>
        <v>2.0860941150966781</v>
      </c>
      <c r="Q13" s="359">
        <f t="shared" si="2"/>
        <v>4.4150140002046099</v>
      </c>
      <c r="R13" s="359">
        <f t="shared" si="3"/>
        <v>1.043047057548339</v>
      </c>
      <c r="S13" s="359">
        <f t="shared" si="4"/>
        <v>16.037535000511525</v>
      </c>
      <c r="T13" s="359">
        <f t="shared" si="5"/>
        <v>1.0214963551294158</v>
      </c>
      <c r="U13" s="359">
        <f t="shared" si="6"/>
        <v>3.6946817852818503</v>
      </c>
      <c r="V13" s="359">
        <f t="shared" si="7"/>
        <v>0.51074817756470792</v>
      </c>
      <c r="W13" s="539">
        <f t="shared" si="8"/>
        <v>20.840222224575342</v>
      </c>
      <c r="X13" s="319">
        <v>9000</v>
      </c>
      <c r="Y13" s="362">
        <v>34</v>
      </c>
      <c r="Z13" s="321">
        <v>2500</v>
      </c>
      <c r="AA13" s="348">
        <f t="shared" si="9"/>
        <v>11788</v>
      </c>
      <c r="AB13" s="348">
        <f t="shared" si="10"/>
        <v>1363.3761467889908</v>
      </c>
    </row>
    <row r="14" spans="1:28" x14ac:dyDescent="0.25">
      <c r="A14" s="357" t="s">
        <v>641</v>
      </c>
      <c r="B14" s="319">
        <v>26</v>
      </c>
      <c r="C14" s="348">
        <v>59</v>
      </c>
      <c r="D14" s="324" t="s">
        <v>128</v>
      </c>
      <c r="E14" s="324">
        <v>4</v>
      </c>
      <c r="F14" s="358">
        <v>1</v>
      </c>
      <c r="G14" s="349">
        <v>5</v>
      </c>
      <c r="H14" s="350">
        <f t="shared" si="0"/>
        <v>1.0375350005115249</v>
      </c>
      <c r="I14" s="350">
        <v>0</v>
      </c>
      <c r="J14" s="350">
        <v>9</v>
      </c>
      <c r="K14" s="350">
        <v>14</v>
      </c>
      <c r="L14" s="350">
        <v>2</v>
      </c>
      <c r="M14" s="350">
        <v>4</v>
      </c>
      <c r="N14" s="350">
        <v>8</v>
      </c>
      <c r="O14" s="350">
        <v>16</v>
      </c>
      <c r="P14" s="359">
        <f t="shared" si="1"/>
        <v>2.0661404410926765</v>
      </c>
      <c r="Q14" s="359">
        <f t="shared" si="2"/>
        <v>4.3727840023125433</v>
      </c>
      <c r="R14" s="359">
        <f t="shared" si="3"/>
        <v>1.0330702205463382</v>
      </c>
      <c r="S14" s="359">
        <f t="shared" si="4"/>
        <v>15.931960005781358</v>
      </c>
      <c r="T14" s="359">
        <f t="shared" si="5"/>
        <v>1.5007858814626838</v>
      </c>
      <c r="U14" s="359">
        <f t="shared" si="6"/>
        <v>4.1085099631855284</v>
      </c>
      <c r="V14" s="359">
        <f t="shared" si="7"/>
        <v>0.75039294073134188</v>
      </c>
      <c r="W14" s="539">
        <f t="shared" si="8"/>
        <v>18.982952351130471</v>
      </c>
      <c r="X14" s="319">
        <v>9000</v>
      </c>
      <c r="Y14" s="362">
        <v>33.4</v>
      </c>
      <c r="Z14" s="321">
        <v>2300</v>
      </c>
      <c r="AA14" s="348">
        <f t="shared" si="9"/>
        <v>11920.114285714286</v>
      </c>
      <c r="AB14" s="348">
        <f t="shared" si="10"/>
        <v>1486.1417931034482</v>
      </c>
    </row>
    <row r="15" spans="1:28" x14ac:dyDescent="0.25">
      <c r="A15" s="357"/>
      <c r="C15" s="348"/>
      <c r="D15" s="324"/>
      <c r="E15" s="324"/>
      <c r="F15" s="358"/>
      <c r="G15" s="349"/>
      <c r="H15" s="350"/>
      <c r="I15" s="350"/>
      <c r="J15" s="350"/>
      <c r="K15" s="350"/>
      <c r="L15" s="350"/>
      <c r="M15" s="350"/>
      <c r="N15" s="350"/>
      <c r="O15" s="350"/>
      <c r="P15" s="359"/>
      <c r="Q15" s="359"/>
      <c r="R15" s="359"/>
      <c r="S15" s="359"/>
      <c r="T15" s="359"/>
      <c r="U15" s="359"/>
      <c r="V15" s="359"/>
      <c r="W15" s="539"/>
      <c r="Y15" s="362"/>
      <c r="Z15" s="321"/>
      <c r="AA15" s="348"/>
      <c r="AB15" s="348"/>
    </row>
    <row r="16" spans="1:28" x14ac:dyDescent="0.25">
      <c r="A16" s="357"/>
      <c r="C16" s="348"/>
      <c r="D16" s="324"/>
      <c r="E16" s="324"/>
      <c r="F16" s="358"/>
      <c r="G16" s="349"/>
      <c r="H16" s="350"/>
      <c r="I16" s="350"/>
      <c r="J16" s="350"/>
      <c r="K16" s="350"/>
      <c r="L16" s="350"/>
      <c r="M16" s="350"/>
      <c r="N16" s="350"/>
      <c r="O16" s="350"/>
      <c r="P16" s="359"/>
      <c r="Q16" s="359"/>
      <c r="R16" s="359"/>
      <c r="S16" s="359"/>
      <c r="T16" s="359"/>
      <c r="U16" s="359"/>
      <c r="V16" s="359"/>
      <c r="W16" s="539"/>
      <c r="Y16" s="362"/>
      <c r="Z16" s="321"/>
      <c r="AA16" s="348"/>
      <c r="AB16" s="348"/>
    </row>
    <row r="17" spans="1:28" x14ac:dyDescent="0.25">
      <c r="A17" s="357"/>
      <c r="C17" s="348"/>
      <c r="D17" s="324"/>
      <c r="E17" s="324"/>
      <c r="F17" s="358"/>
      <c r="G17" s="349"/>
      <c r="H17" s="350"/>
      <c r="I17" s="350"/>
      <c r="J17" s="350"/>
      <c r="K17" s="350"/>
      <c r="L17" s="350"/>
      <c r="M17" s="350"/>
      <c r="N17" s="350"/>
      <c r="O17" s="350"/>
      <c r="P17" s="359"/>
      <c r="Q17" s="359"/>
      <c r="R17" s="359"/>
      <c r="S17" s="359"/>
      <c r="T17" s="359"/>
      <c r="U17" s="359"/>
      <c r="V17" s="359"/>
      <c r="W17" s="539"/>
      <c r="Y17" s="362"/>
      <c r="Z17" s="321"/>
      <c r="AA17" s="348"/>
      <c r="AB17" s="348"/>
    </row>
    <row r="18" spans="1:28" x14ac:dyDescent="0.25">
      <c r="A18" s="357"/>
      <c r="C18" s="348"/>
      <c r="D18" s="324"/>
      <c r="E18" s="324"/>
      <c r="F18" s="358"/>
      <c r="G18" s="349"/>
      <c r="H18" s="350"/>
      <c r="I18" s="350"/>
      <c r="J18" s="350"/>
      <c r="K18" s="350"/>
      <c r="L18" s="350"/>
      <c r="M18" s="350"/>
      <c r="N18" s="350"/>
      <c r="O18" s="350"/>
      <c r="P18" s="359"/>
      <c r="Q18" s="359"/>
      <c r="R18" s="359"/>
      <c r="S18" s="359"/>
      <c r="T18" s="359"/>
      <c r="U18" s="359"/>
      <c r="V18" s="359"/>
      <c r="W18" s="539"/>
      <c r="Y18" s="362"/>
      <c r="Z18" s="321"/>
      <c r="AA18" s="348"/>
      <c r="AB18" s="348"/>
    </row>
    <row r="19" spans="1:28" x14ac:dyDescent="0.25">
      <c r="A19" s="357"/>
      <c r="C19" s="348"/>
      <c r="D19" s="324"/>
      <c r="E19" s="324"/>
      <c r="F19" s="358"/>
      <c r="G19" s="349"/>
      <c r="H19" s="350"/>
      <c r="I19" s="350"/>
      <c r="J19" s="350"/>
      <c r="K19" s="350"/>
      <c r="L19" s="350"/>
      <c r="M19" s="350"/>
      <c r="N19" s="350"/>
      <c r="O19" s="350"/>
      <c r="P19" s="359"/>
      <c r="Q19" s="359"/>
      <c r="R19" s="359"/>
      <c r="S19" s="359"/>
      <c r="T19" s="359"/>
      <c r="U19" s="359"/>
      <c r="V19" s="359"/>
      <c r="W19" s="539"/>
      <c r="Y19" s="362"/>
      <c r="Z19" s="321"/>
      <c r="AA19" s="348"/>
      <c r="AB19" s="348"/>
    </row>
    <row r="20" spans="1:28" x14ac:dyDescent="0.25">
      <c r="A20" s="357"/>
      <c r="C20" s="348"/>
      <c r="D20" s="324"/>
      <c r="E20" s="324"/>
      <c r="F20" s="358"/>
      <c r="G20" s="349"/>
      <c r="H20" s="350"/>
      <c r="I20" s="350"/>
      <c r="J20" s="350"/>
      <c r="K20" s="350"/>
      <c r="L20" s="350"/>
      <c r="M20" s="350"/>
      <c r="N20" s="350"/>
      <c r="O20" s="350"/>
      <c r="P20" s="359"/>
      <c r="Q20" s="359"/>
      <c r="R20" s="359"/>
      <c r="S20" s="359"/>
      <c r="T20" s="359"/>
      <c r="U20" s="359"/>
      <c r="V20" s="359"/>
      <c r="W20" s="539"/>
      <c r="Y20" s="362"/>
      <c r="Z20" s="321"/>
      <c r="AA20" s="348"/>
      <c r="AB20" s="348"/>
    </row>
    <row r="21" spans="1:28" x14ac:dyDescent="0.25">
      <c r="A21" s="357"/>
      <c r="C21" s="348"/>
      <c r="D21" s="324"/>
      <c r="E21" s="324"/>
      <c r="F21" s="358"/>
      <c r="G21" s="349"/>
      <c r="H21" s="350"/>
      <c r="I21" s="350"/>
      <c r="J21" s="350"/>
      <c r="K21" s="350"/>
      <c r="L21" s="350"/>
      <c r="M21" s="350"/>
      <c r="N21" s="350"/>
      <c r="O21" s="350"/>
      <c r="P21" s="359"/>
      <c r="Q21" s="359"/>
      <c r="R21" s="359"/>
      <c r="S21" s="359"/>
      <c r="T21" s="359"/>
      <c r="U21" s="359"/>
      <c r="V21" s="359"/>
      <c r="W21" s="539"/>
      <c r="Y21" s="362"/>
      <c r="Z21" s="321"/>
      <c r="AA21" s="348"/>
      <c r="AB21" s="348"/>
    </row>
  </sheetData>
  <conditionalFormatting sqref="G3:H21">
    <cfRule type="cellIs" dxfId="1" priority="20" operator="greaterThan">
      <formula>7</formula>
    </cfRule>
  </conditionalFormatting>
  <conditionalFormatting sqref="P15:V21 P3:R14 T3:V14">
    <cfRule type="cellIs" dxfId="0" priority="19" operator="greaterThan">
      <formula>12.5</formula>
    </cfRule>
  </conditionalFormatting>
  <conditionalFormatting sqref="W10:W21">
    <cfRule type="colorScale" priority="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0:AA21">
    <cfRule type="dataBar" priority="5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{F9A43D98-873F-416C-BCC5-CAC770D9B1CF}</x14:id>
        </ext>
      </extLst>
    </cfRule>
  </conditionalFormatting>
  <conditionalFormatting sqref="I8:O21">
    <cfRule type="colorScale" priority="565">
      <colorScale>
        <cfvo type="min"/>
        <cfvo type="max"/>
        <color rgb="FFFCFCFF"/>
        <color rgb="FFF8696B"/>
      </colorScale>
    </cfRule>
  </conditionalFormatting>
  <conditionalFormatting sqref="P8:R21">
    <cfRule type="colorScale" priority="567">
      <colorScale>
        <cfvo type="min"/>
        <cfvo type="max"/>
        <color rgb="FFFCFCFF"/>
        <color rgb="FFF8696B"/>
      </colorScale>
    </cfRule>
  </conditionalFormatting>
  <conditionalFormatting sqref="S15:S21">
    <cfRule type="colorScale" priority="56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8:V21">
    <cfRule type="colorScale" priority="571">
      <colorScale>
        <cfvo type="min"/>
        <cfvo type="max"/>
        <color rgb="FFFCFCFF"/>
        <color rgb="FF63BE7B"/>
      </colorScale>
    </cfRule>
  </conditionalFormatting>
  <conditionalFormatting sqref="I3:O7">
    <cfRule type="colorScale" priority="601">
      <colorScale>
        <cfvo type="min"/>
        <cfvo type="max"/>
        <color rgb="FFFCFCFF"/>
        <color rgb="FFF8696B"/>
      </colorScale>
    </cfRule>
  </conditionalFormatting>
  <conditionalFormatting sqref="P3:R7">
    <cfRule type="colorScale" priority="602">
      <colorScale>
        <cfvo type="min"/>
        <cfvo type="max"/>
        <color rgb="FFFCFCFF"/>
        <color rgb="FFF8696B"/>
      </colorScale>
    </cfRule>
  </conditionalFormatting>
  <conditionalFormatting sqref="T3:V7">
    <cfRule type="colorScale" priority="604">
      <colorScale>
        <cfvo type="min"/>
        <cfvo type="max"/>
        <color rgb="FFFCFCFF"/>
        <color rgb="FF63BE7B"/>
      </colorScale>
    </cfRule>
  </conditionalFormatting>
  <conditionalFormatting sqref="W3:W21">
    <cfRule type="colorScale" priority="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:AA21">
    <cfRule type="dataBar" priority="6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{548B3575-428A-45F5-899F-5D858072C05B}</x14:id>
        </ext>
      </extLst>
    </cfRule>
  </conditionalFormatting>
  <conditionalFormatting sqref="AB3:AB21">
    <cfRule type="dataBar" priority="60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{87FA32BA-0320-4585-9E07-1821D16A9B46}</x14:id>
        </ext>
      </extLst>
    </cfRule>
  </conditionalFormatting>
  <conditionalFormatting sqref="AB3:AB21">
    <cfRule type="dataBar" priority="60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{53EE0BE7-505C-485E-931B-8E8603DC2A0C}</x14:id>
        </ext>
      </extLst>
    </cfRule>
  </conditionalFormatting>
  <conditionalFormatting sqref="S3:S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9A43D98-873F-416C-BCC5-CAC770D9B1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AA10:AA21</xm:sqref>
        </x14:conditionalFormatting>
        <x14:conditionalFormatting xmlns:xm="http://schemas.microsoft.com/office/excel/2006/main">
          <x14:cfRule type="dataBar" id="{548B3575-428A-45F5-899F-5D858072C05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AA3:AA21</xm:sqref>
        </x14:conditionalFormatting>
        <x14:conditionalFormatting xmlns:xm="http://schemas.microsoft.com/office/excel/2006/main">
          <x14:cfRule type="dataBar" id="{87FA32BA-0320-4585-9E07-1821D16A9B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AB3:AB21</xm:sqref>
        </x14:conditionalFormatting>
        <x14:conditionalFormatting xmlns:xm="http://schemas.microsoft.com/office/excel/2006/main">
          <x14:cfRule type="dataBar" id="{53EE0BE7-505C-485E-931B-8E8603DC2A0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AB3:AB21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7A541-64A0-4017-BB4B-31BC0BA2834C}">
  <sheetPr>
    <tabColor rgb="FF7030A0"/>
  </sheetPr>
  <dimension ref="A1:D9"/>
  <sheetViews>
    <sheetView workbookViewId="0">
      <selection activeCell="C10" sqref="C10"/>
    </sheetView>
  </sheetViews>
  <sheetFormatPr baseColWidth="10" defaultRowHeight="15" x14ac:dyDescent="0.25"/>
  <cols>
    <col min="1" max="1" width="21.5703125" bestFit="1" customWidth="1"/>
    <col min="2" max="2" width="112.5703125" bestFit="1" customWidth="1"/>
    <col min="3" max="3" width="6.28515625" bestFit="1" customWidth="1"/>
    <col min="4" max="4" width="6.85546875" bestFit="1" customWidth="1"/>
  </cols>
  <sheetData>
    <row r="1" spans="1:4" x14ac:dyDescent="0.25">
      <c r="A1" t="s">
        <v>653</v>
      </c>
      <c r="B1" s="542">
        <v>44377</v>
      </c>
      <c r="C1" s="541"/>
    </row>
    <row r="2" spans="1:4" x14ac:dyDescent="0.25">
      <c r="A2" t="s">
        <v>654</v>
      </c>
      <c r="B2" s="542">
        <v>44392</v>
      </c>
      <c r="C2" s="541"/>
    </row>
    <row r="3" spans="1:4" x14ac:dyDescent="0.25">
      <c r="C3" s="541"/>
    </row>
    <row r="4" spans="1:4" x14ac:dyDescent="0.25">
      <c r="A4" s="3" t="s">
        <v>655</v>
      </c>
      <c r="B4" s="3" t="s">
        <v>656</v>
      </c>
      <c r="C4" s="2" t="s">
        <v>657</v>
      </c>
      <c r="D4" s="2" t="s">
        <v>658</v>
      </c>
    </row>
    <row r="5" spans="1:4" x14ac:dyDescent="0.25">
      <c r="A5" t="s">
        <v>659</v>
      </c>
      <c r="B5" t="s">
        <v>660</v>
      </c>
      <c r="C5" s="541">
        <v>2</v>
      </c>
      <c r="D5" s="541">
        <v>4</v>
      </c>
    </row>
    <row r="6" spans="1:4" x14ac:dyDescent="0.25">
      <c r="A6" t="s">
        <v>661</v>
      </c>
      <c r="B6" t="s">
        <v>662</v>
      </c>
      <c r="C6" s="541">
        <v>0</v>
      </c>
      <c r="D6" s="541">
        <v>1</v>
      </c>
    </row>
    <row r="7" spans="1:4" x14ac:dyDescent="0.25">
      <c r="A7" t="s">
        <v>663</v>
      </c>
      <c r="B7" t="s">
        <v>664</v>
      </c>
      <c r="C7" s="541">
        <v>0</v>
      </c>
      <c r="D7" s="541">
        <v>2</v>
      </c>
    </row>
    <row r="8" spans="1:4" x14ac:dyDescent="0.25">
      <c r="A8" t="s">
        <v>665</v>
      </c>
      <c r="B8" t="s">
        <v>666</v>
      </c>
      <c r="C8" s="541">
        <v>0</v>
      </c>
      <c r="D8" s="541">
        <v>2</v>
      </c>
    </row>
    <row r="9" spans="1:4" x14ac:dyDescent="0.25">
      <c r="A9" t="s">
        <v>667</v>
      </c>
      <c r="B9" t="s">
        <v>668</v>
      </c>
      <c r="C9" s="543" t="s">
        <v>669</v>
      </c>
      <c r="D9" s="54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  <pageSetUpPr fitToPage="1"/>
  </sheetPr>
  <dimension ref="A1:AS34"/>
  <sheetViews>
    <sheetView tabSelected="1" zoomScale="110" workbookViewId="0">
      <pane xSplit="9" ySplit="3" topLeftCell="J4" activePane="bottomRight" state="frozen"/>
      <selection pane="topRight"/>
      <selection pane="bottomLeft"/>
      <selection pane="bottomRight" activeCell="T9" sqref="T9"/>
    </sheetView>
  </sheetViews>
  <sheetFormatPr baseColWidth="10" defaultColWidth="11.42578125" defaultRowHeight="15" x14ac:dyDescent="0.25"/>
  <cols>
    <col min="1" max="1" width="4.7109375" customWidth="1"/>
    <col min="2" max="2" width="5.42578125" customWidth="1"/>
    <col min="3" max="3" width="5.5703125" style="58" customWidth="1"/>
    <col min="4" max="4" width="15.140625" style="52" bestFit="1" customWidth="1"/>
    <col min="5" max="5" width="5.5703125" customWidth="1"/>
    <col min="6" max="6" width="5" customWidth="1"/>
    <col min="7" max="7" width="4.5703125" style="57" customWidth="1"/>
    <col min="8" max="8" width="3.7109375" style="3" customWidth="1"/>
    <col min="9" max="9" width="4.85546875" customWidth="1"/>
    <col min="10" max="10" width="4.5703125" customWidth="1"/>
    <col min="11" max="11" width="4.7109375" style="57" customWidth="1"/>
    <col min="12" max="12" width="5.140625" customWidth="1"/>
    <col min="13" max="13" width="4.28515625" style="57" customWidth="1"/>
    <col min="14" max="14" width="5" style="57" customWidth="1"/>
    <col min="15" max="15" width="10.42578125" style="57" customWidth="1"/>
    <col min="16" max="16" width="5.5703125" style="57" customWidth="1"/>
    <col min="17" max="17" width="4.140625" style="57" customWidth="1"/>
    <col min="18" max="19" width="5.7109375" style="57" customWidth="1"/>
    <col min="20" max="20" width="12" customWidth="1"/>
    <col min="21" max="21" width="10.5703125" customWidth="1"/>
    <col min="22" max="22" width="11.140625" style="46" customWidth="1"/>
    <col min="23" max="23" width="7.5703125" style="46" customWidth="1"/>
    <col min="24" max="24" width="6.140625" style="46" customWidth="1"/>
    <col min="25" max="28" width="6.140625" customWidth="1"/>
    <col min="29" max="29" width="5.5703125" customWidth="1"/>
    <col min="30" max="30" width="6.140625" customWidth="1"/>
    <col min="31" max="31" width="9.5703125" style="46" customWidth="1"/>
    <col min="32" max="33" width="4.5703125" style="263" customWidth="1"/>
    <col min="34" max="34" width="7" style="378" bestFit="1" customWidth="1"/>
    <col min="35" max="35" width="6" style="263" bestFit="1" customWidth="1"/>
    <col min="36" max="36" width="6.5703125" style="263" customWidth="1"/>
    <col min="37" max="37" width="7" style="263" customWidth="1"/>
    <col min="38" max="38" width="6.5703125" style="263" customWidth="1"/>
    <col min="39" max="39" width="4.140625" customWidth="1"/>
    <col min="40" max="40" width="4.28515625" customWidth="1"/>
    <col min="41" max="41" width="5.28515625" customWidth="1"/>
    <col min="42" max="42" width="10.5703125" bestFit="1" customWidth="1"/>
    <col min="43" max="43" width="11.28515625" customWidth="1"/>
  </cols>
  <sheetData>
    <row r="1" spans="1:45" s="65" customFormat="1" x14ac:dyDescent="0.25">
      <c r="C1" s="208"/>
      <c r="D1" s="97">
        <f ca="1">TODAY()</f>
        <v>44418</v>
      </c>
      <c r="E1" s="548">
        <v>41471</v>
      </c>
      <c r="F1" s="548"/>
      <c r="G1" s="548"/>
      <c r="H1" s="66"/>
      <c r="I1" s="66"/>
      <c r="J1" s="66"/>
      <c r="K1" s="67"/>
      <c r="L1" s="66"/>
      <c r="M1" s="67"/>
      <c r="N1" s="67"/>
      <c r="O1" s="67"/>
      <c r="P1" s="67"/>
      <c r="Q1" s="208"/>
      <c r="R1" s="67"/>
      <c r="S1" s="67"/>
      <c r="T1" s="66"/>
      <c r="U1" s="66"/>
      <c r="V1" s="66"/>
      <c r="W1" s="66"/>
      <c r="X1" s="86"/>
      <c r="Y1" s="66"/>
      <c r="Z1" s="66"/>
      <c r="AA1" s="66"/>
      <c r="AB1" s="66"/>
      <c r="AC1" s="66"/>
      <c r="AD1" s="66"/>
      <c r="AE1" s="86"/>
      <c r="AF1" s="256"/>
      <c r="AG1" s="256"/>
      <c r="AH1" s="374"/>
      <c r="AI1" s="258"/>
      <c r="AJ1" s="257"/>
      <c r="AK1" s="257"/>
      <c r="AL1" s="257"/>
      <c r="AM1" s="66"/>
      <c r="AN1" s="66"/>
      <c r="AO1" s="66"/>
    </row>
    <row r="2" spans="1:45" s="2" customFormat="1" x14ac:dyDescent="0.25">
      <c r="A2" s="2">
        <v>16</v>
      </c>
      <c r="B2" s="72"/>
      <c r="C2" s="240"/>
      <c r="D2" s="241"/>
      <c r="E2" s="208"/>
      <c r="F2" s="208"/>
      <c r="I2" s="242">
        <f>AVERAGE(I4:I20)</f>
        <v>7.6000000000000014</v>
      </c>
      <c r="J2" s="208"/>
      <c r="K2" s="208"/>
      <c r="M2" s="242">
        <f>AVERAGE(M4:M20)</f>
        <v>6.511764705882352</v>
      </c>
      <c r="N2" s="208"/>
      <c r="O2" s="208"/>
      <c r="P2" s="208"/>
      <c r="Q2" s="242">
        <f t="shared" ref="Q2:V2" si="0">AVERAGE(Q4:Q20)</f>
        <v>5.6470588235294121</v>
      </c>
      <c r="R2" s="243">
        <f t="shared" si="0"/>
        <v>0.8951982272992558</v>
      </c>
      <c r="S2" s="243">
        <f t="shared" si="0"/>
        <v>0.95934452202367526</v>
      </c>
      <c r="T2" s="244">
        <f t="shared" si="0"/>
        <v>97611.176470588238</v>
      </c>
      <c r="U2" s="244">
        <f t="shared" si="0"/>
        <v>2453.5294117647059</v>
      </c>
      <c r="V2" s="244">
        <f t="shared" si="0"/>
        <v>23402.941176470587</v>
      </c>
      <c r="W2" s="74"/>
      <c r="X2" s="245">
        <f>(X4+X5)/2</f>
        <v>12.475</v>
      </c>
      <c r="Y2" s="245">
        <f>AVERAGE(Y4:Y14)</f>
        <v>10.107109557109554</v>
      </c>
      <c r="Z2" s="245">
        <f>AVERAGE(Z12:Z13)</f>
        <v>14.223776223776223</v>
      </c>
      <c r="AA2" s="245">
        <f>AVERAGE(AA7:AA10)</f>
        <v>1.5</v>
      </c>
      <c r="AB2" s="245">
        <f>AVERAGE(AB5:AB16)</f>
        <v>4.166666666666667</v>
      </c>
      <c r="AC2" s="245">
        <f>AVERAGE(AC16:AC16)</f>
        <v>7.25</v>
      </c>
      <c r="AD2" s="245">
        <f>AVERAGE(AD4:AD16)</f>
        <v>17.95</v>
      </c>
      <c r="AE2" s="74"/>
      <c r="AF2" s="259"/>
      <c r="AG2" s="259"/>
      <c r="AH2" s="375"/>
      <c r="AI2" s="260"/>
      <c r="AJ2" s="260"/>
      <c r="AK2" s="260"/>
      <c r="AL2" s="260"/>
    </row>
    <row r="3" spans="1:45" x14ac:dyDescent="0.25">
      <c r="A3" s="79" t="s">
        <v>82</v>
      </c>
      <c r="B3" s="79" t="s">
        <v>83</v>
      </c>
      <c r="C3" s="80" t="s">
        <v>510</v>
      </c>
      <c r="D3" s="81" t="s">
        <v>84</v>
      </c>
      <c r="E3" s="79" t="s">
        <v>85</v>
      </c>
      <c r="F3" s="79" t="s">
        <v>86</v>
      </c>
      <c r="G3" s="79" t="s">
        <v>87</v>
      </c>
      <c r="H3" s="79" t="s">
        <v>88</v>
      </c>
      <c r="I3" s="79" t="s">
        <v>89</v>
      </c>
      <c r="J3" s="79" t="s">
        <v>90</v>
      </c>
      <c r="K3" s="82" t="s">
        <v>91</v>
      </c>
      <c r="L3" s="82" t="s">
        <v>92</v>
      </c>
      <c r="M3" s="79" t="s">
        <v>93</v>
      </c>
      <c r="N3" s="79" t="s">
        <v>94</v>
      </c>
      <c r="O3" s="79" t="s">
        <v>95</v>
      </c>
      <c r="P3" s="79" t="s">
        <v>96</v>
      </c>
      <c r="Q3" s="79" t="s">
        <v>97</v>
      </c>
      <c r="R3" s="144" t="s">
        <v>98</v>
      </c>
      <c r="S3" s="144" t="s">
        <v>99</v>
      </c>
      <c r="T3" s="79" t="s">
        <v>100</v>
      </c>
      <c r="U3" s="79" t="s">
        <v>101</v>
      </c>
      <c r="V3" s="79" t="s">
        <v>102</v>
      </c>
      <c r="W3" s="79" t="s">
        <v>103</v>
      </c>
      <c r="X3" s="79" t="s">
        <v>104</v>
      </c>
      <c r="Y3" s="79" t="s">
        <v>105</v>
      </c>
      <c r="Z3" s="79" t="s">
        <v>106</v>
      </c>
      <c r="AA3" s="79" t="s">
        <v>107</v>
      </c>
      <c r="AB3" s="79" t="s">
        <v>108</v>
      </c>
      <c r="AC3" s="79" t="s">
        <v>109</v>
      </c>
      <c r="AD3" s="79" t="s">
        <v>87</v>
      </c>
      <c r="AE3" s="79" t="s">
        <v>110</v>
      </c>
      <c r="AF3" s="96" t="s">
        <v>111</v>
      </c>
      <c r="AG3" s="96" t="s">
        <v>112</v>
      </c>
      <c r="AH3" s="376" t="s">
        <v>114</v>
      </c>
      <c r="AI3" s="96" t="s">
        <v>115</v>
      </c>
      <c r="AJ3" s="96" t="s">
        <v>116</v>
      </c>
      <c r="AK3" s="96" t="s">
        <v>117</v>
      </c>
      <c r="AL3" s="96" t="s">
        <v>113</v>
      </c>
      <c r="AM3" s="79" t="s">
        <v>118</v>
      </c>
      <c r="AN3" s="79" t="s">
        <v>119</v>
      </c>
      <c r="AO3" s="79" t="s">
        <v>120</v>
      </c>
      <c r="AP3" s="121" t="s">
        <v>124</v>
      </c>
      <c r="AQ3" s="236" t="s">
        <v>125</v>
      </c>
    </row>
    <row r="4" spans="1:45" x14ac:dyDescent="0.25">
      <c r="A4" s="4" t="s">
        <v>507</v>
      </c>
      <c r="B4" s="4" t="s">
        <v>14</v>
      </c>
      <c r="C4" s="109">
        <f ca="1">((36*112)-(E4*112)-(F4))/112</f>
        <v>-5.9642857142857144</v>
      </c>
      <c r="D4" s="368" t="s">
        <v>126</v>
      </c>
      <c r="E4" s="54">
        <v>41</v>
      </c>
      <c r="F4" s="55">
        <f ca="1">-42406+$D$1-112-112-112-112-112-112-112-112-112-112-112-112-112-112-112-112-112</f>
        <v>108</v>
      </c>
      <c r="G4" s="70"/>
      <c r="H4" s="233">
        <v>6</v>
      </c>
      <c r="I4" s="56">
        <v>26</v>
      </c>
      <c r="J4" s="141">
        <f t="shared" ref="J4:J16" si="1">LOG(I4+1)*4/3</f>
        <v>1.9084850188786497</v>
      </c>
      <c r="K4" s="83">
        <f t="shared" ref="K4:K16" si="2">(H4)*(H4)*(I4)</f>
        <v>936</v>
      </c>
      <c r="L4" s="83">
        <f t="shared" ref="L4:L16" si="3">(H4+1)*(H4+1)*I4</f>
        <v>1274</v>
      </c>
      <c r="M4" s="77">
        <v>1.5</v>
      </c>
      <c r="N4" s="138">
        <f t="shared" ref="N4:N16" si="4">M4*10+19</f>
        <v>34</v>
      </c>
      <c r="O4" s="266">
        <v>42468</v>
      </c>
      <c r="P4" s="232">
        <f ca="1">IF((TODAY()-O4)&gt;335,1,((TODAY()-O4)^0.64)/(336^0.64))</f>
        <v>1</v>
      </c>
      <c r="Q4" s="138">
        <v>5</v>
      </c>
      <c r="R4" s="154">
        <f t="shared" ref="R4:R16" si="5">(Q4/7)^0.5</f>
        <v>0.84515425472851657</v>
      </c>
      <c r="S4" s="154">
        <f t="shared" ref="S4:S16" si="6">IF(Q4=7,1,((Q4+0.99)/7)^0.5)</f>
        <v>0.92504826128926143</v>
      </c>
      <c r="T4" s="91">
        <v>1540</v>
      </c>
      <c r="U4" s="207">
        <f t="shared" ref="U4:U20" si="7">T4-AP4</f>
        <v>-120</v>
      </c>
      <c r="V4" s="91">
        <v>1260</v>
      </c>
      <c r="W4" s="89">
        <f t="shared" ref="W4:W21" si="8">T4/V4</f>
        <v>1.2222222222222223</v>
      </c>
      <c r="X4" s="140">
        <v>9.9499999999999993</v>
      </c>
      <c r="Y4" s="141">
        <v>3.95</v>
      </c>
      <c r="Z4" s="140">
        <v>0</v>
      </c>
      <c r="AA4" s="141">
        <v>0</v>
      </c>
      <c r="AB4" s="140">
        <v>0</v>
      </c>
      <c r="AC4" s="141">
        <v>0</v>
      </c>
      <c r="AD4" s="140">
        <v>14.95</v>
      </c>
      <c r="AE4" s="235">
        <v>379</v>
      </c>
      <c r="AF4" s="261">
        <f t="shared" ref="AF4:AF16" ca="1" si="9">(Z4+P4+J4)*(Q4/7)^0.5</f>
        <v>2.4581184885194407</v>
      </c>
      <c r="AG4" s="261">
        <f t="shared" ref="AG4:AG16" ca="1" si="10">(Z4+P4+J4)*(IF(Q4=7,(Q4/7)^0.5,((Q4+1)/7)^0.5))</f>
        <v>2.6927338903652025</v>
      </c>
      <c r="AH4" s="449">
        <f t="shared" ref="AH4:AH13" ca="1" si="11">(1.66*(AC4+J4+P4)+0.55*(AD4+J4+P4)-7.6)*(Q4/7)^0.5</f>
        <v>5.9585503831964655</v>
      </c>
      <c r="AI4" s="447">
        <f t="shared" ref="AI4:AI13" ca="1" si="12">((AD4+J4+P4)*0.7+(AC4+J4+P4)*0.3)*(Q4/7)^0.5</f>
        <v>11.302657764253366</v>
      </c>
      <c r="AJ4" s="262">
        <f t="shared" ref="AJ4:AJ13" ca="1" si="13">(AD4+P4+(LOG(I4)*4/3))*(Q4/7)^0.5</f>
        <v>15.07470469007316</v>
      </c>
      <c r="AK4" s="262">
        <f t="shared" ref="AK4:AK13" ca="1" si="14">(AD4+P4+(LOG(I4)*4/3))*(IF(Q4=7,(Q4/7)^0.5,((Q4+1)/7)^0.5))</f>
        <v>16.513511612963988</v>
      </c>
      <c r="AL4" s="89">
        <f t="shared" ref="AL4:AL20" ca="1" si="15">(((Y4+P4+J4)+(AB4+P4+J4)*2)/8)*(Q4/7)^0.5</f>
        <v>1.3390893464669953</v>
      </c>
      <c r="AM4" s="138">
        <v>2</v>
      </c>
      <c r="AN4" s="138">
        <v>2</v>
      </c>
      <c r="AO4" s="154">
        <f t="shared" ref="AO4:AO16" si="16">IF(AM4=4,IF(AN4=0,0.137+0.0697,0.137+0.02),IF(AM4=3,IF(AN4=0,0.0958+0.0697,0.0958+0.02),IF(AM4=2,IF(AN4=0,0.0415+0.0697,0.0415+0.02),IF(AM4=1,IF(AN4=0,0.0294+0.0697,0.0294+0.02),IF(AM4=0,IF(AN4=0,0.0063+0.0697,0.0063+0.02))))))</f>
        <v>6.1499999999999999E-2</v>
      </c>
      <c r="AP4" s="91">
        <v>1660</v>
      </c>
      <c r="AQ4" s="237"/>
      <c r="AR4" s="110"/>
      <c r="AS4" s="112"/>
    </row>
    <row r="5" spans="1:45" x14ac:dyDescent="0.25">
      <c r="A5" s="4" t="s">
        <v>127</v>
      </c>
      <c r="B5" s="4" t="s">
        <v>14</v>
      </c>
      <c r="C5" s="109">
        <f t="shared" ref="C5:C20" ca="1" si="17">((36*112)-(E5*112)-(F5))/112</f>
        <v>9.6875</v>
      </c>
      <c r="D5" s="369" t="s">
        <v>487</v>
      </c>
      <c r="E5" s="54">
        <v>26</v>
      </c>
      <c r="F5" s="55">
        <f ca="1">82-44017+$D$1-112-112-112-112</f>
        <v>35</v>
      </c>
      <c r="G5" s="70" t="s">
        <v>128</v>
      </c>
      <c r="H5" s="108">
        <v>0</v>
      </c>
      <c r="I5" s="56">
        <v>6.5</v>
      </c>
      <c r="J5" s="141">
        <f t="shared" si="1"/>
        <v>1.1667483511889334</v>
      </c>
      <c r="K5" s="83">
        <f t="shared" si="2"/>
        <v>0</v>
      </c>
      <c r="L5" s="83">
        <f t="shared" si="3"/>
        <v>6.5</v>
      </c>
      <c r="M5" s="77">
        <v>6.9</v>
      </c>
      <c r="N5" s="138">
        <f t="shared" si="4"/>
        <v>88</v>
      </c>
      <c r="O5" s="266">
        <v>43878</v>
      </c>
      <c r="P5" s="232">
        <f ca="1">IF((TODAY()-O5)&gt;335,1,((TODAY()-O5)^0.64)/(336^0.64))</f>
        <v>1</v>
      </c>
      <c r="Q5" s="138">
        <v>7</v>
      </c>
      <c r="R5" s="154">
        <f t="shared" si="5"/>
        <v>1</v>
      </c>
      <c r="S5" s="154">
        <f t="shared" si="6"/>
        <v>1</v>
      </c>
      <c r="T5" s="316">
        <v>72070</v>
      </c>
      <c r="U5" s="207">
        <f t="shared" si="7"/>
        <v>0</v>
      </c>
      <c r="V5" s="91">
        <v>30996</v>
      </c>
      <c r="W5" s="89">
        <f t="shared" si="8"/>
        <v>2.3251387275777518</v>
      </c>
      <c r="X5" s="140">
        <v>15</v>
      </c>
      <c r="Y5" s="141">
        <f>6+3/5</f>
        <v>6.6</v>
      </c>
      <c r="Z5" s="140">
        <v>3</v>
      </c>
      <c r="AA5" s="141">
        <v>1</v>
      </c>
      <c r="AB5" s="140">
        <v>5</v>
      </c>
      <c r="AC5" s="141">
        <v>5</v>
      </c>
      <c r="AD5" s="140">
        <f>21+3/6</f>
        <v>21.5</v>
      </c>
      <c r="AE5" s="235">
        <v>1374</v>
      </c>
      <c r="AF5" s="261">
        <f t="shared" ca="1" si="9"/>
        <v>5.1667483511889332</v>
      </c>
      <c r="AG5" s="261">
        <f t="shared" ca="1" si="10"/>
        <v>5.1667483511889332</v>
      </c>
      <c r="AH5" s="449">
        <f t="shared" ca="1" si="11"/>
        <v>17.313513856127543</v>
      </c>
      <c r="AI5" s="447">
        <f t="shared" ca="1" si="12"/>
        <v>18.716748351188929</v>
      </c>
      <c r="AJ5" s="262">
        <f t="shared" ca="1" si="13"/>
        <v>23.583884475523806</v>
      </c>
      <c r="AK5" s="262">
        <f t="shared" ca="1" si="14"/>
        <v>23.583884475523806</v>
      </c>
      <c r="AL5" s="89">
        <f t="shared" ca="1" si="15"/>
        <v>2.8875306316958502</v>
      </c>
      <c r="AM5" s="138">
        <v>4</v>
      </c>
      <c r="AN5" s="138">
        <v>3</v>
      </c>
      <c r="AO5" s="154">
        <f t="shared" si="16"/>
        <v>0.157</v>
      </c>
      <c r="AP5" s="316">
        <v>72070</v>
      </c>
      <c r="AQ5" s="237"/>
      <c r="AR5" s="110"/>
      <c r="AS5" s="112"/>
    </row>
    <row r="6" spans="1:45" s="65" customFormat="1" x14ac:dyDescent="0.25">
      <c r="A6" s="4" t="s">
        <v>139</v>
      </c>
      <c r="B6" s="4" t="s">
        <v>169</v>
      </c>
      <c r="C6" s="109">
        <f t="shared" ca="1" si="17"/>
        <v>10.321428571428571</v>
      </c>
      <c r="D6" s="369" t="s">
        <v>140</v>
      </c>
      <c r="E6" s="54">
        <v>25</v>
      </c>
      <c r="F6" s="55">
        <f ca="1">-43670+$D$1-112-112-112-112-112-112</f>
        <v>76</v>
      </c>
      <c r="G6" s="70"/>
      <c r="H6" s="108">
        <v>3</v>
      </c>
      <c r="I6" s="56">
        <v>6</v>
      </c>
      <c r="J6" s="141">
        <f t="shared" si="1"/>
        <v>1.1267973866856758</v>
      </c>
      <c r="K6" s="83">
        <f t="shared" si="2"/>
        <v>54</v>
      </c>
      <c r="L6" s="83">
        <f t="shared" si="3"/>
        <v>96</v>
      </c>
      <c r="M6" s="77">
        <v>7</v>
      </c>
      <c r="N6" s="138">
        <f t="shared" si="4"/>
        <v>89</v>
      </c>
      <c r="O6" s="266">
        <v>43756</v>
      </c>
      <c r="P6" s="232">
        <f t="shared" ref="P6:P16" ca="1" si="18">IF((TODAY()-O6)&gt;335,1,((TODAY()-O6)^0.64)/(336^0.64))</f>
        <v>1</v>
      </c>
      <c r="Q6" s="138">
        <v>6</v>
      </c>
      <c r="R6" s="154">
        <f t="shared" si="5"/>
        <v>0.92582009977255142</v>
      </c>
      <c r="S6" s="154">
        <f t="shared" si="6"/>
        <v>0.99928545900129484</v>
      </c>
      <c r="T6" s="316">
        <v>94150</v>
      </c>
      <c r="U6" s="207">
        <f t="shared" si="7"/>
        <v>5360</v>
      </c>
      <c r="V6" s="91">
        <v>14610</v>
      </c>
      <c r="W6" s="89">
        <f t="shared" si="8"/>
        <v>6.4442162902121831</v>
      </c>
      <c r="X6" s="140">
        <v>0</v>
      </c>
      <c r="Y6" s="141">
        <f>13+7/12</f>
        <v>13.583333333333334</v>
      </c>
      <c r="Z6" s="140">
        <f>7+4/5</f>
        <v>7.8</v>
      </c>
      <c r="AA6" s="141">
        <v>3</v>
      </c>
      <c r="AB6" s="140">
        <v>5</v>
      </c>
      <c r="AC6" s="141">
        <f>7+1/6</f>
        <v>7.166666666666667</v>
      </c>
      <c r="AD6" s="140">
        <f>18+3/4</f>
        <v>18.75</v>
      </c>
      <c r="AE6" s="235">
        <v>1469</v>
      </c>
      <c r="AF6" s="261">
        <f t="shared" ca="1" si="9"/>
        <v>9.1904285469632345</v>
      </c>
      <c r="AG6" s="261">
        <f t="shared" ca="1" si="10"/>
        <v>9.926797386685676</v>
      </c>
      <c r="AH6" s="449">
        <f t="shared" ca="1" si="11"/>
        <v>17.877020349836673</v>
      </c>
      <c r="AI6" s="447">
        <f t="shared" ca="1" si="12"/>
        <v>16.110933792763056</v>
      </c>
      <c r="AJ6" s="262">
        <f t="shared" ca="1" si="13"/>
        <v>19.245517728198983</v>
      </c>
      <c r="AK6" s="262">
        <f t="shared" ca="1" si="14"/>
        <v>20.787535000511525</v>
      </c>
      <c r="AL6" s="89">
        <f t="shared" ca="1" si="15"/>
        <v>3.4676274157310005</v>
      </c>
      <c r="AM6" s="138">
        <v>3</v>
      </c>
      <c r="AN6" s="138">
        <v>1</v>
      </c>
      <c r="AO6" s="154">
        <f t="shared" si="16"/>
        <v>0.1158</v>
      </c>
      <c r="AP6" s="316">
        <v>88790</v>
      </c>
      <c r="AQ6" s="237">
        <v>2121</v>
      </c>
      <c r="AR6" s="110"/>
      <c r="AS6" s="112"/>
    </row>
    <row r="7" spans="1:45" s="65" customFormat="1" x14ac:dyDescent="0.25">
      <c r="A7" s="4" t="s">
        <v>141</v>
      </c>
      <c r="B7" s="4" t="s">
        <v>169</v>
      </c>
      <c r="C7" s="109">
        <f t="shared" ca="1" si="17"/>
        <v>9.8214285714285712</v>
      </c>
      <c r="D7" s="369" t="s">
        <v>142</v>
      </c>
      <c r="E7" s="54">
        <v>26</v>
      </c>
      <c r="F7" s="55">
        <f ca="1">-43571+$D$1+15-112-112-112-58-112-112-112-112</f>
        <v>20</v>
      </c>
      <c r="G7" s="70"/>
      <c r="H7" s="108">
        <v>3</v>
      </c>
      <c r="I7" s="56">
        <v>5</v>
      </c>
      <c r="J7" s="141">
        <f t="shared" si="1"/>
        <v>1.0375350005115249</v>
      </c>
      <c r="K7" s="83">
        <f t="shared" si="2"/>
        <v>45</v>
      </c>
      <c r="L7" s="83">
        <f t="shared" si="3"/>
        <v>80</v>
      </c>
      <c r="M7" s="77">
        <v>6.9</v>
      </c>
      <c r="N7" s="138">
        <f t="shared" si="4"/>
        <v>88</v>
      </c>
      <c r="O7" s="266">
        <v>43920</v>
      </c>
      <c r="P7" s="232">
        <f t="shared" ca="1" si="18"/>
        <v>1</v>
      </c>
      <c r="Q7" s="138">
        <v>6</v>
      </c>
      <c r="R7" s="154">
        <f t="shared" si="5"/>
        <v>0.92582009977255142</v>
      </c>
      <c r="S7" s="154">
        <f t="shared" si="6"/>
        <v>0.99928545900129484</v>
      </c>
      <c r="T7" s="316">
        <v>54140</v>
      </c>
      <c r="U7" s="207">
        <f t="shared" si="7"/>
        <v>-500</v>
      </c>
      <c r="V7" s="91">
        <v>11292</v>
      </c>
      <c r="W7" s="89">
        <f t="shared" si="8"/>
        <v>4.7945448104852995</v>
      </c>
      <c r="X7" s="140">
        <v>0</v>
      </c>
      <c r="Y7" s="141">
        <f>12+5/12</f>
        <v>12.416666666666666</v>
      </c>
      <c r="Z7" s="140">
        <f>6+1/5</f>
        <v>6.2</v>
      </c>
      <c r="AA7" s="141">
        <v>1</v>
      </c>
      <c r="AB7" s="140">
        <v>5</v>
      </c>
      <c r="AC7" s="141">
        <v>7</v>
      </c>
      <c r="AD7" s="140">
        <f>19+4/5</f>
        <v>19.8</v>
      </c>
      <c r="AE7" s="235">
        <v>1332</v>
      </c>
      <c r="AF7" s="261">
        <f t="shared" ca="1" si="9"/>
        <v>7.6264754760534643</v>
      </c>
      <c r="AG7" s="261">
        <f t="shared" ca="1" si="10"/>
        <v>8.2375350005115244</v>
      </c>
      <c r="AH7" s="449">
        <f t="shared" ca="1" si="11"/>
        <v>17.972901482603401</v>
      </c>
      <c r="AI7" s="447">
        <f t="shared" ca="1" si="12"/>
        <v>16.662479649833568</v>
      </c>
      <c r="AJ7" s="262">
        <f t="shared" ca="1" si="13"/>
        <v>20.119885380805595</v>
      </c>
      <c r="AK7" s="262">
        <f t="shared" ca="1" si="14"/>
        <v>21.73196000578136</v>
      </c>
      <c r="AL7" s="89">
        <f t="shared" ca="1" si="15"/>
        <v>3.3016216427865372</v>
      </c>
      <c r="AM7" s="138">
        <v>1</v>
      </c>
      <c r="AN7" s="138">
        <v>2</v>
      </c>
      <c r="AO7" s="154">
        <f t="shared" si="16"/>
        <v>4.9399999999999999E-2</v>
      </c>
      <c r="AP7" s="316">
        <v>54640</v>
      </c>
      <c r="AQ7" s="237">
        <v>2017</v>
      </c>
      <c r="AR7" s="110"/>
      <c r="AS7" s="112"/>
    </row>
    <row r="8" spans="1:45" x14ac:dyDescent="0.25">
      <c r="A8" s="4" t="s">
        <v>132</v>
      </c>
      <c r="B8" s="4" t="s">
        <v>37</v>
      </c>
      <c r="C8" s="109">
        <f t="shared" ca="1" si="17"/>
        <v>10.428571428571429</v>
      </c>
      <c r="D8" s="369" t="s">
        <v>135</v>
      </c>
      <c r="E8" s="54">
        <v>25</v>
      </c>
      <c r="F8" s="55">
        <f ca="1">84-41471+$D$1-2631-112-112-112</f>
        <v>64</v>
      </c>
      <c r="G8" s="70" t="s">
        <v>128</v>
      </c>
      <c r="H8" s="111">
        <v>2</v>
      </c>
      <c r="I8" s="56">
        <v>6.5</v>
      </c>
      <c r="J8" s="141">
        <f>LOG(I8+1)*4/3</f>
        <v>1.1667483511889334</v>
      </c>
      <c r="K8" s="83">
        <f>(H8)*(H8)*(I8)</f>
        <v>26</v>
      </c>
      <c r="L8" s="83">
        <f>(H8+1)*(H8+1)*I8</f>
        <v>58.5</v>
      </c>
      <c r="M8" s="77">
        <v>7</v>
      </c>
      <c r="N8" s="138">
        <f>M8*10+19</f>
        <v>89</v>
      </c>
      <c r="O8" s="266">
        <v>43884</v>
      </c>
      <c r="P8" s="232">
        <f ca="1">IF((TODAY()-O8)&gt;335,1,((TODAY()-O8)^0.64)/(336^0.64))</f>
        <v>1</v>
      </c>
      <c r="Q8" s="138">
        <v>5</v>
      </c>
      <c r="R8" s="154">
        <f>(Q8/7)^0.5</f>
        <v>0.84515425472851657</v>
      </c>
      <c r="S8" s="154">
        <f>IF(Q8=7,1,((Q8+0.99)/7)^0.5)</f>
        <v>0.92504826128926143</v>
      </c>
      <c r="T8" s="91">
        <v>94440</v>
      </c>
      <c r="U8" s="207">
        <f t="shared" si="7"/>
        <v>3840</v>
      </c>
      <c r="V8" s="91">
        <v>15828</v>
      </c>
      <c r="W8" s="89">
        <f>T8/V8</f>
        <v>5.9666413949962092</v>
      </c>
      <c r="X8" s="140">
        <v>0</v>
      </c>
      <c r="Y8" s="141">
        <f>13+3/13</f>
        <v>13.23076923076923</v>
      </c>
      <c r="Z8" s="140">
        <f>9+2/6</f>
        <v>9.3333333333333339</v>
      </c>
      <c r="AA8" s="141">
        <v>1</v>
      </c>
      <c r="AB8" s="140">
        <v>3</v>
      </c>
      <c r="AC8" s="141">
        <f>7+1.5/6</f>
        <v>7.25</v>
      </c>
      <c r="AD8" s="140">
        <f>18+1/4</f>
        <v>18.25</v>
      </c>
      <c r="AE8" s="235">
        <v>1478</v>
      </c>
      <c r="AF8" s="261">
        <f ca="1">(Z8+P8+J8)*(Q8/7)^0.5</f>
        <v>9.7193429653994805</v>
      </c>
      <c r="AG8" s="261">
        <f ca="1">(Z8+P8+J8)*(IF(Q8=7,(Q8/7)^0.5,((Q8+1)/7)^0.5))</f>
        <v>10.647006772556898</v>
      </c>
      <c r="AH8" s="449">
        <f t="shared" ca="1" si="11"/>
        <v>16.278527810891102</v>
      </c>
      <c r="AI8" s="447">
        <f t="shared" ca="1" si="12"/>
        <v>14.466292696124647</v>
      </c>
      <c r="AJ8" s="262">
        <f t="shared" ca="1" si="13"/>
        <v>17.185268979647077</v>
      </c>
      <c r="AK8" s="262">
        <f t="shared" ca="1" si="14"/>
        <v>18.825518953892985</v>
      </c>
      <c r="AL8" s="89">
        <f t="shared" ca="1" si="15"/>
        <v>2.7183345251108539</v>
      </c>
      <c r="AM8" s="138">
        <v>2</v>
      </c>
      <c r="AN8" s="138">
        <v>3</v>
      </c>
      <c r="AO8" s="154">
        <f>IF(AM8=4,IF(AN8=0,0.137+0.0697,0.137+0.02),IF(AM8=3,IF(AN8=0,0.0958+0.0697,0.0958+0.02),IF(AM8=2,IF(AN8=0,0.0415+0.0697,0.0415+0.02),IF(AM8=1,IF(AN8=0,0.0294+0.0697,0.0294+0.02),IF(AM8=0,IF(AN8=0,0.0063+0.0697,0.0063+0.02))))))</f>
        <v>6.1499999999999999E-2</v>
      </c>
      <c r="AP8" s="91">
        <v>90600</v>
      </c>
      <c r="AQ8" s="237"/>
      <c r="AR8" s="110"/>
      <c r="AS8" s="112"/>
    </row>
    <row r="9" spans="1:45" s="65" customFormat="1" x14ac:dyDescent="0.25">
      <c r="A9" s="4" t="s">
        <v>136</v>
      </c>
      <c r="B9" s="4" t="s">
        <v>37</v>
      </c>
      <c r="C9" s="109">
        <f t="shared" ca="1" si="17"/>
        <v>10.223214285714286</v>
      </c>
      <c r="D9" s="369" t="s">
        <v>137</v>
      </c>
      <c r="E9" s="54">
        <v>25</v>
      </c>
      <c r="F9" s="55">
        <f ca="1">-43570+$D$1-89-112-112-112-112-112-112</f>
        <v>87</v>
      </c>
      <c r="G9" s="70" t="s">
        <v>138</v>
      </c>
      <c r="H9" s="108">
        <v>2</v>
      </c>
      <c r="I9" s="56">
        <v>6.9</v>
      </c>
      <c r="J9" s="141">
        <f>LOG(I9+1)*4/3</f>
        <v>1.1968361217205887</v>
      </c>
      <c r="K9" s="83">
        <f>(H9)*(H9)*(I9)</f>
        <v>27.6</v>
      </c>
      <c r="L9" s="83">
        <f>(H9+1)*(H9+1)*I9</f>
        <v>62.1</v>
      </c>
      <c r="M9" s="77">
        <v>7</v>
      </c>
      <c r="N9" s="138">
        <f>M9*10+19</f>
        <v>89</v>
      </c>
      <c r="O9" s="266">
        <v>43739</v>
      </c>
      <c r="P9" s="232">
        <f ca="1">IF((TODAY()-O9)&gt;335,1,((TODAY()-O9)^0.64)/(336^0.64))</f>
        <v>1</v>
      </c>
      <c r="Q9" s="138">
        <v>5</v>
      </c>
      <c r="R9" s="154">
        <f>(Q9/7)^0.5</f>
        <v>0.84515425472851657</v>
      </c>
      <c r="S9" s="154">
        <f>IF(Q9=7,1,((Q9+0.99)/7)^0.5)</f>
        <v>0.92504826128926143</v>
      </c>
      <c r="T9" s="91">
        <v>88130</v>
      </c>
      <c r="U9" s="207">
        <f t="shared" si="7"/>
        <v>7020</v>
      </c>
      <c r="V9" s="91">
        <v>15156</v>
      </c>
      <c r="W9" s="89">
        <f>T9/V9</f>
        <v>5.814858801794669</v>
      </c>
      <c r="X9" s="140">
        <v>0</v>
      </c>
      <c r="Y9" s="141">
        <f>13+3/13</f>
        <v>13.23076923076923</v>
      </c>
      <c r="Z9" s="140">
        <f>9+3/6</f>
        <v>9.5</v>
      </c>
      <c r="AA9" s="141">
        <v>3</v>
      </c>
      <c r="AB9" s="140">
        <v>3</v>
      </c>
      <c r="AC9" s="141">
        <f>6+0.5/4</f>
        <v>6.125</v>
      </c>
      <c r="AD9" s="140">
        <f>17+3/4</f>
        <v>17.75</v>
      </c>
      <c r="AE9" s="235">
        <v>1430</v>
      </c>
      <c r="AF9" s="261">
        <f ca="1">(Z9+P9+J9)*(Q9/7)^0.5</f>
        <v>9.8856308151343555</v>
      </c>
      <c r="AG9" s="261">
        <f ca="1">(Z9+P9+J9)*(IF(Q9=7,(Q9/7)^0.5,((Q9+1)/7)^0.5))</f>
        <v>10.829165985234539</v>
      </c>
      <c r="AH9" s="449">
        <f t="shared" ca="1" si="11"/>
        <v>14.523982484224332</v>
      </c>
      <c r="AI9" s="447">
        <f t="shared" ca="1" si="12"/>
        <v>13.910677953278917</v>
      </c>
      <c r="AJ9" s="262">
        <f t="shared" ca="1" si="13"/>
        <v>16.791918113642005</v>
      </c>
      <c r="AK9" s="262">
        <f t="shared" ca="1" si="14"/>
        <v>18.394624669242646</v>
      </c>
      <c r="AL9" s="89">
        <f t="shared" ca="1" si="15"/>
        <v>2.7278703278409</v>
      </c>
      <c r="AM9" s="138">
        <v>2</v>
      </c>
      <c r="AN9" s="138">
        <v>2</v>
      </c>
      <c r="AO9" s="154">
        <f>IF(AM9=4,IF(AN9=0,0.137+0.0697,0.137+0.02),IF(AM9=3,IF(AN9=0,0.0958+0.0697,0.0958+0.02),IF(AM9=2,IF(AN9=0,0.0415+0.0697,0.0415+0.02),IF(AM9=1,IF(AN9=0,0.0294+0.0697,0.0294+0.02),IF(AM9=0,IF(AN9=0,0.0063+0.0697,0.0063+0.02))))))</f>
        <v>6.1499999999999999E-2</v>
      </c>
      <c r="AP9" s="91">
        <v>81110</v>
      </c>
      <c r="AQ9" s="237">
        <v>2040</v>
      </c>
      <c r="AR9" s="110"/>
      <c r="AS9" s="112"/>
    </row>
    <row r="10" spans="1:45" s="65" customFormat="1" x14ac:dyDescent="0.25">
      <c r="A10" s="4" t="s">
        <v>143</v>
      </c>
      <c r="B10" s="4" t="s">
        <v>37</v>
      </c>
      <c r="C10" s="109">
        <f t="shared" ca="1" si="17"/>
        <v>10.973214285714286</v>
      </c>
      <c r="D10" s="369" t="s">
        <v>144</v>
      </c>
      <c r="E10" s="54">
        <v>25</v>
      </c>
      <c r="F10" s="55">
        <f ca="1">-43657+$D$1-32-278-112-112-112-112</f>
        <v>3</v>
      </c>
      <c r="G10" s="70" t="s">
        <v>128</v>
      </c>
      <c r="H10" s="108">
        <v>3</v>
      </c>
      <c r="I10" s="56">
        <v>5.6</v>
      </c>
      <c r="J10" s="141">
        <f t="shared" si="1"/>
        <v>1.0927252473891582</v>
      </c>
      <c r="K10" s="83">
        <f t="shared" si="2"/>
        <v>50.4</v>
      </c>
      <c r="L10" s="83">
        <f t="shared" si="3"/>
        <v>89.6</v>
      </c>
      <c r="M10" s="77">
        <v>7.1</v>
      </c>
      <c r="N10" s="138">
        <f t="shared" si="4"/>
        <v>90</v>
      </c>
      <c r="O10" s="266">
        <v>43898</v>
      </c>
      <c r="P10" s="232">
        <f t="shared" ca="1" si="18"/>
        <v>1</v>
      </c>
      <c r="Q10" s="138">
        <v>4</v>
      </c>
      <c r="R10" s="154">
        <f t="shared" si="5"/>
        <v>0.7559289460184544</v>
      </c>
      <c r="S10" s="154">
        <f t="shared" si="6"/>
        <v>0.84430867747355465</v>
      </c>
      <c r="T10" s="316">
        <v>56980</v>
      </c>
      <c r="U10" s="207">
        <f t="shared" si="7"/>
        <v>2870</v>
      </c>
      <c r="V10" s="91">
        <v>11292</v>
      </c>
      <c r="W10" s="89">
        <f t="shared" si="8"/>
        <v>5.0460503010981226</v>
      </c>
      <c r="X10" s="140">
        <v>0</v>
      </c>
      <c r="Y10" s="141">
        <f>12+4/12</f>
        <v>12.333333333333334</v>
      </c>
      <c r="Z10" s="140">
        <f>8+4/5</f>
        <v>8.8000000000000007</v>
      </c>
      <c r="AA10" s="141">
        <v>1</v>
      </c>
      <c r="AB10" s="140">
        <v>6</v>
      </c>
      <c r="AC10" s="141">
        <v>6</v>
      </c>
      <c r="AD10" s="140">
        <f>18+2/4</f>
        <v>18.5</v>
      </c>
      <c r="AE10" s="235">
        <v>1364</v>
      </c>
      <c r="AF10" s="261">
        <f t="shared" ca="1" si="9"/>
        <v>8.2341263155274937</v>
      </c>
      <c r="AG10" s="261">
        <f t="shared" ca="1" si="10"/>
        <v>9.2060330884196802</v>
      </c>
      <c r="AH10" s="449">
        <f t="shared" ca="1" si="11"/>
        <v>12.971682353490184</v>
      </c>
      <c r="AI10" s="447">
        <f t="shared" ca="1" si="12"/>
        <v>12.731903544337298</v>
      </c>
      <c r="AJ10" s="262">
        <f t="shared" ca="1" si="13"/>
        <v>15.494717096264425</v>
      </c>
      <c r="AK10" s="262">
        <f t="shared" ca="1" si="14"/>
        <v>17.323620359687705</v>
      </c>
      <c r="AL10" s="89">
        <f t="shared" ca="1" si="15"/>
        <v>2.8925157239347095</v>
      </c>
      <c r="AM10" s="138">
        <v>3</v>
      </c>
      <c r="AN10" s="138">
        <v>3</v>
      </c>
      <c r="AO10" s="154">
        <f t="shared" si="16"/>
        <v>0.1158</v>
      </c>
      <c r="AP10" s="316">
        <v>54110</v>
      </c>
      <c r="AQ10" s="237">
        <v>5093</v>
      </c>
      <c r="AR10" s="110"/>
      <c r="AS10" s="112"/>
    </row>
    <row r="11" spans="1:45" s="1" customFormat="1" x14ac:dyDescent="0.25">
      <c r="A11" s="84" t="s">
        <v>509</v>
      </c>
      <c r="B11" s="4" t="s">
        <v>28</v>
      </c>
      <c r="C11" s="109">
        <f t="shared" ca="1" si="17"/>
        <v>6.5267857142857144</v>
      </c>
      <c r="D11" s="368" t="s">
        <v>508</v>
      </c>
      <c r="E11" s="54">
        <v>29</v>
      </c>
      <c r="F11" s="55">
        <f ca="1">+$D$1-44253-112</f>
        <v>53</v>
      </c>
      <c r="G11" s="70" t="s">
        <v>138</v>
      </c>
      <c r="H11" s="108">
        <v>4</v>
      </c>
      <c r="I11" s="56">
        <v>8.9</v>
      </c>
      <c r="J11" s="141">
        <f>LOG(I11+1)*4/3</f>
        <v>1.3275135927967332</v>
      </c>
      <c r="K11" s="83">
        <f>(H11)*(H11)*(I11)</f>
        <v>142.4</v>
      </c>
      <c r="L11" s="83">
        <f>(H11+1)*(H11+1)*I11</f>
        <v>222.5</v>
      </c>
      <c r="M11" s="77">
        <v>6.1</v>
      </c>
      <c r="N11" s="138">
        <f>M11*10+19</f>
        <v>80</v>
      </c>
      <c r="O11" s="266">
        <v>44307</v>
      </c>
      <c r="P11" s="232">
        <f t="shared" ca="1" si="18"/>
        <v>0.49220902087256579</v>
      </c>
      <c r="Q11" s="138">
        <v>6</v>
      </c>
      <c r="R11" s="154">
        <f>(Q11/7)^0.5</f>
        <v>0.92582009977255142</v>
      </c>
      <c r="S11" s="154">
        <f>IF(Q11=7,1,((Q11+0.99)/7)^0.5)</f>
        <v>0.99928545900129484</v>
      </c>
      <c r="T11" s="316">
        <v>140270</v>
      </c>
      <c r="U11" s="207">
        <f t="shared" si="7"/>
        <v>7500</v>
      </c>
      <c r="V11" s="91">
        <v>29136</v>
      </c>
      <c r="W11" s="89">
        <f>T11/V11</f>
        <v>4.8143190554640309</v>
      </c>
      <c r="X11" s="140">
        <v>0</v>
      </c>
      <c r="Y11" s="141">
        <f>8+0/9</f>
        <v>8</v>
      </c>
      <c r="Z11" s="140">
        <v>14</v>
      </c>
      <c r="AA11" s="141">
        <v>7</v>
      </c>
      <c r="AB11" s="140">
        <v>8</v>
      </c>
      <c r="AC11" s="141">
        <f>9+0.5/8</f>
        <v>9.0625</v>
      </c>
      <c r="AD11" s="140">
        <f>15+2/4</f>
        <v>15.5</v>
      </c>
      <c r="AE11" s="235">
        <v>1806</v>
      </c>
      <c r="AF11" s="261">
        <f ca="1">(Z11+P11+J11)*(Q11/7)^0.5</f>
        <v>14.646217168561398</v>
      </c>
      <c r="AG11" s="261">
        <f ca="1">(Z11+P11+J11)*(IF(Q11=7,(Q11/7)^0.5,((Q11+1)/7)^0.5))</f>
        <v>15.819722613669299</v>
      </c>
      <c r="AH11" s="449">
        <f t="shared" ca="1" si="11"/>
        <v>18.507455773800878</v>
      </c>
      <c r="AI11" s="447">
        <f t="shared" ca="1" si="12"/>
        <v>14.246957250534486</v>
      </c>
      <c r="AJ11" s="262">
        <f t="shared" ca="1" si="13"/>
        <v>15.977861018854478</v>
      </c>
      <c r="AK11" s="262">
        <f t="shared" ca="1" si="14"/>
        <v>17.258062363065783</v>
      </c>
      <c r="AL11" s="89">
        <f t="shared" ca="1" si="15"/>
        <v>3.4092362137222838</v>
      </c>
      <c r="AM11" s="138">
        <v>1</v>
      </c>
      <c r="AN11" s="138">
        <v>2</v>
      </c>
      <c r="AO11" s="154">
        <f>IF(AM11=4,IF(AN11=0,0.137+0.0697,0.137+0.02),IF(AM11=3,IF(AN11=0,0.0958+0.0697,0.0958+0.02),IF(AM11=2,IF(AN11=0,0.0415+0.0697,0.0415+0.02),IF(AM11=1,IF(AN11=0,0.0294+0.0697,0.0294+0.02),IF(AM11=0,IF(AN11=0,0.0063+0.0697,0.0063+0.02))))))</f>
        <v>4.9399999999999999E-2</v>
      </c>
      <c r="AP11" s="532">
        <v>132770</v>
      </c>
      <c r="AQ11" s="237"/>
      <c r="AR11" s="110"/>
      <c r="AS11" s="112"/>
    </row>
    <row r="12" spans="1:45" s="65" customFormat="1" x14ac:dyDescent="0.25">
      <c r="A12" s="4" t="s">
        <v>153</v>
      </c>
      <c r="B12" s="4" t="s">
        <v>28</v>
      </c>
      <c r="C12" s="109">
        <f t="shared" ca="1" si="17"/>
        <v>10.419642857142858</v>
      </c>
      <c r="D12" s="369" t="s">
        <v>154</v>
      </c>
      <c r="E12" s="54">
        <v>25</v>
      </c>
      <c r="F12" s="55">
        <f ca="1">-43569+$D$1-112-112-112-112-112-112-112</f>
        <v>65</v>
      </c>
      <c r="G12" s="70" t="s">
        <v>134</v>
      </c>
      <c r="H12" s="108">
        <v>4</v>
      </c>
      <c r="I12" s="56">
        <v>5.2</v>
      </c>
      <c r="J12" s="141">
        <f t="shared" si="1"/>
        <v>1.0565222526643385</v>
      </c>
      <c r="K12" s="83">
        <f t="shared" si="2"/>
        <v>83.2</v>
      </c>
      <c r="L12" s="83">
        <f t="shared" si="3"/>
        <v>130</v>
      </c>
      <c r="M12" s="77">
        <v>7.1</v>
      </c>
      <c r="N12" s="138">
        <f t="shared" si="4"/>
        <v>90</v>
      </c>
      <c r="O12" s="266">
        <v>43626</v>
      </c>
      <c r="P12" s="232">
        <f t="shared" ca="1" si="18"/>
        <v>1</v>
      </c>
      <c r="Q12" s="138">
        <v>7</v>
      </c>
      <c r="R12" s="154">
        <f t="shared" si="5"/>
        <v>1</v>
      </c>
      <c r="S12" s="154">
        <f t="shared" si="6"/>
        <v>1</v>
      </c>
      <c r="T12" s="532">
        <v>99280</v>
      </c>
      <c r="U12" s="207">
        <f t="shared" si="7"/>
        <v>-4270</v>
      </c>
      <c r="V12" s="91">
        <v>26328</v>
      </c>
      <c r="W12" s="89">
        <f t="shared" si="8"/>
        <v>3.7708903068975994</v>
      </c>
      <c r="X12" s="140">
        <v>0</v>
      </c>
      <c r="Y12" s="141">
        <f>8+5/6</f>
        <v>8.8333333333333339</v>
      </c>
      <c r="Z12" s="140">
        <f>13+10/11</f>
        <v>13.909090909090908</v>
      </c>
      <c r="AA12" s="141">
        <v>2</v>
      </c>
      <c r="AB12" s="140">
        <v>3</v>
      </c>
      <c r="AC12" s="141">
        <f>7+2.5/6</f>
        <v>7.416666666666667</v>
      </c>
      <c r="AD12" s="140">
        <f>19+3/5</f>
        <v>19.600000000000001</v>
      </c>
      <c r="AE12" s="235">
        <v>1417</v>
      </c>
      <c r="AF12" s="261">
        <f t="shared" ca="1" si="9"/>
        <v>15.965613161755247</v>
      </c>
      <c r="AG12" s="261">
        <f t="shared" ca="1" si="10"/>
        <v>15.965613161755247</v>
      </c>
      <c r="AH12" s="449">
        <f t="shared" ca="1" si="11"/>
        <v>20.03658084505485</v>
      </c>
      <c r="AI12" s="447">
        <f t="shared" ca="1" si="12"/>
        <v>18.001522252664337</v>
      </c>
      <c r="AJ12" s="262">
        <f t="shared" ca="1" si="13"/>
        <v>21.554671124846401</v>
      </c>
      <c r="AK12" s="262">
        <f t="shared" ca="1" si="14"/>
        <v>21.554671124846401</v>
      </c>
      <c r="AL12" s="89">
        <f t="shared" ca="1" si="15"/>
        <v>2.6253625114157937</v>
      </c>
      <c r="AM12" s="138">
        <v>2</v>
      </c>
      <c r="AN12" s="138">
        <v>3</v>
      </c>
      <c r="AO12" s="154">
        <f t="shared" si="16"/>
        <v>6.1499999999999999E-2</v>
      </c>
      <c r="AP12" s="532">
        <v>103550</v>
      </c>
      <c r="AQ12" s="237">
        <v>1548</v>
      </c>
      <c r="AR12" s="110"/>
      <c r="AS12" s="112"/>
    </row>
    <row r="13" spans="1:45" s="65" customFormat="1" x14ac:dyDescent="0.25">
      <c r="A13" s="4" t="s">
        <v>155</v>
      </c>
      <c r="B13" s="4" t="s">
        <v>28</v>
      </c>
      <c r="C13" s="109">
        <f t="shared" ca="1" si="17"/>
        <v>9.9285714285714288</v>
      </c>
      <c r="D13" s="369" t="s">
        <v>156</v>
      </c>
      <c r="E13" s="54">
        <v>26</v>
      </c>
      <c r="F13" s="55">
        <f ca="1">-43626+$D$1-112-112-112-112-112-112-112</f>
        <v>8</v>
      </c>
      <c r="G13" s="70" t="s">
        <v>157</v>
      </c>
      <c r="H13" s="108">
        <v>4</v>
      </c>
      <c r="I13" s="56">
        <v>6.2</v>
      </c>
      <c r="J13" s="141">
        <f t="shared" si="1"/>
        <v>1.1431099952416914</v>
      </c>
      <c r="K13" s="83">
        <f t="shared" si="2"/>
        <v>99.2</v>
      </c>
      <c r="L13" s="83">
        <f t="shared" si="3"/>
        <v>155</v>
      </c>
      <c r="M13" s="77">
        <v>7</v>
      </c>
      <c r="N13" s="138">
        <f t="shared" si="4"/>
        <v>89</v>
      </c>
      <c r="O13" s="266">
        <v>43626</v>
      </c>
      <c r="P13" s="232">
        <f t="shared" ca="1" si="18"/>
        <v>1</v>
      </c>
      <c r="Q13" s="138">
        <v>5</v>
      </c>
      <c r="R13" s="154">
        <f t="shared" si="5"/>
        <v>0.84515425472851657</v>
      </c>
      <c r="S13" s="154">
        <f t="shared" si="6"/>
        <v>0.92504826128926143</v>
      </c>
      <c r="T13" s="91">
        <v>136550</v>
      </c>
      <c r="U13" s="207">
        <f t="shared" si="7"/>
        <v>3610</v>
      </c>
      <c r="V13" s="91">
        <v>29610</v>
      </c>
      <c r="W13" s="89">
        <f t="shared" si="8"/>
        <v>4.6116176967240801</v>
      </c>
      <c r="X13" s="140">
        <v>0</v>
      </c>
      <c r="Y13" s="141">
        <f>9+6/8</f>
        <v>9.75</v>
      </c>
      <c r="Z13" s="140">
        <f>14+7/13</f>
        <v>14.538461538461538</v>
      </c>
      <c r="AA13" s="141">
        <v>3</v>
      </c>
      <c r="AB13" s="140">
        <v>4</v>
      </c>
      <c r="AC13" s="141">
        <v>7</v>
      </c>
      <c r="AD13" s="140">
        <f>18+1/4</f>
        <v>18.25</v>
      </c>
      <c r="AE13" s="235">
        <v>1576</v>
      </c>
      <c r="AF13" s="261">
        <f t="shared" ca="1" si="9"/>
        <v>14.098501157267391</v>
      </c>
      <c r="AG13" s="261">
        <f t="shared" ca="1" si="10"/>
        <v>15.444134221696078</v>
      </c>
      <c r="AH13" s="449">
        <f t="shared" ca="1" si="11"/>
        <v>15.883637288979813</v>
      </c>
      <c r="AI13" s="447">
        <f t="shared" ca="1" si="12"/>
        <v>14.38292806991641</v>
      </c>
      <c r="AJ13" s="262">
        <f t="shared" ca="1" si="13"/>
        <v>17.162143680578566</v>
      </c>
      <c r="AK13" s="262">
        <f t="shared" ca="1" si="14"/>
        <v>18.800186457995231</v>
      </c>
      <c r="AL13" s="89">
        <f t="shared" ca="1" si="15"/>
        <v>2.5544079517400435</v>
      </c>
      <c r="AM13" s="138">
        <v>3</v>
      </c>
      <c r="AN13" s="138">
        <v>3</v>
      </c>
      <c r="AO13" s="154">
        <f t="shared" si="16"/>
        <v>0.1158</v>
      </c>
      <c r="AP13" s="91">
        <v>132940</v>
      </c>
      <c r="AQ13" s="237">
        <v>1308</v>
      </c>
      <c r="AR13" s="110"/>
      <c r="AS13" s="112"/>
    </row>
    <row r="14" spans="1:45" s="65" customFormat="1" x14ac:dyDescent="0.25">
      <c r="A14" s="269" t="s">
        <v>158</v>
      </c>
      <c r="B14" s="269" t="s">
        <v>28</v>
      </c>
      <c r="C14" s="109">
        <f t="shared" ca="1" si="17"/>
        <v>9.0892857142857135</v>
      </c>
      <c r="D14" s="368" t="s">
        <v>644</v>
      </c>
      <c r="E14" s="270">
        <v>26</v>
      </c>
      <c r="F14" s="271">
        <f ca="1">-43570+$D$1-746</f>
        <v>102</v>
      </c>
      <c r="G14" s="272" t="s">
        <v>157</v>
      </c>
      <c r="H14" s="273">
        <v>4</v>
      </c>
      <c r="I14" s="274">
        <v>6.6</v>
      </c>
      <c r="J14" s="275">
        <f t="shared" si="1"/>
        <v>1.1744181230410551</v>
      </c>
      <c r="K14" s="276">
        <f t="shared" si="2"/>
        <v>105.6</v>
      </c>
      <c r="L14" s="276">
        <f t="shared" si="3"/>
        <v>165</v>
      </c>
      <c r="M14" s="277">
        <v>6.7</v>
      </c>
      <c r="N14" s="278">
        <f t="shared" si="4"/>
        <v>86</v>
      </c>
      <c r="O14" s="371">
        <v>44354</v>
      </c>
      <c r="P14" s="279">
        <f t="shared" ca="1" si="18"/>
        <v>0.34601748551657119</v>
      </c>
      <c r="Q14" s="278">
        <v>5</v>
      </c>
      <c r="R14" s="280">
        <f t="shared" si="5"/>
        <v>0.84515425472851657</v>
      </c>
      <c r="S14" s="280">
        <f t="shared" si="6"/>
        <v>0.92504826128926143</v>
      </c>
      <c r="T14" s="566">
        <v>151060</v>
      </c>
      <c r="U14" s="282">
        <f t="shared" si="7"/>
        <v>-11550</v>
      </c>
      <c r="V14" s="281">
        <v>28110</v>
      </c>
      <c r="W14" s="283">
        <f t="shared" si="8"/>
        <v>5.3738882959800787</v>
      </c>
      <c r="X14" s="284">
        <v>0</v>
      </c>
      <c r="Y14" s="275">
        <f>9+2/8</f>
        <v>9.25</v>
      </c>
      <c r="Z14" s="284">
        <f>14+2/13</f>
        <v>14.153846153846153</v>
      </c>
      <c r="AA14" s="275">
        <v>4</v>
      </c>
      <c r="AB14" s="284">
        <v>3</v>
      </c>
      <c r="AC14" s="275">
        <v>8</v>
      </c>
      <c r="AD14" s="284">
        <f>17+1/4</f>
        <v>17.25</v>
      </c>
      <c r="AE14" s="285">
        <v>1578</v>
      </c>
      <c r="AF14" s="286">
        <f t="shared" ca="1" si="9"/>
        <v>13.247185921309146</v>
      </c>
      <c r="AG14" s="286">
        <f t="shared" ca="1" si="10"/>
        <v>14.511565105131751</v>
      </c>
      <c r="AH14" s="449">
        <f t="shared" ref="AH14:AH15" ca="1" si="19">(1.66*(AC14+J14+P14)+0.55*(AD14+J14+P14)-7.6)*(Q14/7)^0.5</f>
        <v>15.658732956779987</v>
      </c>
      <c r="AI14" s="447">
        <f t="shared" ref="AI14:AI15" ca="1" si="20">((AD14+J14+P14)*0.7+(AC14+J14+P14)*0.3)*(Q14/7)^0.5</f>
        <v>13.518610460808496</v>
      </c>
      <c r="AJ14" s="262">
        <f t="shared" ref="AJ14:AJ15" ca="1" si="21">(AD14+P14+(LOG(I14)*4/3))*(Q14/7)^0.5</f>
        <v>15.794870436241922</v>
      </c>
      <c r="AK14" s="262">
        <f t="shared" ref="AK14:AK15" ca="1" si="22">(AD14+P14+(LOG(I14)*4/3))*(IF(Q14=7,(Q14/7)^0.5,((Q14+1)/7)^0.5))</f>
        <v>17.30241366160233</v>
      </c>
      <c r="AL14" s="283">
        <f t="shared" ca="1" si="15"/>
        <v>2.092951281931192</v>
      </c>
      <c r="AM14" s="278">
        <v>2</v>
      </c>
      <c r="AN14" s="278">
        <v>1</v>
      </c>
      <c r="AO14" s="280">
        <f t="shared" si="16"/>
        <v>6.1499999999999999E-2</v>
      </c>
      <c r="AP14" s="281">
        <v>162610</v>
      </c>
      <c r="AQ14" s="287">
        <v>9000</v>
      </c>
      <c r="AR14" s="110"/>
      <c r="AS14" s="112"/>
    </row>
    <row r="15" spans="1:45" s="65" customFormat="1" x14ac:dyDescent="0.25">
      <c r="A15" s="269" t="s">
        <v>501</v>
      </c>
      <c r="B15" s="269" t="s">
        <v>28</v>
      </c>
      <c r="C15" s="109">
        <f t="shared" ca="1" si="17"/>
        <v>6.3571428571428568</v>
      </c>
      <c r="D15" s="370" t="s">
        <v>502</v>
      </c>
      <c r="E15" s="270">
        <v>29</v>
      </c>
      <c r="F15" s="271">
        <f ca="1">-43570+$D$1-664-112</f>
        <v>72</v>
      </c>
      <c r="G15" s="272" t="s">
        <v>134</v>
      </c>
      <c r="H15" s="273">
        <v>1</v>
      </c>
      <c r="I15" s="274">
        <v>7</v>
      </c>
      <c r="J15" s="275">
        <f t="shared" si="1"/>
        <v>1.2041199826559248</v>
      </c>
      <c r="K15" s="276">
        <f t="shared" si="2"/>
        <v>7</v>
      </c>
      <c r="L15" s="276">
        <f t="shared" si="3"/>
        <v>28</v>
      </c>
      <c r="M15" s="277">
        <v>6.1</v>
      </c>
      <c r="N15" s="278">
        <f t="shared" si="4"/>
        <v>80</v>
      </c>
      <c r="O15" s="371">
        <v>44273</v>
      </c>
      <c r="P15" s="279">
        <f t="shared" ca="1" si="18"/>
        <v>0.58400744542061045</v>
      </c>
      <c r="Q15" s="278">
        <v>6</v>
      </c>
      <c r="R15" s="280">
        <f t="shared" si="5"/>
        <v>0.92582009977255142</v>
      </c>
      <c r="S15" s="280">
        <f t="shared" si="6"/>
        <v>0.99928545900129484</v>
      </c>
      <c r="T15" s="281">
        <v>81740</v>
      </c>
      <c r="U15" s="282">
        <f t="shared" si="7"/>
        <v>2140</v>
      </c>
      <c r="V15" s="281">
        <v>26688</v>
      </c>
      <c r="W15" s="283">
        <f t="shared" si="8"/>
        <v>3.0627997601918464</v>
      </c>
      <c r="X15" s="284">
        <v>0</v>
      </c>
      <c r="Y15" s="275">
        <v>9</v>
      </c>
      <c r="Z15" s="284">
        <v>14</v>
      </c>
      <c r="AA15" s="275">
        <v>0</v>
      </c>
      <c r="AB15" s="284">
        <v>2</v>
      </c>
      <c r="AC15" s="275">
        <f>7+2.5/14</f>
        <v>7.1785714285714288</v>
      </c>
      <c r="AD15" s="284">
        <f>16+0/3</f>
        <v>16</v>
      </c>
      <c r="AE15" s="285">
        <v>1426</v>
      </c>
      <c r="AF15" s="286">
        <f t="shared" ref="AF15" ca="1" si="23">(Z15+P15+J15)*(Q15/7)^0.5</f>
        <v>14.616965710683573</v>
      </c>
      <c r="AG15" s="286">
        <f t="shared" ref="AG15" ca="1" si="24">(Z15+P15+J15)*(IF(Q15=7,(Q15/7)^0.5,((Q15+1)/7)^0.5))</f>
        <v>15.788127428076535</v>
      </c>
      <c r="AH15" s="450">
        <f t="shared" ca="1" si="19"/>
        <v>15.802073542307504</v>
      </c>
      <c r="AI15" s="448">
        <f t="shared" ca="1" si="20"/>
        <v>14.018489146187745</v>
      </c>
      <c r="AJ15" s="363">
        <f t="shared" ca="1" si="21"/>
        <v>16.397019096712828</v>
      </c>
      <c r="AK15" s="363">
        <f t="shared" ca="1" si="22"/>
        <v>17.710804832106287</v>
      </c>
      <c r="AL15" s="283">
        <f t="shared" ca="1" si="15"/>
        <v>2.1252642798308412</v>
      </c>
      <c r="AM15" s="278">
        <v>3</v>
      </c>
      <c r="AN15" s="278">
        <v>2</v>
      </c>
      <c r="AO15" s="280">
        <f t="shared" si="16"/>
        <v>0.1158</v>
      </c>
      <c r="AP15" s="281">
        <v>79600</v>
      </c>
      <c r="AQ15" s="287"/>
      <c r="AR15" s="110"/>
      <c r="AS15" s="112"/>
    </row>
    <row r="16" spans="1:45" s="65" customFormat="1" x14ac:dyDescent="0.25">
      <c r="A16" s="4" t="s">
        <v>194</v>
      </c>
      <c r="B16" s="4" t="s">
        <v>28</v>
      </c>
      <c r="C16" s="109">
        <f t="shared" ca="1" si="17"/>
        <v>5.1428571428571432</v>
      </c>
      <c r="D16" s="368" t="s">
        <v>493</v>
      </c>
      <c r="E16" s="54">
        <v>30</v>
      </c>
      <c r="F16" s="55">
        <f ca="1">75-44285+$D$1-112</f>
        <v>96</v>
      </c>
      <c r="G16" s="70" t="s">
        <v>134</v>
      </c>
      <c r="H16" s="108">
        <v>0</v>
      </c>
      <c r="I16" s="56">
        <v>8.9</v>
      </c>
      <c r="J16" s="141">
        <f t="shared" si="1"/>
        <v>1.3275135927967332</v>
      </c>
      <c r="K16" s="83">
        <f t="shared" si="2"/>
        <v>0</v>
      </c>
      <c r="L16" s="83">
        <f t="shared" si="3"/>
        <v>8.9</v>
      </c>
      <c r="M16" s="77">
        <v>5.9</v>
      </c>
      <c r="N16" s="138">
        <f t="shared" si="4"/>
        <v>78</v>
      </c>
      <c r="O16" s="266">
        <v>43982</v>
      </c>
      <c r="P16" s="232">
        <f t="shared" ca="1" si="18"/>
        <v>1</v>
      </c>
      <c r="Q16" s="138">
        <v>7</v>
      </c>
      <c r="R16" s="154">
        <f t="shared" si="5"/>
        <v>1</v>
      </c>
      <c r="S16" s="154">
        <f t="shared" si="6"/>
        <v>1</v>
      </c>
      <c r="T16" s="316">
        <v>94580</v>
      </c>
      <c r="U16" s="207">
        <f t="shared" si="7"/>
        <v>16280</v>
      </c>
      <c r="V16" s="91">
        <v>28164</v>
      </c>
      <c r="W16" s="89">
        <f t="shared" si="8"/>
        <v>3.3581877574208208</v>
      </c>
      <c r="X16" s="140">
        <v>0</v>
      </c>
      <c r="Y16" s="141">
        <v>10</v>
      </c>
      <c r="Z16" s="140">
        <v>14</v>
      </c>
      <c r="AA16" s="141">
        <v>3</v>
      </c>
      <c r="AB16" s="140">
        <v>3</v>
      </c>
      <c r="AC16" s="141">
        <f>7+3.5/14</f>
        <v>7.25</v>
      </c>
      <c r="AD16" s="140">
        <f>17+1/4</f>
        <v>17.25</v>
      </c>
      <c r="AE16" s="315">
        <v>1587</v>
      </c>
      <c r="AF16" s="261">
        <f t="shared" ca="1" si="9"/>
        <v>16.327513592796734</v>
      </c>
      <c r="AG16" s="261">
        <f t="shared" ca="1" si="10"/>
        <v>16.327513592796734</v>
      </c>
      <c r="AH16" s="449">
        <f ca="1">(1.66*(AC16+J16+P16)+0.55*(AD16+J16+P16)-7.6)*(Q16/7)^0.5</f>
        <v>19.066305040080785</v>
      </c>
      <c r="AI16" s="447">
        <f ca="1">((AD16+J16+P16)*0.7+(AC16+J16+P16)*0.3)*(Q16/7)^0.5</f>
        <v>16.577513592796734</v>
      </c>
      <c r="AJ16" s="262">
        <f ca="1">(AD16+P16+(LOG(I16)*4/3))*(Q16/7)^0.5</f>
        <v>19.515853342193218</v>
      </c>
      <c r="AK16" s="262">
        <f ca="1">(AD16+P16+(LOG(I16)*4/3))*(IF(Q16=7,(Q16/7)^0.5,((Q16+1)/7)^0.5))</f>
        <v>19.515853342193218</v>
      </c>
      <c r="AL16" s="89">
        <f t="shared" ca="1" si="15"/>
        <v>2.8728175972987753</v>
      </c>
      <c r="AM16" s="138">
        <v>4</v>
      </c>
      <c r="AN16" s="138">
        <v>3</v>
      </c>
      <c r="AO16" s="154">
        <f t="shared" si="16"/>
        <v>0.157</v>
      </c>
      <c r="AP16" s="532">
        <v>78300</v>
      </c>
      <c r="AQ16" s="237"/>
      <c r="AR16" s="110"/>
      <c r="AS16" s="112"/>
    </row>
    <row r="17" spans="1:45" s="65" customFormat="1" x14ac:dyDescent="0.25">
      <c r="A17" s="4" t="s">
        <v>145</v>
      </c>
      <c r="B17" s="4" t="s">
        <v>30</v>
      </c>
      <c r="C17" s="109">
        <f t="shared" ca="1" si="17"/>
        <v>10.4375</v>
      </c>
      <c r="D17" s="369" t="s">
        <v>146</v>
      </c>
      <c r="E17" s="54">
        <v>25</v>
      </c>
      <c r="F17" s="55">
        <f ca="1">-43571+$D$1-112-112-112-112-112-112-112</f>
        <v>63</v>
      </c>
      <c r="G17" s="70" t="s">
        <v>134</v>
      </c>
      <c r="H17" s="108">
        <v>4</v>
      </c>
      <c r="I17" s="56">
        <v>5.0999999999999996</v>
      </c>
      <c r="J17" s="141">
        <f>LOG(I17+1)*4/3</f>
        <v>1.0471064466810227</v>
      </c>
      <c r="K17" s="83">
        <f>(H17)*(H17)*(I17)</f>
        <v>81.599999999999994</v>
      </c>
      <c r="L17" s="83">
        <f>(H17+1)*(H17+1)*I17</f>
        <v>127.49999999999999</v>
      </c>
      <c r="M17" s="77">
        <v>7.1</v>
      </c>
      <c r="N17" s="138">
        <f>M17*10+19</f>
        <v>90</v>
      </c>
      <c r="O17" s="266">
        <v>43626</v>
      </c>
      <c r="P17" s="232">
        <f ca="1">IF((TODAY()-O17)&gt;335,1,((TODAY()-O17)^0.64)/(336^0.64))</f>
        <v>1</v>
      </c>
      <c r="Q17" s="138">
        <v>6</v>
      </c>
      <c r="R17" s="154">
        <f>(Q17/7)^0.5</f>
        <v>0.92582009977255142</v>
      </c>
      <c r="S17" s="154">
        <f>IF(Q17=7,1,((Q17+0.99)/7)^0.5)</f>
        <v>0.99928545900129484</v>
      </c>
      <c r="T17" s="316">
        <v>132580</v>
      </c>
      <c r="U17" s="207">
        <f t="shared" si="7"/>
        <v>13780</v>
      </c>
      <c r="V17" s="91">
        <v>34284</v>
      </c>
      <c r="W17" s="89">
        <f>T17/V17</f>
        <v>3.867110022167775</v>
      </c>
      <c r="X17" s="140">
        <v>0</v>
      </c>
      <c r="Y17" s="141">
        <f>7+1/6</f>
        <v>7.166666666666667</v>
      </c>
      <c r="Z17" s="140">
        <f>14+9/13</f>
        <v>14.692307692307692</v>
      </c>
      <c r="AA17" s="141">
        <v>3</v>
      </c>
      <c r="AB17" s="140">
        <v>4</v>
      </c>
      <c r="AC17" s="141">
        <f>7+7.5/11</f>
        <v>7.6818181818181817</v>
      </c>
      <c r="AD17" s="140">
        <f>19+0/5</f>
        <v>19</v>
      </c>
      <c r="AE17" s="235">
        <v>1508</v>
      </c>
      <c r="AF17" s="261">
        <f ca="1">(Z17+P17+J17)*(Q17/7)^0.5</f>
        <v>15.497686068292589</v>
      </c>
      <c r="AG17" s="261">
        <f ca="1">(Z17+P17+J17)*(IF(Q17=7,(Q17/7)^0.5,((Q17+1)/7)^0.5))</f>
        <v>16.739414138988714</v>
      </c>
      <c r="AH17" s="449">
        <f ca="1">(1.66*(AC17+J17+P17)+0.55*(AD17+J17+P17)-7.6)*(Q17/7)^0.5</f>
        <v>18.632984437035994</v>
      </c>
      <c r="AI17" s="447">
        <f ca="1">((AD17+J17+P17)*0.7+(AC17+J17+P17)*0.3)*(Q17/7)^0.5</f>
        <v>16.342254124343842</v>
      </c>
      <c r="AJ17" s="262">
        <f ca="1">(AD17+P17+(LOG(I17)*4/3))*(Q17/7)^0.5</f>
        <v>19.389845583492459</v>
      </c>
      <c r="AK17" s="262">
        <f ca="1">(AD17+P17+(LOG(I17)*4/3))*(IF(Q17=7,(Q17/7)^0.5,((Q17+1)/7)^0.5))</f>
        <v>20.943426901463916</v>
      </c>
      <c r="AL17" s="89">
        <f t="shared" ca="1" si="15"/>
        <v>2.4659202163355167</v>
      </c>
      <c r="AM17" s="138">
        <v>4</v>
      </c>
      <c r="AN17" s="138">
        <v>3</v>
      </c>
      <c r="AO17" s="154">
        <f>IF(AM17=4,IF(AN17=0,0.137+0.0697,0.137+0.02),IF(AM17=3,IF(AN17=0,0.0958+0.0697,0.0958+0.02),IF(AM17=2,IF(AN17=0,0.0415+0.0697,0.0415+0.02),IF(AM17=1,IF(AN17=0,0.0294+0.0697,0.0294+0.02),IF(AM17=0,IF(AN17=0,0.0063+0.0697,0.0063+0.02))))))</f>
        <v>0.157</v>
      </c>
      <c r="AP17" s="316">
        <v>118800</v>
      </c>
      <c r="AQ17" s="237">
        <v>2327</v>
      </c>
      <c r="AR17" s="110"/>
      <c r="AS17" s="112"/>
    </row>
    <row r="18" spans="1:45" s="65" customFormat="1" x14ac:dyDescent="0.25">
      <c r="A18" s="4" t="s">
        <v>147</v>
      </c>
      <c r="B18" s="4" t="s">
        <v>30</v>
      </c>
      <c r="C18" s="109">
        <f t="shared" ca="1" si="17"/>
        <v>10.946428571428571</v>
      </c>
      <c r="D18" s="369" t="s">
        <v>148</v>
      </c>
      <c r="E18" s="54">
        <v>25</v>
      </c>
      <c r="F18" s="55">
        <f ca="1">-43628+$D$1-112-112-112-112-112-112-112</f>
        <v>6</v>
      </c>
      <c r="G18" s="70" t="s">
        <v>138</v>
      </c>
      <c r="H18" s="233">
        <v>6</v>
      </c>
      <c r="I18" s="56">
        <v>6.3</v>
      </c>
      <c r="J18" s="141">
        <f>LOG(I18+1)*4/3</f>
        <v>1.1510971468272746</v>
      </c>
      <c r="K18" s="83">
        <f>(H18)*(H18)*(I18)</f>
        <v>226.79999999999998</v>
      </c>
      <c r="L18" s="83">
        <f>(H18+1)*(H18+1)*I18</f>
        <v>308.7</v>
      </c>
      <c r="M18" s="77">
        <v>7.3</v>
      </c>
      <c r="N18" s="138">
        <f>M18*10+19</f>
        <v>92</v>
      </c>
      <c r="O18" s="266">
        <v>43633</v>
      </c>
      <c r="P18" s="232">
        <f ca="1">IF((TODAY()-O18)&gt;335,1,((TODAY()-O18)^0.64)/(336^0.64))</f>
        <v>1</v>
      </c>
      <c r="Q18" s="138">
        <v>6</v>
      </c>
      <c r="R18" s="154">
        <f>(Q18/7)^0.5</f>
        <v>0.92582009977255142</v>
      </c>
      <c r="S18" s="154">
        <f>IF(Q18=7,1,((Q18+0.99)/7)^0.5)</f>
        <v>0.99928545900129484</v>
      </c>
      <c r="T18" s="532">
        <v>113120</v>
      </c>
      <c r="U18" s="207">
        <f t="shared" si="7"/>
        <v>-13070</v>
      </c>
      <c r="V18" s="91">
        <v>22220</v>
      </c>
      <c r="W18" s="89">
        <f>T18/V18</f>
        <v>5.0909090909090908</v>
      </c>
      <c r="X18" s="140">
        <v>0</v>
      </c>
      <c r="Y18" s="141">
        <f>6+0/5</f>
        <v>6</v>
      </c>
      <c r="Z18" s="140">
        <f>13+8/11</f>
        <v>13.727272727272727</v>
      </c>
      <c r="AA18" s="141">
        <v>2</v>
      </c>
      <c r="AB18" s="140">
        <v>6</v>
      </c>
      <c r="AC18" s="141">
        <f>9+7.5/15</f>
        <v>9.5</v>
      </c>
      <c r="AD18" s="140">
        <f>18+2/4</f>
        <v>18.5</v>
      </c>
      <c r="AE18" s="235">
        <v>1460</v>
      </c>
      <c r="AF18" s="261">
        <f ca="1">(Z18+P18+J18)*(Q18/7)^0.5</f>
        <v>14.700513981064738</v>
      </c>
      <c r="AG18" s="261">
        <f ca="1">(Z18+P18+J18)*(IF(Q18=7,(Q18/7)^0.5,((Q18+1)/7)^0.5))</f>
        <v>15.878369874100001</v>
      </c>
      <c r="AH18" s="449">
        <f ca="1">(1.66*(AC18+J18+P18)+0.55*(AD18+J18+P18)-7.6)*(Q18/7)^0.5</f>
        <v>21.385448765289787</v>
      </c>
      <c r="AI18" s="447">
        <f ca="1">((AD18+J18+P18)*0.7+(AC18+J18+P18)*0.3)*(Q18/7)^0.5</f>
        <v>16.619486551502391</v>
      </c>
      <c r="AJ18" s="262">
        <f ca="1">(AD18+P18+(LOG(I18)*4/3))*(Q18/7)^0.5</f>
        <v>19.040219341894566</v>
      </c>
      <c r="AK18" s="262">
        <f ca="1">(AD18+P18+(LOG(I18)*4/3))*(IF(Q18=7,(Q18/7)^0.5,((Q18+1)/7)^0.5))</f>
        <v>20.565787399271443</v>
      </c>
      <c r="AL18" s="89">
        <f t="shared" ca="1" si="15"/>
        <v>2.8299185901492696</v>
      </c>
      <c r="AM18" s="138">
        <v>4</v>
      </c>
      <c r="AN18" s="138">
        <v>2</v>
      </c>
      <c r="AO18" s="154">
        <f>IF(AM18=4,IF(AN18=0,0.137+0.0697,0.137+0.02),IF(AM18=3,IF(AN18=0,0.0958+0.0697,0.0958+0.02),IF(AM18=2,IF(AN18=0,0.0415+0.0697,0.0415+0.02),IF(AM18=1,IF(AN18=0,0.0294+0.0697,0.0294+0.02),IF(AM18=0,IF(AN18=0,0.0063+0.0697,0.0063+0.02))))))</f>
        <v>0.157</v>
      </c>
      <c r="AP18" s="316">
        <v>126190</v>
      </c>
      <c r="AQ18" s="237">
        <v>4689</v>
      </c>
      <c r="AR18" s="110"/>
      <c r="AS18" s="112"/>
    </row>
    <row r="19" spans="1:45" s="65" customFormat="1" x14ac:dyDescent="0.25">
      <c r="A19" s="4" t="s">
        <v>149</v>
      </c>
      <c r="B19" s="4" t="s">
        <v>30</v>
      </c>
      <c r="C19" s="109">
        <f t="shared" ca="1" si="17"/>
        <v>10.294642857142858</v>
      </c>
      <c r="D19" s="369" t="s">
        <v>150</v>
      </c>
      <c r="E19" s="54">
        <v>25</v>
      </c>
      <c r="F19" s="55">
        <f ca="1">-43569+$D$1+14-112-112-112-112-112-112-112</f>
        <v>79</v>
      </c>
      <c r="G19" s="70" t="s">
        <v>128</v>
      </c>
      <c r="H19" s="108">
        <v>1</v>
      </c>
      <c r="I19" s="56">
        <v>6.2</v>
      </c>
      <c r="J19" s="141">
        <f>LOG(I19+1)*4/3</f>
        <v>1.1431099952416914</v>
      </c>
      <c r="K19" s="83">
        <f>(H19)*(H19)*(I19)</f>
        <v>6.2</v>
      </c>
      <c r="L19" s="83">
        <f>(H19+1)*(H19+1)*I19</f>
        <v>24.8</v>
      </c>
      <c r="M19" s="77">
        <v>7</v>
      </c>
      <c r="N19" s="138">
        <f>M19*10+19</f>
        <v>89</v>
      </c>
      <c r="O19" s="266">
        <v>43630</v>
      </c>
      <c r="P19" s="232">
        <f ca="1">IF((TODAY()-O19)&gt;335,1,((TODAY()-O19)^0.64)/(336^0.64))</f>
        <v>1</v>
      </c>
      <c r="Q19" s="138">
        <v>6</v>
      </c>
      <c r="R19" s="154">
        <f>(Q19/7)^0.5</f>
        <v>0.92582009977255142</v>
      </c>
      <c r="S19" s="154">
        <f>IF(Q19=7,1,((Q19+0.99)/7)^0.5)</f>
        <v>0.99928545900129484</v>
      </c>
      <c r="T19" s="91">
        <v>139870</v>
      </c>
      <c r="U19" s="207">
        <f t="shared" si="7"/>
        <v>5800</v>
      </c>
      <c r="V19" s="91">
        <v>36468</v>
      </c>
      <c r="W19" s="89">
        <f>T19/V19</f>
        <v>3.8354173521991881</v>
      </c>
      <c r="X19" s="140">
        <v>0</v>
      </c>
      <c r="Y19" s="141">
        <f>6+2/5</f>
        <v>6.4</v>
      </c>
      <c r="Z19" s="140">
        <f>14+11/13</f>
        <v>14.846153846153847</v>
      </c>
      <c r="AA19" s="141">
        <v>3</v>
      </c>
      <c r="AB19" s="140">
        <v>2</v>
      </c>
      <c r="AC19" s="141">
        <f>8+7.5/13</f>
        <v>8.5769230769230766</v>
      </c>
      <c r="AD19" s="140">
        <f>17+3/4</f>
        <v>17.75</v>
      </c>
      <c r="AE19" s="235">
        <v>1384</v>
      </c>
      <c r="AF19" s="261">
        <f ca="1">(Z19+P19+J19)*(Q19/7)^0.5</f>
        <v>15.729001944703016</v>
      </c>
      <c r="AG19" s="261">
        <f ca="1">(Z19+P19+J19)*(IF(Q19=7,(Q19/7)^0.5,((Q19+1)/7)^0.5))</f>
        <v>16.989263841395537</v>
      </c>
      <c r="AH19" s="449">
        <f ca="1">(1.66*(AC19+J19+P19)+0.55*(AD19+J19+P19)-7.6)*(Q19/7)^0.5</f>
        <v>19.568564502852976</v>
      </c>
      <c r="AI19" s="447">
        <f ca="1">((AD19+J19+P19)*0.7+(AC19+J19+P19)*0.3)*(Q19/7)^0.5</f>
        <v>15.869655382937692</v>
      </c>
      <c r="AJ19" s="262">
        <f ca="1">(AD19+P19+(LOG(I19)*4/3))*(Q19/7)^0.5</f>
        <v>18.337276408108956</v>
      </c>
      <c r="AK19" s="262">
        <f ca="1">(AD19+P19+(LOG(I19)*4/3))*(IF(Q19=7,(Q19/7)^0.5,((Q19+1)/7)^0.5))</f>
        <v>19.806522252664337</v>
      </c>
      <c r="AL19" s="89">
        <f t="shared" ca="1" si="15"/>
        <v>1.9476164958111475</v>
      </c>
      <c r="AM19" s="138">
        <v>3</v>
      </c>
      <c r="AN19" s="138">
        <v>0</v>
      </c>
      <c r="AO19" s="154">
        <f>IF(AM19=4,IF(AN19=0,0.137+0.0697,0.137+0.02),IF(AM19=3,IF(AN19=0,0.0958+0.0697,0.0958+0.02),IF(AM19=2,IF(AN19=0,0.0415+0.0697,0.0415+0.02),IF(AM19=1,IF(AN19=0,0.0294+0.0697,0.0294+0.02),IF(AM19=0,IF(AN19=0,0.0063+0.0697,0.0063+0.02))))))</f>
        <v>0.16549999999999998</v>
      </c>
      <c r="AP19" s="91">
        <v>134070</v>
      </c>
      <c r="AQ19" s="237">
        <v>1887</v>
      </c>
      <c r="AR19" s="110"/>
      <c r="AS19" s="112"/>
    </row>
    <row r="20" spans="1:45" s="65" customFormat="1" x14ac:dyDescent="0.25">
      <c r="A20" s="4" t="s">
        <v>151</v>
      </c>
      <c r="B20" s="4" t="s">
        <v>30</v>
      </c>
      <c r="C20" s="109">
        <f t="shared" ca="1" si="17"/>
        <v>10.294642857142858</v>
      </c>
      <c r="D20" s="369" t="s">
        <v>152</v>
      </c>
      <c r="E20" s="54">
        <v>25</v>
      </c>
      <c r="F20" s="55">
        <f ca="1">-43569+$D$1+14-112-112-112-112-112-112-112</f>
        <v>79</v>
      </c>
      <c r="G20" s="70" t="s">
        <v>138</v>
      </c>
      <c r="H20" s="108">
        <v>1</v>
      </c>
      <c r="I20" s="56">
        <v>6.3</v>
      </c>
      <c r="J20" s="141">
        <f>LOG(I20+1)*4/3</f>
        <v>1.1510971468272746</v>
      </c>
      <c r="K20" s="83">
        <f>(H20)*(H20)*(I20)</f>
        <v>6.3</v>
      </c>
      <c r="L20" s="83">
        <f>(H20+1)*(H20+1)*I20</f>
        <v>25.2</v>
      </c>
      <c r="M20" s="77">
        <v>7</v>
      </c>
      <c r="N20" s="138">
        <f>M20*10+19</f>
        <v>89</v>
      </c>
      <c r="O20" s="266">
        <v>43627</v>
      </c>
      <c r="P20" s="232">
        <f ca="1">IF((TODAY()-O20)&gt;335,1,((TODAY()-O20)^0.64)/(336^0.64))</f>
        <v>1</v>
      </c>
      <c r="Q20" s="138">
        <v>4</v>
      </c>
      <c r="R20" s="154">
        <f>(Q20/7)^0.5</f>
        <v>0.7559289460184544</v>
      </c>
      <c r="S20" s="154">
        <f>IF(Q20=7,1,((Q20+0.99)/7)^0.5)</f>
        <v>0.84430867747355465</v>
      </c>
      <c r="T20" s="91">
        <v>108890</v>
      </c>
      <c r="U20" s="207">
        <f t="shared" si="7"/>
        <v>3020</v>
      </c>
      <c r="V20" s="91">
        <v>36408</v>
      </c>
      <c r="W20" s="89">
        <f>T20/V20</f>
        <v>2.9908261920457044</v>
      </c>
      <c r="X20" s="140">
        <v>0</v>
      </c>
      <c r="Y20" s="141">
        <f>4+3/4</f>
        <v>4.75</v>
      </c>
      <c r="Z20" s="140">
        <f>14+9/13</f>
        <v>14.692307692307692</v>
      </c>
      <c r="AA20" s="141">
        <v>5</v>
      </c>
      <c r="AB20" s="140">
        <v>4</v>
      </c>
      <c r="AC20" s="141">
        <f>8+7.5/13</f>
        <v>8.5769230769230766</v>
      </c>
      <c r="AD20" s="140">
        <f>19+4/5</f>
        <v>19.8</v>
      </c>
      <c r="AE20" s="235">
        <v>1468</v>
      </c>
      <c r="AF20" s="261">
        <f ca="1">(Z20+P20+J20)*(Q20/7)^0.5</f>
        <v>12.73241726740943</v>
      </c>
      <c r="AG20" s="261">
        <f ca="1">(Z20+P20+J20)*(IF(Q20=7,(Q20/7)^0.5,((Q20+1)/7)^0.5))</f>
        <v>14.235275263909802</v>
      </c>
      <c r="AH20" s="449">
        <f ca="1">(1.66*(AC20+J20+P20)+0.55*(AD20+J20+P20)-7.6)*(Q20/7)^0.5</f>
        <v>16.843319256045241</v>
      </c>
      <c r="AI20" s="447">
        <f ca="1">((AD20+J20+P20)*0.7+(AC20+J20+P20)*0.3)*(Q20/7)^0.5</f>
        <v>14.048315117286169</v>
      </c>
      <c r="AJ20" s="262">
        <f ca="1">(AD20+P20+(LOG(I20)*4/3))*(Q20/7)^0.5</f>
        <v>16.528981622594863</v>
      </c>
      <c r="AK20" s="262">
        <f ca="1">(AD20+P20+(LOG(I20)*4/3))*(IF(Q20=7,(Q20/7)^0.5,((Q20+1)/7)^0.5))</f>
        <v>18.479963253483447</v>
      </c>
      <c r="AL20" s="89">
        <f t="shared" ca="1" si="15"/>
        <v>1.8145404823360789</v>
      </c>
      <c r="AM20" s="138">
        <v>4</v>
      </c>
      <c r="AN20" s="138">
        <v>2</v>
      </c>
      <c r="AO20" s="154">
        <f>IF(AM20=4,IF(AN20=0,0.137+0.0697,0.137+0.02),IF(AM20=3,IF(AN20=0,0.0958+0.0697,0.0958+0.02),IF(AM20=2,IF(AN20=0,0.0415+0.0697,0.0415+0.02),IF(AM20=1,IF(AN20=0,0.0294+0.0697,0.0294+0.02),IF(AM20=0,IF(AN20=0,0.0063+0.0697,0.0063+0.02))))))</f>
        <v>0.157</v>
      </c>
      <c r="AP20" s="91">
        <v>105870</v>
      </c>
      <c r="AQ20" s="237">
        <v>3853</v>
      </c>
      <c r="AR20" s="110"/>
      <c r="AS20" s="112"/>
    </row>
    <row r="21" spans="1:45" x14ac:dyDescent="0.25">
      <c r="G21" s="3"/>
      <c r="H21"/>
      <c r="I21" s="57"/>
      <c r="J21" s="57"/>
      <c r="K21"/>
      <c r="T21" s="64">
        <f>SUM(T4:T20)</f>
        <v>1659390</v>
      </c>
      <c r="U21" s="64">
        <f t="shared" ref="U21:V21" si="25">SUM(U4:U20)</f>
        <v>41710</v>
      </c>
      <c r="V21" s="64">
        <f t="shared" si="25"/>
        <v>397850</v>
      </c>
      <c r="W21" s="88">
        <f t="shared" si="8"/>
        <v>4.1708935528465503</v>
      </c>
      <c r="X21"/>
      <c r="AD21" s="57"/>
      <c r="AE21" s="64"/>
      <c r="AH21" s="377"/>
      <c r="AI21" s="264"/>
      <c r="AJ21" s="264"/>
      <c r="AK21" s="264"/>
      <c r="AL21" s="264"/>
    </row>
    <row r="22" spans="1:45" x14ac:dyDescent="0.25">
      <c r="T22" s="87"/>
      <c r="U22" s="87"/>
      <c r="V22" s="87"/>
      <c r="W22" s="74"/>
      <c r="AE22" s="74"/>
      <c r="AH22" s="375"/>
      <c r="AI22" s="260"/>
      <c r="AJ22" s="260"/>
      <c r="AK22" s="260"/>
      <c r="AL22" s="260"/>
    </row>
    <row r="23" spans="1:45" x14ac:dyDescent="0.25">
      <c r="I23" s="71"/>
      <c r="Y23" s="47"/>
    </row>
    <row r="24" spans="1:45" x14ac:dyDescent="0.25">
      <c r="D24" s="194"/>
      <c r="I24" s="71"/>
      <c r="P24" s="48"/>
      <c r="Y24" s="47"/>
      <c r="AE24" s="227"/>
    </row>
    <row r="25" spans="1:45" x14ac:dyDescent="0.25">
      <c r="D25" s="194"/>
      <c r="I25" s="71"/>
      <c r="P25" s="48"/>
      <c r="V25" s="231"/>
      <c r="Y25" s="47"/>
    </row>
    <row r="26" spans="1:45" x14ac:dyDescent="0.25">
      <c r="D26" s="57"/>
      <c r="I26" s="71"/>
      <c r="V26" s="231"/>
      <c r="Y26" s="47"/>
    </row>
    <row r="27" spans="1:45" x14ac:dyDescent="0.25">
      <c r="I27" s="71"/>
      <c r="Y27" s="47"/>
    </row>
    <row r="28" spans="1:45" x14ac:dyDescent="0.25">
      <c r="I28" s="71"/>
      <c r="V28" s="231"/>
      <c r="Y28" s="47"/>
    </row>
    <row r="29" spans="1:45" x14ac:dyDescent="0.25">
      <c r="I29" s="71"/>
      <c r="Y29" s="47"/>
    </row>
    <row r="30" spans="1:45" x14ac:dyDescent="0.25">
      <c r="I30" s="71"/>
      <c r="Y30" s="47"/>
    </row>
    <row r="31" spans="1:45" x14ac:dyDescent="0.25">
      <c r="C31"/>
      <c r="D31"/>
      <c r="G31"/>
      <c r="H31"/>
      <c r="I31" s="71"/>
      <c r="K31"/>
      <c r="M31"/>
      <c r="N31"/>
      <c r="O31"/>
      <c r="P31"/>
      <c r="Q31"/>
      <c r="R31"/>
      <c r="S31"/>
      <c r="V31"/>
      <c r="W31"/>
      <c r="X31"/>
      <c r="AE31"/>
    </row>
    <row r="32" spans="1:45" x14ac:dyDescent="0.25">
      <c r="C32"/>
      <c r="D32"/>
      <c r="G32"/>
      <c r="H32"/>
      <c r="I32" s="71"/>
      <c r="K32"/>
      <c r="M32"/>
      <c r="N32"/>
      <c r="O32"/>
      <c r="P32"/>
      <c r="Q32"/>
      <c r="R32"/>
      <c r="S32"/>
      <c r="V32"/>
      <c r="W32"/>
      <c r="X32"/>
      <c r="AE32"/>
    </row>
    <row r="33" spans="3:31" x14ac:dyDescent="0.25">
      <c r="C33"/>
      <c r="D33"/>
      <c r="G33"/>
      <c r="H33"/>
      <c r="I33" s="71"/>
      <c r="K33"/>
      <c r="M33"/>
      <c r="N33"/>
      <c r="O33"/>
      <c r="P33"/>
      <c r="Q33"/>
      <c r="R33"/>
      <c r="S33"/>
      <c r="V33"/>
      <c r="W33"/>
      <c r="X33"/>
      <c r="AE33"/>
    </row>
    <row r="34" spans="3:31" x14ac:dyDescent="0.25">
      <c r="C34"/>
      <c r="D34"/>
      <c r="G34"/>
      <c r="H34"/>
      <c r="I34" s="71"/>
      <c r="K34"/>
      <c r="M34"/>
      <c r="N34"/>
      <c r="O34"/>
      <c r="P34"/>
      <c r="Q34"/>
      <c r="R34"/>
      <c r="S34"/>
      <c r="V34"/>
      <c r="W34"/>
      <c r="X34"/>
      <c r="AE34"/>
    </row>
  </sheetData>
  <mergeCells count="1">
    <mergeCell ref="E1:G1"/>
  </mergeCells>
  <conditionalFormatting sqref="AO4:AO20">
    <cfRule type="cellIs" dxfId="111" priority="39" operator="lessThan">
      <formula>0.07</formula>
    </cfRule>
  </conditionalFormatting>
  <conditionalFormatting sqref="AO4:AO20">
    <cfRule type="cellIs" dxfId="110" priority="40" operator="greaterThan">
      <formula>0.1</formula>
    </cfRule>
  </conditionalFormatting>
  <conditionalFormatting sqref="R4:S20">
    <cfRule type="cellIs" dxfId="109" priority="41" operator="greaterThan">
      <formula>0.95</formula>
    </cfRule>
  </conditionalFormatting>
  <conditionalFormatting sqref="R4:S20">
    <cfRule type="cellIs" dxfId="108" priority="42" operator="lessThan">
      <formula>0.85</formula>
    </cfRule>
  </conditionalFormatting>
  <conditionalFormatting sqref="Q4:Q20">
    <cfRule type="cellIs" dxfId="107" priority="43" operator="greaterThan">
      <formula>6</formula>
    </cfRule>
  </conditionalFormatting>
  <conditionalFormatting sqref="Q4:Q20">
    <cfRule type="cellIs" dxfId="106" priority="44" operator="lessThan">
      <formula>5</formula>
    </cfRule>
  </conditionalFormatting>
  <conditionalFormatting sqref="X4:AD20">
    <cfRule type="cellIs" dxfId="105" priority="12" operator="greaterThan">
      <formula>12</formula>
    </cfRule>
  </conditionalFormatting>
  <conditionalFormatting sqref="V4:V20">
    <cfRule type="dataBar" priority="38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{4F1B690C-AB7C-DE85-A08A-20291FC83A16}</x14:id>
        </ext>
      </extLst>
    </cfRule>
  </conditionalFormatting>
  <conditionalFormatting sqref="W4:W20">
    <cfRule type="dataBar" priority="3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{2F9E24DA-097C-C0D2-93E5-B72A0FCAC00F}</x14:id>
        </ext>
      </extLst>
    </cfRule>
  </conditionalFormatting>
  <conditionalFormatting sqref="T4:T20">
    <cfRule type="dataBar" priority="3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{59C6C458-C935-2462-B8A2-D31420479365}</x14:id>
        </ext>
      </extLst>
    </cfRule>
  </conditionalFormatting>
  <conditionalFormatting sqref="AE4:AE20">
    <cfRule type="dataBar" priority="3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{491D1A2A-7AD1-C625-9EDB-4256A129C011}</x14:id>
        </ext>
      </extLst>
    </cfRule>
  </conditionalFormatting>
  <conditionalFormatting sqref="AQ4:AQ20">
    <cfRule type="dataBar" priority="3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{24C1FF3C-27F5-EB2C-4351-47183E650162}</x14:id>
        </ext>
      </extLst>
    </cfRule>
  </conditionalFormatting>
  <conditionalFormatting sqref="AQ4:AQ20">
    <cfRule type="dataBar" priority="3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{043B692E-8B02-5776-5FA6-5332729E4B6C}</x14:id>
        </ext>
      </extLst>
    </cfRule>
  </conditionalFormatting>
  <conditionalFormatting sqref="U4:U20">
    <cfRule type="dataBar" priority="3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{66A49274-0F6B-49EE-F970-7B3B0C9A8F2A}</x14:id>
        </ext>
      </extLst>
    </cfRule>
  </conditionalFormatting>
  <conditionalFormatting sqref="C5:C20">
    <cfRule type="colorScale" priority="394">
      <colorScale>
        <cfvo type="min"/>
        <cfvo type="max"/>
        <color rgb="FFFCFCFF"/>
        <color rgb="FF63BE7B"/>
      </colorScale>
    </cfRule>
  </conditionalFormatting>
  <conditionalFormatting sqref="I5:I20">
    <cfRule type="colorScale" priority="396">
      <colorScale>
        <cfvo type="min"/>
        <cfvo type="max"/>
        <color rgb="FFFCFCFF"/>
        <color rgb="FFF8696B"/>
      </colorScale>
    </cfRule>
  </conditionalFormatting>
  <conditionalFormatting sqref="AF5:AG20">
    <cfRule type="colorScale" priority="402">
      <colorScale>
        <cfvo type="min"/>
        <cfvo type="max"/>
        <color rgb="FFFFEF9C"/>
        <color rgb="FF63BE7B"/>
      </colorScale>
    </cfRule>
  </conditionalFormatting>
  <conditionalFormatting sqref="AH5:AH20">
    <cfRule type="colorScale" priority="404">
      <colorScale>
        <cfvo type="min"/>
        <cfvo type="max"/>
        <color rgb="FFFCFCFF"/>
        <color rgb="FFF8696B"/>
      </colorScale>
    </cfRule>
  </conditionalFormatting>
  <conditionalFormatting sqref="AI5:AI20">
    <cfRule type="colorScale" priority="40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J5:AK20">
    <cfRule type="colorScale" priority="408">
      <colorScale>
        <cfvo type="min"/>
        <cfvo type="max"/>
        <color rgb="FFFFEF9C"/>
        <color rgb="FF63BE7B"/>
      </colorScale>
    </cfRule>
  </conditionalFormatting>
  <conditionalFormatting sqref="X4:AC20">
    <cfRule type="colorScale" priority="410">
      <colorScale>
        <cfvo type="min"/>
        <cfvo type="max"/>
        <color rgb="FFFFEF9C"/>
        <color rgb="FF63BE7B"/>
      </colorScale>
    </cfRule>
  </conditionalFormatting>
  <conditionalFormatting sqref="AD4:AD20">
    <cfRule type="colorScale" priority="412">
      <colorScale>
        <cfvo type="min"/>
        <cfvo type="max"/>
        <color rgb="FFFCFCFF"/>
        <color rgb="FFF8696B"/>
      </colorScale>
    </cfRule>
  </conditionalFormatting>
  <conditionalFormatting sqref="AL4:AL20">
    <cfRule type="colorScale" priority="418">
      <colorScale>
        <cfvo type="min"/>
        <cfvo type="max"/>
        <color rgb="FFFCFCFF"/>
        <color rgb="FF63BE7B"/>
      </colorScale>
    </cfRule>
  </conditionalFormatting>
  <conditionalFormatting sqref="N5:N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:P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4:AP2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{4E2921BF-9FD1-4636-A173-D5DEBDC0C029}</x14:id>
        </ext>
      </extLst>
    </cfRule>
  </conditionalFormatting>
  <pageMargins left="0.7" right="0.7" top="0.75" bottom="0.75" header="0.3" footer="0.3"/>
  <pageSetup paperSize="9" scale="53" fitToWidth="0" orientation="landscape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F1B690C-AB7C-DE85-A08A-20291FC83A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V4:V20</xm:sqref>
        </x14:conditionalFormatting>
        <x14:conditionalFormatting xmlns:xm="http://schemas.microsoft.com/office/excel/2006/main">
          <x14:cfRule type="dataBar" id="{2F9E24DA-097C-C0D2-93E5-B72A0FCAC00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W4:W20</xm:sqref>
        </x14:conditionalFormatting>
        <x14:conditionalFormatting xmlns:xm="http://schemas.microsoft.com/office/excel/2006/main">
          <x14:cfRule type="dataBar" id="{59C6C458-C935-2462-B8A2-D314204793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T4:T20</xm:sqref>
        </x14:conditionalFormatting>
        <x14:conditionalFormatting xmlns:xm="http://schemas.microsoft.com/office/excel/2006/main">
          <x14:cfRule type="dataBar" id="{491D1A2A-7AD1-C625-9EDB-4256A129C0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AE4:AE20</xm:sqref>
        </x14:conditionalFormatting>
        <x14:conditionalFormatting xmlns:xm="http://schemas.microsoft.com/office/excel/2006/main">
          <x14:cfRule type="dataBar" id="{24C1FF3C-27F5-EB2C-4351-47183E6501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AQ4:AQ20</xm:sqref>
        </x14:conditionalFormatting>
        <x14:conditionalFormatting xmlns:xm="http://schemas.microsoft.com/office/excel/2006/main">
          <x14:cfRule type="dataBar" id="{043B692E-8B02-5776-5FA6-5332729E4B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AQ4:AQ20</xm:sqref>
        </x14:conditionalFormatting>
        <x14:conditionalFormatting xmlns:xm="http://schemas.microsoft.com/office/excel/2006/main">
          <x14:cfRule type="dataBar" id="{66A49274-0F6B-49EE-F970-7B3B0C9A8F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U4:U20</xm:sqref>
        </x14:conditionalFormatting>
        <x14:conditionalFormatting xmlns:xm="http://schemas.microsoft.com/office/excel/2006/main">
          <x14:cfRule type="dataBar" id="{4E2921BF-9FD1-4636-A173-D5DEBDC0C0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AP4:AP20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AG36"/>
  <sheetViews>
    <sheetView zoomScale="110" zoomScaleNormal="110" workbookViewId="0">
      <selection activeCell="C4" sqref="C4"/>
    </sheetView>
  </sheetViews>
  <sheetFormatPr baseColWidth="10" defaultColWidth="10.7109375" defaultRowHeight="15" x14ac:dyDescent="0.25"/>
  <cols>
    <col min="1" max="1" width="20.5703125" customWidth="1"/>
    <col min="2" max="2" width="6.140625" bestFit="1" customWidth="1"/>
    <col min="3" max="3" width="5.42578125" bestFit="1" customWidth="1"/>
    <col min="4" max="4" width="5.5703125" bestFit="1" customWidth="1"/>
    <col min="5" max="5" width="5" bestFit="1" customWidth="1"/>
    <col min="6" max="6" width="11.85546875" bestFit="1" customWidth="1"/>
    <col min="7" max="7" width="5.5703125" bestFit="1" customWidth="1"/>
    <col min="8" max="8" width="4.140625" bestFit="1" customWidth="1"/>
    <col min="9" max="9" width="5.7109375" customWidth="1"/>
    <col min="10" max="10" width="5" bestFit="1" customWidth="1"/>
    <col min="11" max="11" width="5.28515625" bestFit="1" customWidth="1"/>
    <col min="12" max="12" width="5" bestFit="1" customWidth="1"/>
    <col min="13" max="13" width="5.42578125" bestFit="1" customWidth="1"/>
    <col min="14" max="16" width="5" bestFit="1" customWidth="1"/>
    <col min="17" max="17" width="5.140625" bestFit="1" customWidth="1"/>
    <col min="18" max="18" width="5" bestFit="1" customWidth="1"/>
    <col min="19" max="19" width="5.5703125" bestFit="1" customWidth="1"/>
    <col min="20" max="22" width="5" bestFit="1" customWidth="1"/>
    <col min="23" max="23" width="5.42578125" bestFit="1" customWidth="1"/>
    <col min="24" max="24" width="5.5703125" bestFit="1" customWidth="1"/>
    <col min="25" max="25" width="5" bestFit="1" customWidth="1"/>
    <col min="26" max="26" width="4" bestFit="1" customWidth="1"/>
    <col min="27" max="27" width="5.85546875" customWidth="1"/>
    <col min="28" max="28" width="4.5703125" bestFit="1" customWidth="1"/>
    <col min="29" max="29" width="4" bestFit="1" customWidth="1"/>
    <col min="30" max="30" width="4.140625" bestFit="1" customWidth="1"/>
    <col min="31" max="31" width="4.5703125" bestFit="1" customWidth="1"/>
    <col min="32" max="32" width="4.85546875" bestFit="1" customWidth="1"/>
    <col min="33" max="33" width="11.85546875" bestFit="1" customWidth="1"/>
  </cols>
  <sheetData>
    <row r="1" spans="1:33" x14ac:dyDescent="0.25">
      <c r="A1" s="457" t="s">
        <v>162</v>
      </c>
      <c r="B1" s="457"/>
      <c r="C1" s="457"/>
      <c r="D1" s="458"/>
      <c r="E1" s="457"/>
      <c r="F1" s="458"/>
      <c r="G1" s="459"/>
      <c r="H1" s="458"/>
      <c r="I1" s="457"/>
      <c r="J1" s="457"/>
      <c r="K1" s="457"/>
      <c r="L1" s="457"/>
      <c r="M1" s="457"/>
      <c r="N1" s="457"/>
      <c r="O1" s="457"/>
      <c r="P1" s="457"/>
      <c r="Q1" s="457"/>
      <c r="R1" s="457"/>
      <c r="S1" s="457"/>
      <c r="T1" s="457"/>
      <c r="U1" s="457"/>
      <c r="V1" s="457"/>
      <c r="W1" s="458"/>
      <c r="X1" s="458"/>
      <c r="Y1" s="458"/>
      <c r="Z1" s="458"/>
      <c r="AA1" s="460"/>
      <c r="AB1" s="460"/>
      <c r="AC1" s="460"/>
      <c r="AD1" s="460"/>
      <c r="AE1" s="460"/>
      <c r="AF1" s="460"/>
      <c r="AG1" s="459"/>
    </row>
    <row r="2" spans="1:33" x14ac:dyDescent="0.25">
      <c r="A2" s="461" t="s">
        <v>84</v>
      </c>
      <c r="B2" s="461" t="s">
        <v>163</v>
      </c>
      <c r="C2" s="461" t="s">
        <v>86</v>
      </c>
      <c r="D2" s="462" t="s">
        <v>164</v>
      </c>
      <c r="E2" s="461" t="s">
        <v>165</v>
      </c>
      <c r="F2" s="462" t="s">
        <v>602</v>
      </c>
      <c r="G2" s="463" t="s">
        <v>603</v>
      </c>
      <c r="H2" s="462" t="s">
        <v>88</v>
      </c>
      <c r="I2" s="464" t="s">
        <v>14</v>
      </c>
      <c r="J2" s="464" t="s">
        <v>167</v>
      </c>
      <c r="K2" s="464" t="s">
        <v>37</v>
      </c>
      <c r="L2" s="464" t="s">
        <v>167</v>
      </c>
      <c r="M2" s="464" t="s">
        <v>168</v>
      </c>
      <c r="N2" s="464" t="s">
        <v>167</v>
      </c>
      <c r="O2" s="464" t="s">
        <v>169</v>
      </c>
      <c r="P2" s="464" t="s">
        <v>167</v>
      </c>
      <c r="Q2" s="464" t="s">
        <v>170</v>
      </c>
      <c r="R2" s="464" t="s">
        <v>167</v>
      </c>
      <c r="S2" s="464" t="s">
        <v>171</v>
      </c>
      <c r="T2" s="464" t="s">
        <v>167</v>
      </c>
      <c r="U2" s="464" t="s">
        <v>172</v>
      </c>
      <c r="V2" s="464" t="s">
        <v>167</v>
      </c>
      <c r="W2" s="465" t="s">
        <v>604</v>
      </c>
      <c r="X2" s="465" t="s">
        <v>157</v>
      </c>
      <c r="Y2" s="462" t="s">
        <v>173</v>
      </c>
      <c r="Z2" s="462" t="s">
        <v>172</v>
      </c>
      <c r="AA2" s="466" t="s">
        <v>14</v>
      </c>
      <c r="AB2" s="466" t="s">
        <v>37</v>
      </c>
      <c r="AC2" s="466" t="s">
        <v>16</v>
      </c>
      <c r="AD2" s="466" t="s">
        <v>122</v>
      </c>
      <c r="AE2" s="466" t="s">
        <v>30</v>
      </c>
      <c r="AF2" s="466" t="s">
        <v>21</v>
      </c>
      <c r="AG2" s="463" t="s">
        <v>605</v>
      </c>
    </row>
    <row r="3" spans="1:33" x14ac:dyDescent="0.25">
      <c r="A3" s="467" t="s">
        <v>613</v>
      </c>
      <c r="B3" s="468">
        <v>17</v>
      </c>
      <c r="C3" s="469">
        <f ca="1">+A33-3231-112</f>
        <v>77</v>
      </c>
      <c r="D3" s="470" t="s">
        <v>157</v>
      </c>
      <c r="E3" s="471">
        <f t="shared" ref="E3" ca="1" si="0">F3-TODAY()</f>
        <v>-65</v>
      </c>
      <c r="F3" s="472">
        <v>44353</v>
      </c>
      <c r="G3" s="473">
        <v>4</v>
      </c>
      <c r="H3" s="474" t="s">
        <v>607</v>
      </c>
      <c r="I3" s="475"/>
      <c r="J3" s="475"/>
      <c r="K3" s="477"/>
      <c r="L3" s="476">
        <v>2.99</v>
      </c>
      <c r="M3" s="477"/>
      <c r="N3" s="476">
        <v>4.99</v>
      </c>
      <c r="O3" s="475"/>
      <c r="P3" s="476">
        <v>4.99</v>
      </c>
      <c r="Q3" s="475">
        <v>4</v>
      </c>
      <c r="R3" s="476">
        <v>4.99</v>
      </c>
      <c r="S3" s="475">
        <v>5</v>
      </c>
      <c r="T3" s="476">
        <v>5.99</v>
      </c>
      <c r="U3" s="475"/>
      <c r="V3" s="475"/>
      <c r="W3" s="478">
        <f t="shared" ref="W3" si="1">7-(COUNTBLANK(I3)+COUNTBLANK(K3)+COUNTBLANK(M3)+COUNTBLANK(O3)+COUNTBLANK(Q3)+COUNTBLANK(S3)+COUNTBLANK(U3))</f>
        <v>2</v>
      </c>
      <c r="X3" s="474">
        <f t="shared" ref="X3" si="2">COUNT(V3,R3,T3,P3,N3,L3,J3)</f>
        <v>5</v>
      </c>
      <c r="Y3" s="474"/>
      <c r="Z3" s="474"/>
      <c r="AA3" s="479"/>
      <c r="AB3" s="479"/>
      <c r="AC3" s="479"/>
      <c r="AD3" s="479">
        <v>4.5</v>
      </c>
      <c r="AE3" s="479"/>
      <c r="AF3" s="479">
        <v>7</v>
      </c>
      <c r="AG3" s="479"/>
    </row>
    <row r="4" spans="1:33" x14ac:dyDescent="0.25">
      <c r="A4" s="480" t="s">
        <v>608</v>
      </c>
      <c r="B4" s="480"/>
      <c r="C4" s="480"/>
      <c r="D4" s="481"/>
      <c r="E4" s="480"/>
      <c r="F4" s="481"/>
      <c r="G4" s="482"/>
      <c r="H4" s="481"/>
      <c r="I4" s="480"/>
      <c r="J4" s="480"/>
      <c r="K4" s="480"/>
      <c r="L4" s="480"/>
      <c r="M4" s="480"/>
      <c r="N4" s="480"/>
      <c r="O4" s="480"/>
      <c r="P4" s="480"/>
      <c r="Q4" s="480"/>
      <c r="R4" s="480"/>
      <c r="S4" s="480"/>
      <c r="T4" s="480"/>
      <c r="U4" s="480"/>
      <c r="V4" s="480"/>
      <c r="W4" s="481"/>
      <c r="X4" s="481"/>
      <c r="Y4" s="481"/>
      <c r="Z4" s="481"/>
      <c r="AA4" s="483"/>
      <c r="AB4" s="483"/>
      <c r="AC4" s="483"/>
      <c r="AD4" s="483"/>
      <c r="AE4" s="483"/>
      <c r="AF4" s="483"/>
      <c r="AG4" s="482"/>
    </row>
    <row r="5" spans="1:33" x14ac:dyDescent="0.25">
      <c r="A5" s="484" t="s">
        <v>174</v>
      </c>
      <c r="B5" s="484"/>
      <c r="C5" s="484"/>
      <c r="D5" s="485"/>
      <c r="E5" s="484"/>
      <c r="F5" s="485"/>
      <c r="G5" s="486"/>
      <c r="H5" s="485"/>
      <c r="I5" s="484" t="s">
        <v>175</v>
      </c>
      <c r="J5" s="484"/>
      <c r="K5" s="484"/>
      <c r="L5" s="484"/>
      <c r="M5" s="484"/>
      <c r="N5" s="484"/>
      <c r="O5" s="484"/>
      <c r="P5" s="484"/>
      <c r="Q5" s="484"/>
      <c r="R5" s="484"/>
      <c r="S5" s="484"/>
      <c r="T5" s="484"/>
      <c r="U5" s="484"/>
      <c r="V5" s="484"/>
      <c r="W5" s="485"/>
      <c r="X5" s="485"/>
      <c r="Y5" s="485"/>
      <c r="Z5" s="485"/>
      <c r="AA5" s="487" t="s">
        <v>1</v>
      </c>
      <c r="AB5" s="487"/>
      <c r="AC5" s="487"/>
      <c r="AD5" s="487"/>
      <c r="AE5" s="487"/>
      <c r="AF5" s="487"/>
      <c r="AG5" s="486"/>
    </row>
    <row r="6" spans="1:33" x14ac:dyDescent="0.25">
      <c r="A6" s="488" t="s">
        <v>84</v>
      </c>
      <c r="B6" s="488" t="s">
        <v>163</v>
      </c>
      <c r="C6" s="488" t="s">
        <v>86</v>
      </c>
      <c r="D6" s="485" t="s">
        <v>164</v>
      </c>
      <c r="E6" s="488" t="s">
        <v>165</v>
      </c>
      <c r="F6" s="485" t="str">
        <f>F2</f>
        <v>Promoción</v>
      </c>
      <c r="G6" s="486" t="str">
        <f>G2</f>
        <v>Nivel</v>
      </c>
      <c r="H6" s="485" t="str">
        <f>H2</f>
        <v>Lid</v>
      </c>
      <c r="I6" s="464" t="s">
        <v>14</v>
      </c>
      <c r="J6" s="464" t="str">
        <f t="shared" ref="J6:Y6" si="3">J2</f>
        <v>Pot</v>
      </c>
      <c r="K6" s="464" t="str">
        <f t="shared" si="3"/>
        <v>DEF</v>
      </c>
      <c r="L6" s="464" t="str">
        <f t="shared" si="3"/>
        <v>Pot</v>
      </c>
      <c r="M6" s="464" t="str">
        <f t="shared" si="3"/>
        <v>JUG</v>
      </c>
      <c r="N6" s="464" t="str">
        <f t="shared" si="3"/>
        <v>Pot</v>
      </c>
      <c r="O6" s="464" t="str">
        <f t="shared" si="3"/>
        <v>LAT</v>
      </c>
      <c r="P6" s="464" t="str">
        <f t="shared" si="3"/>
        <v>Pot</v>
      </c>
      <c r="Q6" s="464" t="str">
        <f t="shared" si="3"/>
        <v>PAS</v>
      </c>
      <c r="R6" s="464" t="str">
        <f t="shared" si="3"/>
        <v>Pot</v>
      </c>
      <c r="S6" s="464" t="str">
        <f t="shared" si="3"/>
        <v>ANO</v>
      </c>
      <c r="T6" s="464" t="str">
        <f t="shared" si="3"/>
        <v>Pot</v>
      </c>
      <c r="U6" s="464" t="str">
        <f t="shared" si="3"/>
        <v>BP</v>
      </c>
      <c r="V6" s="464" t="str">
        <f t="shared" si="3"/>
        <v>Pot</v>
      </c>
      <c r="W6" s="489" t="str">
        <f t="shared" si="3"/>
        <v>HAB</v>
      </c>
      <c r="X6" s="489" t="str">
        <f t="shared" si="3"/>
        <v>POT</v>
      </c>
      <c r="Y6" s="485" t="str">
        <f t="shared" si="3"/>
        <v>Cap</v>
      </c>
      <c r="Z6" s="485" t="s">
        <v>172</v>
      </c>
      <c r="AA6" s="490" t="str">
        <f t="shared" ref="AA6:AG6" si="4">AA2</f>
        <v>POR</v>
      </c>
      <c r="AB6" s="490" t="str">
        <f t="shared" si="4"/>
        <v>DEF</v>
      </c>
      <c r="AC6" s="490" t="str">
        <f t="shared" si="4"/>
        <v>DL</v>
      </c>
      <c r="AD6" s="490" t="str">
        <f t="shared" si="4"/>
        <v>INN</v>
      </c>
      <c r="AE6" s="490" t="str">
        <f t="shared" si="4"/>
        <v>EXT</v>
      </c>
      <c r="AF6" s="490" t="str">
        <f t="shared" si="4"/>
        <v>DAV</v>
      </c>
      <c r="AG6" s="486" t="str">
        <f t="shared" si="4"/>
        <v>Atributs</v>
      </c>
    </row>
    <row r="7" spans="1:33" x14ac:dyDescent="0.25">
      <c r="A7" s="467" t="s">
        <v>612</v>
      </c>
      <c r="B7" s="468">
        <v>16</v>
      </c>
      <c r="C7" s="469">
        <f ca="1">+A33-3209-112</f>
        <v>99</v>
      </c>
      <c r="D7" s="470" t="s">
        <v>157</v>
      </c>
      <c r="E7" s="471">
        <f ca="1">F7-TODAY()</f>
        <v>13</v>
      </c>
      <c r="F7" s="472">
        <v>44431</v>
      </c>
      <c r="G7" s="505" t="s">
        <v>610</v>
      </c>
      <c r="H7" s="474" t="s">
        <v>607</v>
      </c>
      <c r="I7" s="475"/>
      <c r="J7" s="475"/>
      <c r="K7" s="477">
        <v>4</v>
      </c>
      <c r="L7" s="476">
        <v>6.99</v>
      </c>
      <c r="M7" s="477"/>
      <c r="N7" s="476">
        <v>3.99</v>
      </c>
      <c r="O7" s="475">
        <v>3</v>
      </c>
      <c r="P7" s="476">
        <v>7</v>
      </c>
      <c r="Q7" s="477"/>
      <c r="R7" s="476">
        <v>4.99</v>
      </c>
      <c r="S7" s="475"/>
      <c r="T7" s="476">
        <v>2.99</v>
      </c>
      <c r="U7" s="475"/>
      <c r="V7" s="476"/>
      <c r="W7" s="478">
        <f>7-(COUNTBLANK(I7)+COUNTBLANK(K7)+COUNTBLANK(M7)+COUNTBLANK(O7)+COUNTBLANK(Q7)+COUNTBLANK(S7)+COUNTBLANK(U7))</f>
        <v>2</v>
      </c>
      <c r="X7" s="474">
        <f>COUNT(V7,R7,T7,P7,N7,L7,J7)</f>
        <v>5</v>
      </c>
      <c r="Y7" s="474"/>
      <c r="Z7" s="474"/>
      <c r="AA7" s="479"/>
      <c r="AB7" s="479">
        <v>4</v>
      </c>
      <c r="AC7" s="479">
        <v>5</v>
      </c>
      <c r="AD7" s="479"/>
      <c r="AE7" s="479">
        <v>5.5</v>
      </c>
      <c r="AF7" s="479"/>
      <c r="AG7" s="479"/>
    </row>
    <row r="8" spans="1:33" x14ac:dyDescent="0.25">
      <c r="A8" s="467" t="s">
        <v>636</v>
      </c>
      <c r="B8" s="468">
        <v>15</v>
      </c>
      <c r="C8" s="469">
        <f ca="1">+A33-3288</f>
        <v>132</v>
      </c>
      <c r="D8" s="470"/>
      <c r="E8" s="471">
        <f ca="1">F8-TODAY()</f>
        <v>92</v>
      </c>
      <c r="F8" s="472">
        <v>44510</v>
      </c>
      <c r="G8" s="473" t="s">
        <v>607</v>
      </c>
      <c r="H8" s="474" t="s">
        <v>607</v>
      </c>
      <c r="I8" s="475"/>
      <c r="J8" s="476"/>
      <c r="K8" s="475">
        <v>4</v>
      </c>
      <c r="L8" s="476">
        <v>5.99</v>
      </c>
      <c r="M8" s="477"/>
      <c r="N8" s="476">
        <v>3.99</v>
      </c>
      <c r="O8" s="477"/>
      <c r="P8" s="476">
        <v>3.99</v>
      </c>
      <c r="Q8" s="477"/>
      <c r="R8" s="476">
        <v>5.99</v>
      </c>
      <c r="S8" s="477"/>
      <c r="T8" s="476"/>
      <c r="U8" s="475"/>
      <c r="V8" s="475"/>
      <c r="W8" s="478">
        <f>7-(COUNTBLANK(I8)+COUNTBLANK(K8)+COUNTBLANK(M8)+COUNTBLANK(O8)+COUNTBLANK(Q8)+COUNTBLANK(S8)+COUNTBLANK(U8))</f>
        <v>1</v>
      </c>
      <c r="X8" s="474">
        <f>COUNT(V8,R8,T8,P8,N8,L8,J8)</f>
        <v>4</v>
      </c>
      <c r="Y8" s="474"/>
      <c r="Z8" s="474"/>
      <c r="AA8" s="479"/>
      <c r="AB8" s="479">
        <v>4.5</v>
      </c>
      <c r="AC8" s="479">
        <v>4.5</v>
      </c>
      <c r="AD8" s="479"/>
      <c r="AE8" s="479"/>
      <c r="AF8" s="479"/>
      <c r="AG8" s="479"/>
    </row>
    <row r="9" spans="1:33" x14ac:dyDescent="0.25">
      <c r="A9" s="493" t="s">
        <v>609</v>
      </c>
      <c r="B9" s="493"/>
      <c r="C9" s="493"/>
      <c r="D9" s="494"/>
      <c r="E9" s="493"/>
      <c r="F9" s="494"/>
      <c r="G9" s="495"/>
      <c r="H9" s="494"/>
      <c r="I9" s="496"/>
      <c r="J9" s="496"/>
      <c r="K9" s="496"/>
      <c r="L9" s="496"/>
      <c r="M9" s="496"/>
      <c r="N9" s="496"/>
      <c r="O9" s="496"/>
      <c r="P9" s="496"/>
      <c r="Q9" s="496"/>
      <c r="R9" s="496"/>
      <c r="S9" s="496"/>
      <c r="T9" s="496"/>
      <c r="U9" s="496"/>
      <c r="V9" s="496"/>
      <c r="W9" s="494"/>
      <c r="X9" s="494"/>
      <c r="Y9" s="494"/>
      <c r="Z9" s="494"/>
      <c r="AA9" s="497"/>
      <c r="AB9" s="497"/>
      <c r="AC9" s="497"/>
      <c r="AD9" s="497"/>
      <c r="AE9" s="497"/>
      <c r="AF9" s="497"/>
      <c r="AG9" s="495"/>
    </row>
    <row r="10" spans="1:33" x14ac:dyDescent="0.25">
      <c r="A10" s="498" t="s">
        <v>174</v>
      </c>
      <c r="B10" s="498"/>
      <c r="C10" s="498"/>
      <c r="D10" s="499"/>
      <c r="E10" s="498"/>
      <c r="F10" s="499"/>
      <c r="G10" s="500"/>
      <c r="H10" s="499"/>
      <c r="I10" s="498" t="s">
        <v>175</v>
      </c>
      <c r="J10" s="498"/>
      <c r="K10" s="498"/>
      <c r="L10" s="498"/>
      <c r="M10" s="498"/>
      <c r="N10" s="498"/>
      <c r="O10" s="498"/>
      <c r="P10" s="498"/>
      <c r="Q10" s="498"/>
      <c r="R10" s="498"/>
      <c r="S10" s="498"/>
      <c r="T10" s="498"/>
      <c r="U10" s="498"/>
      <c r="V10" s="498"/>
      <c r="W10" s="499"/>
      <c r="X10" s="499"/>
      <c r="Y10" s="499"/>
      <c r="Z10" s="499"/>
      <c r="AA10" s="501" t="s">
        <v>1</v>
      </c>
      <c r="AB10" s="501"/>
      <c r="AC10" s="501"/>
      <c r="AD10" s="501"/>
      <c r="AE10" s="501"/>
      <c r="AF10" s="501"/>
      <c r="AG10" s="500"/>
    </row>
    <row r="11" spans="1:33" x14ac:dyDescent="0.25">
      <c r="A11" s="502" t="s">
        <v>84</v>
      </c>
      <c r="B11" s="502" t="s">
        <v>163</v>
      </c>
      <c r="C11" s="502" t="s">
        <v>86</v>
      </c>
      <c r="D11" s="499" t="s">
        <v>164</v>
      </c>
      <c r="E11" s="502" t="s">
        <v>165</v>
      </c>
      <c r="F11" s="499" t="str">
        <f>F6</f>
        <v>Promoción</v>
      </c>
      <c r="G11" s="500" t="str">
        <f>G6</f>
        <v>Nivel</v>
      </c>
      <c r="H11" s="499" t="str">
        <f>H6</f>
        <v>Lid</v>
      </c>
      <c r="I11" s="464" t="s">
        <v>14</v>
      </c>
      <c r="J11" s="464" t="str">
        <f t="shared" ref="J11:Y11" si="5">J6</f>
        <v>Pot</v>
      </c>
      <c r="K11" s="464" t="str">
        <f t="shared" si="5"/>
        <v>DEF</v>
      </c>
      <c r="L11" s="464" t="str">
        <f t="shared" si="5"/>
        <v>Pot</v>
      </c>
      <c r="M11" s="464" t="str">
        <f t="shared" si="5"/>
        <v>JUG</v>
      </c>
      <c r="N11" s="464" t="str">
        <f t="shared" si="5"/>
        <v>Pot</v>
      </c>
      <c r="O11" s="464" t="str">
        <f t="shared" si="5"/>
        <v>LAT</v>
      </c>
      <c r="P11" s="464" t="str">
        <f t="shared" si="5"/>
        <v>Pot</v>
      </c>
      <c r="Q11" s="464" t="str">
        <f t="shared" si="5"/>
        <v>PAS</v>
      </c>
      <c r="R11" s="464" t="str">
        <f t="shared" si="5"/>
        <v>Pot</v>
      </c>
      <c r="S11" s="464" t="str">
        <f t="shared" si="5"/>
        <v>ANO</v>
      </c>
      <c r="T11" s="464" t="str">
        <f t="shared" si="5"/>
        <v>Pot</v>
      </c>
      <c r="U11" s="464" t="str">
        <f t="shared" si="5"/>
        <v>BP</v>
      </c>
      <c r="V11" s="464" t="str">
        <f t="shared" si="5"/>
        <v>Pot</v>
      </c>
      <c r="W11" s="503" t="str">
        <f t="shared" si="5"/>
        <v>HAB</v>
      </c>
      <c r="X11" s="503" t="str">
        <f t="shared" si="5"/>
        <v>POT</v>
      </c>
      <c r="Y11" s="499" t="str">
        <f t="shared" si="5"/>
        <v>Cap</v>
      </c>
      <c r="Z11" s="499" t="s">
        <v>172</v>
      </c>
      <c r="AA11" s="504" t="str">
        <f t="shared" ref="AA11:AG11" si="6">AA6</f>
        <v>POR</v>
      </c>
      <c r="AB11" s="504" t="str">
        <f t="shared" si="6"/>
        <v>DEF</v>
      </c>
      <c r="AC11" s="504" t="str">
        <f t="shared" si="6"/>
        <v>DL</v>
      </c>
      <c r="AD11" s="504" t="str">
        <f t="shared" si="6"/>
        <v>INN</v>
      </c>
      <c r="AE11" s="504" t="str">
        <f t="shared" si="6"/>
        <v>EXT</v>
      </c>
      <c r="AF11" s="504" t="str">
        <f t="shared" si="6"/>
        <v>DAV</v>
      </c>
      <c r="AG11" s="500" t="str">
        <f t="shared" si="6"/>
        <v>Atributs</v>
      </c>
    </row>
    <row r="12" spans="1:33" x14ac:dyDescent="0.25">
      <c r="A12" s="467" t="s">
        <v>621</v>
      </c>
      <c r="B12" s="468">
        <v>15</v>
      </c>
      <c r="C12" s="469">
        <f ca="1">+A33-3241</f>
        <v>179</v>
      </c>
      <c r="D12" s="470" t="s">
        <v>128</v>
      </c>
      <c r="E12" s="471">
        <f ca="1">F12-TODAY()</f>
        <v>93</v>
      </c>
      <c r="F12" s="472">
        <v>44511</v>
      </c>
      <c r="G12" s="473" t="s">
        <v>607</v>
      </c>
      <c r="H12" s="474" t="s">
        <v>607</v>
      </c>
      <c r="I12" s="475"/>
      <c r="J12" s="476"/>
      <c r="K12" s="477"/>
      <c r="L12" s="476">
        <v>3.99</v>
      </c>
      <c r="M12" s="477"/>
      <c r="N12" s="476">
        <v>4.99</v>
      </c>
      <c r="O12" s="477">
        <v>3</v>
      </c>
      <c r="P12" s="476"/>
      <c r="Q12" s="475"/>
      <c r="R12" s="476">
        <v>3.99</v>
      </c>
      <c r="S12" s="477"/>
      <c r="T12" s="476"/>
      <c r="U12" s="475"/>
      <c r="V12" s="475"/>
      <c r="W12" s="478">
        <f>7-(COUNTBLANK(I12)+COUNTBLANK(K12)+COUNTBLANK(M12)+COUNTBLANK(O12)+COUNTBLANK(Q12)+COUNTBLANK(S12)+COUNTBLANK(U12))</f>
        <v>1</v>
      </c>
      <c r="X12" s="474">
        <f>COUNT(V12,R12,T12,P12,N12,L12,J12)</f>
        <v>3</v>
      </c>
      <c r="Y12" s="474"/>
      <c r="Z12" s="474"/>
      <c r="AA12" s="479"/>
      <c r="AB12" s="479"/>
      <c r="AC12" s="479">
        <v>4</v>
      </c>
      <c r="AD12" s="479">
        <v>4</v>
      </c>
      <c r="AE12" s="479"/>
      <c r="AF12" s="479"/>
      <c r="AG12" s="479"/>
    </row>
    <row r="13" spans="1:33" x14ac:dyDescent="0.25">
      <c r="A13" s="467" t="s">
        <v>619</v>
      </c>
      <c r="B13" s="468">
        <v>16</v>
      </c>
      <c r="C13" s="469">
        <f ca="1">+A33-3259</f>
        <v>161</v>
      </c>
      <c r="D13" s="470"/>
      <c r="E13" s="471">
        <f t="shared" ref="E13:E19" ca="1" si="7">F13-TODAY()</f>
        <v>-49</v>
      </c>
      <c r="F13" s="472">
        <v>44369</v>
      </c>
      <c r="G13" s="473" t="s">
        <v>607</v>
      </c>
      <c r="H13" s="474" t="s">
        <v>607</v>
      </c>
      <c r="I13" s="475"/>
      <c r="J13" s="476"/>
      <c r="K13" s="475"/>
      <c r="L13" s="476">
        <v>1.99</v>
      </c>
      <c r="M13" s="477"/>
      <c r="N13" s="476">
        <v>2.99</v>
      </c>
      <c r="O13" s="477"/>
      <c r="P13" s="476">
        <v>2.99</v>
      </c>
      <c r="Q13" s="477">
        <v>4</v>
      </c>
      <c r="R13" s="476">
        <v>4.99</v>
      </c>
      <c r="S13" s="475">
        <v>3</v>
      </c>
      <c r="T13" s="476"/>
      <c r="U13" s="475"/>
      <c r="V13" s="476"/>
      <c r="W13" s="478">
        <f t="shared" ref="W13:W19" si="8">7-(COUNTBLANK(I13)+COUNTBLANK(K13)+COUNTBLANK(M13)+COUNTBLANK(O13)+COUNTBLANK(Q13)+COUNTBLANK(S13)+COUNTBLANK(U13))</f>
        <v>2</v>
      </c>
      <c r="X13" s="474">
        <f t="shared" ref="X13:X19" si="9">COUNT(V13,R13,T13,P13,N13,L13,J13)</f>
        <v>4</v>
      </c>
      <c r="Y13" s="474"/>
      <c r="Z13" s="474"/>
      <c r="AA13" s="479">
        <v>1</v>
      </c>
      <c r="AB13" s="479"/>
      <c r="AC13" s="479"/>
      <c r="AD13" s="479">
        <v>3</v>
      </c>
      <c r="AE13" s="479">
        <v>3.5</v>
      </c>
      <c r="AF13" s="479">
        <v>5</v>
      </c>
      <c r="AG13" s="479"/>
    </row>
    <row r="14" spans="1:33" x14ac:dyDescent="0.25">
      <c r="A14" s="467" t="s">
        <v>614</v>
      </c>
      <c r="B14" s="468">
        <v>16</v>
      </c>
      <c r="C14" s="469">
        <f ca="1">+A33-3263</f>
        <v>157</v>
      </c>
      <c r="D14" s="470"/>
      <c r="E14" s="471">
        <f t="shared" ca="1" si="7"/>
        <v>-45</v>
      </c>
      <c r="F14" s="472">
        <v>44373</v>
      </c>
      <c r="G14" s="473" t="s">
        <v>606</v>
      </c>
      <c r="H14" s="474" t="s">
        <v>607</v>
      </c>
      <c r="I14" s="475"/>
      <c r="J14" s="476"/>
      <c r="K14" s="475">
        <v>3</v>
      </c>
      <c r="L14" s="476">
        <v>3.99</v>
      </c>
      <c r="M14" s="477">
        <v>4</v>
      </c>
      <c r="N14" s="476">
        <v>4.99</v>
      </c>
      <c r="O14" s="477"/>
      <c r="P14" s="476">
        <v>3.99</v>
      </c>
      <c r="Q14" s="477">
        <v>3</v>
      </c>
      <c r="R14" s="476">
        <v>3.99</v>
      </c>
      <c r="S14" s="475">
        <v>4</v>
      </c>
      <c r="T14" s="476">
        <v>6.99</v>
      </c>
      <c r="U14" s="475"/>
      <c r="V14" s="475"/>
      <c r="W14" s="478">
        <f t="shared" si="8"/>
        <v>4</v>
      </c>
      <c r="X14" s="474">
        <f t="shared" si="9"/>
        <v>5</v>
      </c>
      <c r="Y14" s="474"/>
      <c r="Z14" s="474"/>
      <c r="AA14" s="479"/>
      <c r="AB14" s="479">
        <v>3.5</v>
      </c>
      <c r="AC14" s="479">
        <v>4</v>
      </c>
      <c r="AD14" s="479">
        <v>4.5</v>
      </c>
      <c r="AE14" s="479">
        <v>4.5</v>
      </c>
      <c r="AF14" s="479">
        <v>6</v>
      </c>
      <c r="AG14" s="479"/>
    </row>
    <row r="15" spans="1:33" x14ac:dyDescent="0.25">
      <c r="A15" s="467" t="s">
        <v>616</v>
      </c>
      <c r="B15" s="468">
        <v>16</v>
      </c>
      <c r="C15" s="469">
        <f ca="1">+A33-3263</f>
        <v>157</v>
      </c>
      <c r="D15" s="470"/>
      <c r="E15" s="471">
        <f t="shared" ca="1" si="7"/>
        <v>-45</v>
      </c>
      <c r="F15" s="472">
        <v>44373</v>
      </c>
      <c r="G15" s="473" t="s">
        <v>607</v>
      </c>
      <c r="H15" s="474" t="s">
        <v>607</v>
      </c>
      <c r="I15" s="475"/>
      <c r="J15" s="476"/>
      <c r="K15" s="475">
        <v>3</v>
      </c>
      <c r="L15" s="476">
        <v>3.99</v>
      </c>
      <c r="M15" s="477">
        <v>4</v>
      </c>
      <c r="N15" s="476">
        <v>4.99</v>
      </c>
      <c r="O15" s="475">
        <v>3</v>
      </c>
      <c r="P15" s="476">
        <v>3.99</v>
      </c>
      <c r="Q15" s="477">
        <v>4</v>
      </c>
      <c r="R15" s="476">
        <v>4.99</v>
      </c>
      <c r="S15" s="477">
        <v>4</v>
      </c>
      <c r="T15" s="476">
        <v>5.99</v>
      </c>
      <c r="U15" s="475"/>
      <c r="V15" s="476"/>
      <c r="W15" s="478">
        <f t="shared" si="8"/>
        <v>5</v>
      </c>
      <c r="X15" s="474">
        <f t="shared" si="9"/>
        <v>5</v>
      </c>
      <c r="Y15" s="474"/>
      <c r="Z15" s="474">
        <v>2</v>
      </c>
      <c r="AA15" s="479">
        <v>1.5</v>
      </c>
      <c r="AB15" s="479">
        <v>3</v>
      </c>
      <c r="AC15" s="479">
        <v>3.5</v>
      </c>
      <c r="AD15" s="479">
        <v>5</v>
      </c>
      <c r="AE15" s="479">
        <v>5</v>
      </c>
      <c r="AF15" s="479">
        <v>6.5</v>
      </c>
      <c r="AG15" s="479"/>
    </row>
    <row r="16" spans="1:33" x14ac:dyDescent="0.25">
      <c r="A16" s="467" t="s">
        <v>617</v>
      </c>
      <c r="B16" s="468">
        <v>16</v>
      </c>
      <c r="C16" s="469">
        <f ca="1">+A33-3274</f>
        <v>146</v>
      </c>
      <c r="D16" s="470"/>
      <c r="E16" s="471">
        <f t="shared" ca="1" si="7"/>
        <v>-31</v>
      </c>
      <c r="F16" s="472">
        <v>44387</v>
      </c>
      <c r="G16" s="524" t="s">
        <v>611</v>
      </c>
      <c r="H16" s="474" t="s">
        <v>607</v>
      </c>
      <c r="I16" s="475"/>
      <c r="J16" s="476">
        <v>1.99</v>
      </c>
      <c r="K16" s="475">
        <v>4</v>
      </c>
      <c r="L16" s="476">
        <v>6.99</v>
      </c>
      <c r="M16" s="477"/>
      <c r="N16" s="476">
        <v>2.99</v>
      </c>
      <c r="O16" s="475"/>
      <c r="P16" s="476">
        <v>2.99</v>
      </c>
      <c r="Q16" s="477">
        <v>2</v>
      </c>
      <c r="R16" s="476">
        <v>3.99</v>
      </c>
      <c r="S16" s="477"/>
      <c r="T16" s="476">
        <v>2.99</v>
      </c>
      <c r="U16" s="475"/>
      <c r="V16" s="476"/>
      <c r="W16" s="478">
        <f t="shared" si="8"/>
        <v>2</v>
      </c>
      <c r="X16" s="474">
        <f t="shared" si="9"/>
        <v>6</v>
      </c>
      <c r="Y16" s="474"/>
      <c r="Z16" s="474"/>
      <c r="AA16" s="479"/>
      <c r="AB16" s="479">
        <v>4</v>
      </c>
      <c r="AC16" s="479">
        <v>4.5</v>
      </c>
      <c r="AD16" s="479">
        <v>3.5</v>
      </c>
      <c r="AE16" s="479"/>
      <c r="AF16" s="479"/>
      <c r="AG16" s="479"/>
    </row>
    <row r="17" spans="1:33" x14ac:dyDescent="0.25">
      <c r="A17" s="467" t="s">
        <v>620</v>
      </c>
      <c r="B17" s="468">
        <v>16</v>
      </c>
      <c r="C17" s="469">
        <f ca="1">+A33-3242</f>
        <v>178</v>
      </c>
      <c r="D17" s="470"/>
      <c r="E17" s="471">
        <f t="shared" ca="1" si="7"/>
        <v>-30</v>
      </c>
      <c r="F17" s="472">
        <v>44388</v>
      </c>
      <c r="G17" s="513" t="s">
        <v>606</v>
      </c>
      <c r="H17" s="474" t="s">
        <v>607</v>
      </c>
      <c r="I17" s="475"/>
      <c r="J17" s="475"/>
      <c r="K17" s="477">
        <v>4</v>
      </c>
      <c r="L17" s="475">
        <v>4.99</v>
      </c>
      <c r="M17" s="475">
        <v>5</v>
      </c>
      <c r="N17" s="476"/>
      <c r="O17" s="475"/>
      <c r="P17" s="476">
        <v>3.99</v>
      </c>
      <c r="Q17" s="475">
        <v>3</v>
      </c>
      <c r="R17" s="476">
        <v>3.99</v>
      </c>
      <c r="S17" s="477"/>
      <c r="T17" s="476"/>
      <c r="U17" s="475"/>
      <c r="V17" s="475"/>
      <c r="W17" s="478">
        <f t="shared" si="8"/>
        <v>3</v>
      </c>
      <c r="X17" s="474">
        <f t="shared" si="9"/>
        <v>3</v>
      </c>
      <c r="Y17" s="474"/>
      <c r="Z17" s="474"/>
      <c r="AA17" s="479">
        <v>1.5</v>
      </c>
      <c r="AB17" s="479"/>
      <c r="AC17" s="479"/>
      <c r="AD17" s="479">
        <v>5.5</v>
      </c>
      <c r="AE17" s="479"/>
      <c r="AF17" s="479"/>
      <c r="AG17" s="479"/>
    </row>
    <row r="18" spans="1:33" x14ac:dyDescent="0.25">
      <c r="A18" s="467" t="s">
        <v>615</v>
      </c>
      <c r="B18" s="468">
        <v>16</v>
      </c>
      <c r="C18" s="469">
        <f ca="1">+A33-3280</f>
        <v>140</v>
      </c>
      <c r="D18" s="470"/>
      <c r="E18" s="471">
        <f t="shared" ca="1" si="7"/>
        <v>-28</v>
      </c>
      <c r="F18" s="472">
        <v>44390</v>
      </c>
      <c r="G18" s="473" t="s">
        <v>607</v>
      </c>
      <c r="H18" s="474" t="s">
        <v>607</v>
      </c>
      <c r="I18" s="475"/>
      <c r="J18" s="475"/>
      <c r="K18" s="475"/>
      <c r="L18" s="476">
        <v>2.99</v>
      </c>
      <c r="M18" s="475">
        <v>2</v>
      </c>
      <c r="N18" s="476">
        <v>3.99</v>
      </c>
      <c r="O18" s="477">
        <v>4</v>
      </c>
      <c r="P18" s="476">
        <v>6.99</v>
      </c>
      <c r="Q18" s="477">
        <v>3</v>
      </c>
      <c r="R18" s="476">
        <v>3.99</v>
      </c>
      <c r="S18" s="477">
        <v>3</v>
      </c>
      <c r="T18" s="476">
        <v>3.99</v>
      </c>
      <c r="U18" s="475"/>
      <c r="V18" s="475"/>
      <c r="W18" s="478">
        <f t="shared" si="8"/>
        <v>4</v>
      </c>
      <c r="X18" s="474">
        <f t="shared" si="9"/>
        <v>5</v>
      </c>
      <c r="Y18" s="474"/>
      <c r="Z18" s="474"/>
      <c r="AA18" s="479"/>
      <c r="AB18" s="479"/>
      <c r="AC18" s="479">
        <v>3</v>
      </c>
      <c r="AD18" s="479"/>
      <c r="AE18" s="479">
        <v>4.5</v>
      </c>
      <c r="AF18" s="479">
        <v>5</v>
      </c>
      <c r="AG18" s="479"/>
    </row>
    <row r="19" spans="1:33" x14ac:dyDescent="0.25">
      <c r="A19" s="467" t="s">
        <v>618</v>
      </c>
      <c r="B19" s="468">
        <v>17</v>
      </c>
      <c r="C19" s="469">
        <f ca="1">+A33-3211-112</f>
        <v>97</v>
      </c>
      <c r="D19" s="470" t="s">
        <v>134</v>
      </c>
      <c r="E19" s="471">
        <f t="shared" ca="1" si="7"/>
        <v>-9</v>
      </c>
      <c r="F19" s="472">
        <v>44409</v>
      </c>
      <c r="G19" s="525" t="s">
        <v>607</v>
      </c>
      <c r="H19" s="474" t="s">
        <v>607</v>
      </c>
      <c r="I19" s="475"/>
      <c r="J19" s="476"/>
      <c r="K19" s="475">
        <v>2</v>
      </c>
      <c r="L19" s="476">
        <v>2.99</v>
      </c>
      <c r="M19" s="477"/>
      <c r="N19" s="476"/>
      <c r="O19" s="475"/>
      <c r="P19" s="476">
        <v>5.99</v>
      </c>
      <c r="Q19" s="477">
        <v>4</v>
      </c>
      <c r="R19" s="476"/>
      <c r="S19" s="477"/>
      <c r="T19" s="476"/>
      <c r="U19" s="475"/>
      <c r="V19" s="476"/>
      <c r="W19" s="478">
        <f t="shared" si="8"/>
        <v>2</v>
      </c>
      <c r="X19" s="474">
        <f t="shared" si="9"/>
        <v>2</v>
      </c>
      <c r="Y19" s="474"/>
      <c r="Z19" s="474"/>
      <c r="AA19" s="479"/>
      <c r="AB19" s="479">
        <v>2.5</v>
      </c>
      <c r="AC19" s="479"/>
      <c r="AD19" s="479">
        <v>4.5</v>
      </c>
      <c r="AE19" s="479"/>
      <c r="AF19" s="479"/>
      <c r="AG19" s="479"/>
    </row>
    <row r="20" spans="1:33" x14ac:dyDescent="0.25">
      <c r="A20" s="506" t="s">
        <v>174</v>
      </c>
      <c r="B20" s="506"/>
      <c r="C20" s="506"/>
      <c r="D20" s="507"/>
      <c r="E20" s="506"/>
      <c r="F20" s="507"/>
      <c r="G20" s="508"/>
      <c r="H20" s="507"/>
      <c r="I20" s="506" t="s">
        <v>175</v>
      </c>
      <c r="J20" s="506"/>
      <c r="K20" s="506"/>
      <c r="L20" s="506"/>
      <c r="M20" s="506"/>
      <c r="N20" s="506"/>
      <c r="O20" s="506"/>
      <c r="P20" s="506"/>
      <c r="Q20" s="506"/>
      <c r="R20" s="506"/>
      <c r="S20" s="506"/>
      <c r="T20" s="506"/>
      <c r="U20" s="506"/>
      <c r="V20" s="506"/>
      <c r="W20" s="507"/>
      <c r="X20" s="507"/>
      <c r="Y20" s="507"/>
      <c r="Z20" s="507"/>
      <c r="AA20" s="509" t="s">
        <v>1</v>
      </c>
      <c r="AB20" s="509"/>
      <c r="AC20" s="509"/>
      <c r="AD20" s="509"/>
      <c r="AE20" s="509"/>
      <c r="AF20" s="509"/>
      <c r="AG20" s="508"/>
    </row>
    <row r="21" spans="1:33" x14ac:dyDescent="0.25">
      <c r="A21" s="510" t="s">
        <v>84</v>
      </c>
      <c r="B21" s="510" t="s">
        <v>163</v>
      </c>
      <c r="C21" s="510" t="s">
        <v>86</v>
      </c>
      <c r="D21" s="507" t="s">
        <v>164</v>
      </c>
      <c r="E21" s="510" t="s">
        <v>165</v>
      </c>
      <c r="F21" s="507" t="str">
        <f>F11</f>
        <v>Promoción</v>
      </c>
      <c r="G21" s="508" t="str">
        <f>G11</f>
        <v>Nivel</v>
      </c>
      <c r="H21" s="507" t="str">
        <f>H11</f>
        <v>Lid</v>
      </c>
      <c r="I21" s="464" t="s">
        <v>14</v>
      </c>
      <c r="J21" s="464" t="str">
        <f t="shared" ref="J21:Y21" si="10">J11</f>
        <v>Pot</v>
      </c>
      <c r="K21" s="464" t="str">
        <f t="shared" si="10"/>
        <v>DEF</v>
      </c>
      <c r="L21" s="464" t="str">
        <f t="shared" si="10"/>
        <v>Pot</v>
      </c>
      <c r="M21" s="464" t="str">
        <f t="shared" si="10"/>
        <v>JUG</v>
      </c>
      <c r="N21" s="464" t="str">
        <f t="shared" si="10"/>
        <v>Pot</v>
      </c>
      <c r="O21" s="464" t="str">
        <f t="shared" si="10"/>
        <v>LAT</v>
      </c>
      <c r="P21" s="464" t="str">
        <f t="shared" si="10"/>
        <v>Pot</v>
      </c>
      <c r="Q21" s="464" t="str">
        <f t="shared" si="10"/>
        <v>PAS</v>
      </c>
      <c r="R21" s="464" t="str">
        <f t="shared" si="10"/>
        <v>Pot</v>
      </c>
      <c r="S21" s="464" t="str">
        <f t="shared" si="10"/>
        <v>ANO</v>
      </c>
      <c r="T21" s="464" t="str">
        <f t="shared" si="10"/>
        <v>Pot</v>
      </c>
      <c r="U21" s="464" t="str">
        <f t="shared" si="10"/>
        <v>BP</v>
      </c>
      <c r="V21" s="464" t="str">
        <f t="shared" si="10"/>
        <v>Pot</v>
      </c>
      <c r="W21" s="511" t="str">
        <f t="shared" si="10"/>
        <v>HAB</v>
      </c>
      <c r="X21" s="511" t="str">
        <f t="shared" si="10"/>
        <v>POT</v>
      </c>
      <c r="Y21" s="507" t="str">
        <f t="shared" si="10"/>
        <v>Cap</v>
      </c>
      <c r="Z21" s="507" t="s">
        <v>172</v>
      </c>
      <c r="AA21" s="512" t="str">
        <f t="shared" ref="AA21:AG21" si="11">AA11</f>
        <v>POR</v>
      </c>
      <c r="AB21" s="512" t="str">
        <f t="shared" si="11"/>
        <v>DEF</v>
      </c>
      <c r="AC21" s="512" t="str">
        <f t="shared" si="11"/>
        <v>DL</v>
      </c>
      <c r="AD21" s="512" t="str">
        <f t="shared" si="11"/>
        <v>INN</v>
      </c>
      <c r="AE21" s="512" t="str">
        <f t="shared" si="11"/>
        <v>EXT</v>
      </c>
      <c r="AF21" s="512" t="str">
        <f t="shared" si="11"/>
        <v>DAV</v>
      </c>
      <c r="AG21" s="508" t="str">
        <f t="shared" si="11"/>
        <v>Atributs</v>
      </c>
    </row>
    <row r="22" spans="1:33" x14ac:dyDescent="0.25">
      <c r="A22" s="467"/>
      <c r="B22" s="468">
        <v>17</v>
      </c>
      <c r="C22" s="469">
        <f ca="1">+A33-3244</f>
        <v>176</v>
      </c>
      <c r="D22" s="470"/>
      <c r="E22" s="471">
        <f ca="1">F22-TODAY()</f>
        <v>-64</v>
      </c>
      <c r="F22" s="472">
        <v>44354</v>
      </c>
      <c r="G22" s="473">
        <v>4</v>
      </c>
      <c r="H22" s="474" t="s">
        <v>607</v>
      </c>
      <c r="I22" s="475"/>
      <c r="J22" s="475"/>
      <c r="K22" s="475"/>
      <c r="L22" s="475"/>
      <c r="M22" s="475"/>
      <c r="N22" s="475"/>
      <c r="O22" s="475"/>
      <c r="P22" s="475"/>
      <c r="Q22" s="475"/>
      <c r="R22" s="475"/>
      <c r="S22" s="477"/>
      <c r="T22" s="476"/>
      <c r="U22" s="475"/>
      <c r="V22" s="476"/>
      <c r="W22" s="478">
        <f t="shared" ref="W22:W26" si="12">7-(COUNTBLANK(I22)+COUNTBLANK(K22)+COUNTBLANK(M22)+COUNTBLANK(O22)+COUNTBLANK(Q22)+COUNTBLANK(S22)+COUNTBLANK(U22))</f>
        <v>0</v>
      </c>
      <c r="X22" s="474">
        <f t="shared" ref="X22:X26" si="13">COUNT(V22,R22,T22,P22,N22,L22,J22)</f>
        <v>0</v>
      </c>
      <c r="Y22" s="474"/>
      <c r="Z22" s="474"/>
      <c r="AA22" s="479"/>
      <c r="AB22" s="479"/>
      <c r="AC22" s="479"/>
      <c r="AD22" s="479"/>
      <c r="AE22" s="479"/>
      <c r="AF22" s="479"/>
      <c r="AG22" s="479"/>
    </row>
    <row r="23" spans="1:33" x14ac:dyDescent="0.25">
      <c r="A23" s="467"/>
      <c r="B23" s="468">
        <v>18</v>
      </c>
      <c r="C23" s="469">
        <f ca="1">+A33-3211</f>
        <v>209</v>
      </c>
      <c r="D23" s="470"/>
      <c r="E23" s="471">
        <v>0</v>
      </c>
      <c r="F23" s="472">
        <f ca="1">TODAY()</f>
        <v>44418</v>
      </c>
      <c r="G23" s="473" t="s">
        <v>607</v>
      </c>
      <c r="H23" s="474" t="s">
        <v>607</v>
      </c>
      <c r="I23" s="477"/>
      <c r="J23" s="476"/>
      <c r="K23" s="477"/>
      <c r="L23" s="476"/>
      <c r="M23" s="475"/>
      <c r="N23" s="476"/>
      <c r="O23" s="475"/>
      <c r="P23" s="476"/>
      <c r="Q23" s="475"/>
      <c r="R23" s="476"/>
      <c r="S23" s="477"/>
      <c r="T23" s="476"/>
      <c r="U23" s="475"/>
      <c r="V23" s="476"/>
      <c r="W23" s="478">
        <f t="shared" si="12"/>
        <v>0</v>
      </c>
      <c r="X23" s="474">
        <f t="shared" si="13"/>
        <v>0</v>
      </c>
      <c r="Y23" s="474"/>
      <c r="Z23" s="474"/>
      <c r="AA23" s="479"/>
      <c r="AB23" s="479"/>
      <c r="AC23" s="479"/>
      <c r="AD23" s="479"/>
      <c r="AE23" s="479"/>
      <c r="AF23" s="479"/>
      <c r="AG23" s="479"/>
    </row>
    <row r="24" spans="1:33" x14ac:dyDescent="0.25">
      <c r="A24" s="467" t="s">
        <v>626</v>
      </c>
      <c r="B24" s="468">
        <v>16</v>
      </c>
      <c r="C24" s="469">
        <f ca="1">+A33-3225</f>
        <v>195</v>
      </c>
      <c r="D24" s="470" t="s">
        <v>134</v>
      </c>
      <c r="E24" s="471">
        <f ca="1">F24-TODAY()</f>
        <v>-71</v>
      </c>
      <c r="F24" s="472">
        <v>44347</v>
      </c>
      <c r="G24" s="492" t="s">
        <v>606</v>
      </c>
      <c r="H24" s="474" t="s">
        <v>607</v>
      </c>
      <c r="I24" s="475"/>
      <c r="J24" s="476">
        <v>1.99</v>
      </c>
      <c r="K24" s="475">
        <v>4</v>
      </c>
      <c r="L24" s="476">
        <v>5.99</v>
      </c>
      <c r="M24" s="477">
        <v>3</v>
      </c>
      <c r="N24" s="476">
        <v>3.99</v>
      </c>
      <c r="O24" s="475"/>
      <c r="P24" s="476">
        <v>3.99</v>
      </c>
      <c r="Q24" s="477">
        <v>2</v>
      </c>
      <c r="R24" s="476">
        <v>2.99</v>
      </c>
      <c r="S24" s="475">
        <v>4</v>
      </c>
      <c r="T24" s="476">
        <v>5.99</v>
      </c>
      <c r="U24" s="475"/>
      <c r="V24" s="476"/>
      <c r="W24" s="478">
        <f t="shared" si="12"/>
        <v>4</v>
      </c>
      <c r="X24" s="474">
        <f t="shared" si="13"/>
        <v>6</v>
      </c>
      <c r="Y24" s="474"/>
      <c r="Z24" s="474"/>
      <c r="AA24" s="479"/>
      <c r="AB24" s="479">
        <v>4.5</v>
      </c>
      <c r="AC24" s="479">
        <v>4.5</v>
      </c>
      <c r="AD24" s="479">
        <v>4</v>
      </c>
      <c r="AE24" s="479">
        <v>4.5</v>
      </c>
      <c r="AF24" s="479">
        <v>5.5</v>
      </c>
      <c r="AG24" s="479"/>
    </row>
    <row r="25" spans="1:33" x14ac:dyDescent="0.25">
      <c r="A25" s="467" t="s">
        <v>622</v>
      </c>
      <c r="B25" s="468">
        <v>16</v>
      </c>
      <c r="C25" s="469">
        <f ca="1">+A33-3289</f>
        <v>131</v>
      </c>
      <c r="D25" s="470"/>
      <c r="E25" s="471">
        <f ca="1">F25-TODAY()</f>
        <v>-19</v>
      </c>
      <c r="F25" s="472">
        <v>44399</v>
      </c>
      <c r="G25" s="492" t="s">
        <v>606</v>
      </c>
      <c r="H25" s="474" t="s">
        <v>607</v>
      </c>
      <c r="I25" s="475"/>
      <c r="J25" s="475"/>
      <c r="K25" s="477"/>
      <c r="L25" s="475">
        <v>3.99</v>
      </c>
      <c r="M25" s="475"/>
      <c r="N25" s="475">
        <v>3.99</v>
      </c>
      <c r="O25" s="475"/>
      <c r="P25" s="475">
        <v>4.99</v>
      </c>
      <c r="Q25" s="475">
        <v>2</v>
      </c>
      <c r="R25" s="476">
        <v>2.99</v>
      </c>
      <c r="S25" s="475">
        <v>3</v>
      </c>
      <c r="T25" s="475">
        <v>4.99</v>
      </c>
      <c r="U25" s="475"/>
      <c r="V25" s="475"/>
      <c r="W25" s="478">
        <f t="shared" si="12"/>
        <v>2</v>
      </c>
      <c r="X25" s="474">
        <f t="shared" si="13"/>
        <v>5</v>
      </c>
      <c r="Y25" s="474"/>
      <c r="Z25" s="474"/>
      <c r="AA25" s="479"/>
      <c r="AB25" s="479">
        <v>3</v>
      </c>
      <c r="AC25" s="479"/>
      <c r="AD25" s="479">
        <v>4</v>
      </c>
      <c r="AE25" s="479">
        <v>4.5</v>
      </c>
      <c r="AF25" s="479"/>
      <c r="AG25" s="479"/>
    </row>
    <row r="26" spans="1:33" x14ac:dyDescent="0.25">
      <c r="A26" s="467" t="s">
        <v>624</v>
      </c>
      <c r="B26" s="468">
        <v>17</v>
      </c>
      <c r="C26" s="514">
        <f ca="1">+A33-3274</f>
        <v>146</v>
      </c>
      <c r="D26" s="470"/>
      <c r="E26" s="471">
        <f ca="1">F26-TODAY()</f>
        <v>0</v>
      </c>
      <c r="F26" s="472">
        <f ca="1">TODAY()</f>
        <v>44418</v>
      </c>
      <c r="G26" s="492" t="s">
        <v>606</v>
      </c>
      <c r="H26" s="474" t="s">
        <v>607</v>
      </c>
      <c r="I26" s="475"/>
      <c r="J26" s="475">
        <v>1.99</v>
      </c>
      <c r="K26" s="475">
        <v>3</v>
      </c>
      <c r="L26" s="475">
        <v>3.99</v>
      </c>
      <c r="M26" s="475">
        <v>3</v>
      </c>
      <c r="N26" s="475">
        <v>5.99</v>
      </c>
      <c r="O26" s="477">
        <v>4</v>
      </c>
      <c r="P26" s="475">
        <v>4.99</v>
      </c>
      <c r="Q26" s="475">
        <v>3</v>
      </c>
      <c r="R26" s="475">
        <v>3.99</v>
      </c>
      <c r="S26" s="475"/>
      <c r="T26" s="476">
        <v>3.99</v>
      </c>
      <c r="U26" s="475"/>
      <c r="V26" s="475"/>
      <c r="W26" s="478">
        <f t="shared" si="12"/>
        <v>4</v>
      </c>
      <c r="X26" s="474">
        <f t="shared" si="13"/>
        <v>6</v>
      </c>
      <c r="Y26" s="474"/>
      <c r="Z26" s="474"/>
      <c r="AA26" s="479">
        <v>2</v>
      </c>
      <c r="AB26" s="479">
        <v>3.5</v>
      </c>
      <c r="AC26" s="479">
        <v>4.5</v>
      </c>
      <c r="AD26" s="479">
        <v>6</v>
      </c>
      <c r="AE26" s="479">
        <v>5.5</v>
      </c>
      <c r="AF26" s="479">
        <v>4.5</v>
      </c>
      <c r="AG26" s="479"/>
    </row>
    <row r="27" spans="1:33" x14ac:dyDescent="0.25">
      <c r="A27" s="467" t="s">
        <v>623</v>
      </c>
      <c r="B27" s="468">
        <v>18</v>
      </c>
      <c r="C27" s="514">
        <f ca="1">+A33-3289</f>
        <v>131</v>
      </c>
      <c r="D27" s="470"/>
      <c r="E27" s="471">
        <f t="shared" ref="E27" ca="1" si="14">F27-TODAY()</f>
        <v>0</v>
      </c>
      <c r="F27" s="472">
        <f ca="1">TODAY()</f>
        <v>44418</v>
      </c>
      <c r="G27" s="513" t="s">
        <v>607</v>
      </c>
      <c r="H27" s="474" t="s">
        <v>607</v>
      </c>
      <c r="I27" s="475"/>
      <c r="J27" s="475"/>
      <c r="K27" s="475">
        <v>4</v>
      </c>
      <c r="L27" s="475">
        <v>4.99</v>
      </c>
      <c r="M27" s="475"/>
      <c r="N27" s="475">
        <v>2.99</v>
      </c>
      <c r="O27" s="475">
        <v>3</v>
      </c>
      <c r="P27" s="475">
        <v>3.99</v>
      </c>
      <c r="Q27" s="475">
        <v>3</v>
      </c>
      <c r="R27" s="475">
        <v>3.99</v>
      </c>
      <c r="S27" s="475">
        <v>4</v>
      </c>
      <c r="T27" s="475">
        <v>6.99</v>
      </c>
      <c r="U27" s="475"/>
      <c r="V27" s="475"/>
      <c r="W27" s="478">
        <f t="shared" ref="W27" si="15">7-(COUNTBLANK(I27)+COUNTBLANK(K27)+COUNTBLANK(M27)+COUNTBLANK(O27)+COUNTBLANK(Q27)+COUNTBLANK(S27)+COUNTBLANK(U27))</f>
        <v>4</v>
      </c>
      <c r="X27" s="474">
        <f t="shared" ref="X27" si="16">COUNT(V27,R27,T27,P27,N27,L27,J27)</f>
        <v>5</v>
      </c>
      <c r="Y27" s="474">
        <v>1</v>
      </c>
      <c r="Z27" s="474"/>
      <c r="AA27" s="479">
        <v>1.5</v>
      </c>
      <c r="AB27" s="479">
        <v>3.5</v>
      </c>
      <c r="AC27" s="479">
        <v>4</v>
      </c>
      <c r="AD27" s="479">
        <v>3.5</v>
      </c>
      <c r="AE27" s="479">
        <v>4</v>
      </c>
      <c r="AF27" s="479">
        <v>7</v>
      </c>
      <c r="AG27" s="479"/>
    </row>
    <row r="28" spans="1:33" x14ac:dyDescent="0.25">
      <c r="A28" s="467" t="s">
        <v>625</v>
      </c>
      <c r="B28" s="468">
        <v>19</v>
      </c>
      <c r="C28" s="469">
        <f ca="1">+A33-3219-112</f>
        <v>89</v>
      </c>
      <c r="D28" s="470" t="s">
        <v>128</v>
      </c>
      <c r="E28" s="471">
        <f ca="1">F28-TODAY()</f>
        <v>0</v>
      </c>
      <c r="F28" s="472">
        <f ca="1">TODAY()</f>
        <v>44418</v>
      </c>
      <c r="G28" s="492" t="s">
        <v>606</v>
      </c>
      <c r="H28" s="474" t="s">
        <v>607</v>
      </c>
      <c r="I28" s="491"/>
      <c r="J28" s="476">
        <v>0.99</v>
      </c>
      <c r="K28" s="491">
        <v>3</v>
      </c>
      <c r="L28" s="476">
        <v>3.99</v>
      </c>
      <c r="M28" s="477">
        <v>3</v>
      </c>
      <c r="N28" s="476">
        <v>3.99</v>
      </c>
      <c r="O28" s="477"/>
      <c r="P28" s="476">
        <v>2.99</v>
      </c>
      <c r="Q28" s="477">
        <v>7</v>
      </c>
      <c r="R28" s="476">
        <v>7</v>
      </c>
      <c r="S28" s="477"/>
      <c r="T28" s="476">
        <v>3.99</v>
      </c>
      <c r="U28" s="491"/>
      <c r="V28" s="476"/>
      <c r="W28" s="478">
        <f>7-(COUNTBLANK(I28)+COUNTBLANK(K28)+COUNTBLANK(M28)+COUNTBLANK(O28)+COUNTBLANK(Q28)+COUNTBLANK(S28)+COUNTBLANK(U28))</f>
        <v>3</v>
      </c>
      <c r="X28" s="474">
        <f>COUNT(V28,R28,T28,P28,N28,L28,J28)</f>
        <v>6</v>
      </c>
      <c r="Y28" s="474">
        <v>1</v>
      </c>
      <c r="Z28" s="474"/>
      <c r="AA28" s="479">
        <v>1.5</v>
      </c>
      <c r="AB28" s="479">
        <v>3</v>
      </c>
      <c r="AC28" s="479">
        <v>3</v>
      </c>
      <c r="AD28" s="479">
        <v>4.5</v>
      </c>
      <c r="AE28" s="479">
        <v>5</v>
      </c>
      <c r="AF28" s="479">
        <v>6</v>
      </c>
      <c r="AG28" s="479"/>
    </row>
    <row r="29" spans="1:33" x14ac:dyDescent="0.25">
      <c r="A29" s="468"/>
      <c r="B29" s="468"/>
      <c r="C29" s="468"/>
      <c r="D29" s="474"/>
      <c r="E29" s="468"/>
      <c r="F29" s="474"/>
      <c r="G29" s="255"/>
      <c r="H29" s="474"/>
      <c r="I29" s="468"/>
      <c r="J29" s="468"/>
      <c r="K29" s="468"/>
      <c r="L29" s="468"/>
      <c r="M29" s="468"/>
      <c r="N29" s="468"/>
      <c r="O29" s="468"/>
      <c r="P29" s="468"/>
      <c r="Q29" s="468"/>
      <c r="R29" s="468"/>
      <c r="S29" s="468"/>
      <c r="T29" s="468"/>
      <c r="U29" s="468"/>
      <c r="V29" s="468"/>
      <c r="W29" s="474"/>
      <c r="X29" s="474"/>
      <c r="Y29" s="474"/>
      <c r="Z29" s="474"/>
      <c r="AA29" s="515"/>
      <c r="AB29" s="515"/>
      <c r="AC29" s="515"/>
      <c r="AD29" s="515"/>
      <c r="AE29" s="515"/>
      <c r="AF29" s="515"/>
      <c r="AG29" s="255"/>
    </row>
    <row r="30" spans="1:33" x14ac:dyDescent="0.25">
      <c r="A30" s="468"/>
      <c r="B30" s="468"/>
      <c r="C30" s="514"/>
      <c r="D30" s="474"/>
      <c r="E30" s="468"/>
      <c r="F30" s="474"/>
      <c r="G30" s="255"/>
      <c r="H30" s="474"/>
      <c r="I30" s="1"/>
      <c r="J30" s="1"/>
      <c r="K30" s="1"/>
      <c r="L30" s="1"/>
      <c r="M30" s="1"/>
      <c r="N30" s="1"/>
      <c r="O30" s="468"/>
      <c r="P30" s="468"/>
      <c r="Q30" s="468"/>
      <c r="R30" s="468"/>
      <c r="S30" s="468"/>
      <c r="T30" s="468"/>
      <c r="U30" s="468"/>
      <c r="V30" s="468"/>
      <c r="W30" s="474"/>
      <c r="X30" s="474"/>
      <c r="Y30" s="474"/>
      <c r="Z30" s="474"/>
      <c r="AA30" s="515"/>
      <c r="AB30" s="515"/>
      <c r="AC30" s="515"/>
      <c r="AD30" s="515"/>
      <c r="AE30" s="516"/>
      <c r="AF30" s="516"/>
      <c r="AG30" s="86"/>
    </row>
    <row r="31" spans="1:33" x14ac:dyDescent="0.25">
      <c r="A31" s="517" t="s">
        <v>183</v>
      </c>
      <c r="B31" s="468"/>
      <c r="C31" s="468"/>
      <c r="D31" s="474"/>
      <c r="E31" s="468"/>
      <c r="F31" s="474"/>
      <c r="G31" s="549"/>
      <c r="H31" s="549"/>
      <c r="I31" s="549"/>
      <c r="J31" s="549"/>
      <c r="K31" s="549"/>
      <c r="L31" s="549"/>
      <c r="M31" s="549"/>
      <c r="N31" s="1"/>
      <c r="O31" s="468"/>
      <c r="P31" s="468"/>
      <c r="Q31" s="468"/>
      <c r="R31" s="468"/>
      <c r="S31" s="468"/>
      <c r="T31" s="468"/>
      <c r="U31" s="468"/>
      <c r="V31" s="468"/>
      <c r="W31" s="474"/>
      <c r="X31" s="474"/>
      <c r="Y31" s="474"/>
      <c r="Z31" s="474"/>
      <c r="AA31" s="515"/>
      <c r="AB31" s="515"/>
      <c r="AC31" s="515"/>
      <c r="AD31" s="515"/>
      <c r="AE31" s="515"/>
      <c r="AF31" s="515"/>
      <c r="AG31" s="255"/>
    </row>
    <row r="32" spans="1:33" x14ac:dyDescent="0.25">
      <c r="A32" s="518">
        <f ca="1">TODAY()</f>
        <v>44418</v>
      </c>
      <c r="B32" s="468"/>
      <c r="C32" s="468"/>
      <c r="D32" s="478"/>
      <c r="E32" s="468"/>
      <c r="F32" s="519"/>
      <c r="G32" s="520"/>
      <c r="H32" s="519"/>
      <c r="I32" s="468"/>
      <c r="J32" s="468"/>
      <c r="K32" s="468"/>
      <c r="L32" s="468"/>
      <c r="M32" s="468"/>
      <c r="N32" s="468"/>
      <c r="O32" s="468"/>
      <c r="P32" s="468"/>
      <c r="Q32" s="468"/>
      <c r="R32" s="468"/>
      <c r="S32" s="468"/>
      <c r="T32" s="468"/>
      <c r="U32" s="519"/>
      <c r="V32" s="519"/>
      <c r="W32" s="519"/>
      <c r="X32" s="519"/>
      <c r="Y32" s="519"/>
      <c r="Z32" s="519"/>
      <c r="AA32" s="515"/>
      <c r="AB32" s="515"/>
      <c r="AC32" s="515"/>
      <c r="AD32" s="515"/>
      <c r="AE32" s="515"/>
      <c r="AF32" s="515"/>
      <c r="AG32" s="255"/>
    </row>
    <row r="33" spans="1:33" x14ac:dyDescent="0.25">
      <c r="A33" s="514">
        <f ca="1">411+A36</f>
        <v>3420</v>
      </c>
      <c r="B33" s="468"/>
      <c r="C33" s="468"/>
      <c r="D33" s="474"/>
      <c r="E33" s="468"/>
      <c r="F33" s="519"/>
      <c r="G33" s="520"/>
      <c r="H33" s="519"/>
      <c r="I33" s="468"/>
      <c r="J33" s="468"/>
      <c r="K33" s="468"/>
      <c r="L33" s="468"/>
      <c r="M33" s="468"/>
      <c r="N33" s="468"/>
      <c r="O33" s="468"/>
      <c r="P33" s="468"/>
      <c r="Q33" s="468"/>
      <c r="R33" s="468"/>
      <c r="S33" s="468"/>
      <c r="T33" s="468"/>
      <c r="U33" s="468"/>
      <c r="V33" s="519"/>
      <c r="W33" s="519"/>
      <c r="X33" s="519"/>
      <c r="Y33" s="519"/>
      <c r="Z33" s="519"/>
      <c r="AA33" s="521"/>
      <c r="AB33" s="521"/>
      <c r="AC33" s="515"/>
      <c r="AD33" s="515"/>
      <c r="AE33" s="515"/>
      <c r="AF33" s="515"/>
      <c r="AG33" s="255"/>
    </row>
    <row r="34" spans="1:33" x14ac:dyDescent="0.25">
      <c r="A34" s="468"/>
      <c r="B34" s="468"/>
      <c r="C34" s="468"/>
      <c r="D34" s="474"/>
      <c r="E34" s="468"/>
      <c r="F34" s="474"/>
      <c r="G34" s="255"/>
      <c r="H34" s="474"/>
      <c r="I34" s="468"/>
      <c r="J34" s="468"/>
      <c r="K34" s="468"/>
      <c r="L34" s="468"/>
      <c r="M34" s="468"/>
      <c r="N34" s="468"/>
      <c r="O34" s="468"/>
      <c r="P34" s="468"/>
      <c r="Q34" s="468"/>
      <c r="R34" s="468"/>
      <c r="S34" s="468"/>
      <c r="T34" s="468"/>
      <c r="U34" s="468"/>
      <c r="V34" s="468"/>
      <c r="W34" s="474"/>
      <c r="X34" s="474"/>
      <c r="Y34" s="474"/>
      <c r="Z34" s="474"/>
      <c r="AA34" s="515"/>
      <c r="AB34" s="515"/>
      <c r="AC34" s="515"/>
      <c r="AD34" s="515"/>
      <c r="AE34" s="515"/>
      <c r="AF34" s="515"/>
      <c r="AG34" s="255"/>
    </row>
    <row r="35" spans="1:33" x14ac:dyDescent="0.25">
      <c r="A35" s="522">
        <v>41409</v>
      </c>
      <c r="B35" s="468"/>
      <c r="C35" s="468"/>
      <c r="D35" s="474"/>
      <c r="E35" s="468"/>
      <c r="F35" s="474"/>
      <c r="G35" s="255"/>
      <c r="H35" s="474"/>
      <c r="I35" s="468"/>
      <c r="J35" s="468"/>
      <c r="K35" s="468"/>
      <c r="L35" s="468"/>
      <c r="M35" s="468"/>
      <c r="N35" s="468"/>
      <c r="O35" s="468"/>
      <c r="P35" s="468"/>
      <c r="Q35" s="468"/>
      <c r="R35" s="468"/>
      <c r="S35" s="468"/>
      <c r="T35" s="468"/>
      <c r="U35" s="468"/>
      <c r="V35" s="468"/>
      <c r="W35" s="474"/>
      <c r="X35" s="474"/>
      <c r="Y35" s="474"/>
      <c r="Z35" s="474"/>
      <c r="AA35" s="515"/>
      <c r="AB35" s="515"/>
      <c r="AC35" s="515"/>
      <c r="AD35" s="515"/>
      <c r="AE35" s="515"/>
      <c r="AF35" s="515"/>
      <c r="AG35" s="255"/>
    </row>
    <row r="36" spans="1:33" x14ac:dyDescent="0.25">
      <c r="A36" s="522">
        <f ca="1">A32-A35</f>
        <v>3009</v>
      </c>
      <c r="B36" s="468"/>
      <c r="C36" s="514"/>
      <c r="D36" s="474"/>
      <c r="E36" s="468"/>
      <c r="F36" s="523"/>
      <c r="G36" s="255"/>
      <c r="H36" s="474"/>
      <c r="I36" s="468"/>
      <c r="J36" s="468"/>
      <c r="K36" s="468"/>
      <c r="L36" s="468"/>
      <c r="M36" s="468"/>
      <c r="N36" s="468"/>
      <c r="O36" s="468"/>
      <c r="P36" s="468"/>
      <c r="Q36" s="468"/>
      <c r="R36" s="468"/>
      <c r="S36" s="468"/>
      <c r="T36" s="468"/>
      <c r="U36" s="468"/>
      <c r="V36" s="468"/>
      <c r="W36" s="474"/>
      <c r="X36" s="474"/>
      <c r="Y36" s="474"/>
      <c r="Z36" s="474"/>
      <c r="AA36" s="515"/>
      <c r="AB36" s="515"/>
      <c r="AC36" s="515"/>
      <c r="AD36" s="515"/>
      <c r="AE36" s="515"/>
      <c r="AF36" s="515"/>
      <c r="AG36" s="255"/>
    </row>
  </sheetData>
  <mergeCells count="1">
    <mergeCell ref="G31:M31"/>
  </mergeCells>
  <conditionalFormatting sqref="E3 E22:E28 E12:E19 E7:E8">
    <cfRule type="cellIs" dxfId="104" priority="1" stopIfTrue="1" operator="lessThan">
      <formula>1</formula>
    </cfRule>
  </conditionalFormatting>
  <conditionalFormatting sqref="E3 E22:E28 E12:E19 E7:E8">
    <cfRule type="cellIs" dxfId="103" priority="2" stopIfTrue="1" operator="between">
      <formula>1</formula>
      <formula>50</formula>
    </cfRule>
  </conditionalFormatting>
  <conditionalFormatting sqref="E3 E22:E28 E12:E19 E7:E8">
    <cfRule type="cellIs" dxfId="102" priority="3" stopIfTrue="1" operator="greaterThan">
      <formula>50</formula>
    </cfRule>
  </conditionalFormatting>
  <conditionalFormatting sqref="AA3:AF3 AA22:AF28 AA12:AF19 AA7:AF8">
    <cfRule type="cellIs" dxfId="101" priority="4" stopIfTrue="1" operator="between">
      <formula>4</formula>
      <formula>5</formula>
    </cfRule>
  </conditionalFormatting>
  <conditionalFormatting sqref="AA3:AF3 AA22:AF28 AA12:AF19 AA7:AF8">
    <cfRule type="cellIs" dxfId="100" priority="5" stopIfTrue="1" operator="lessThan">
      <formula>4</formula>
    </cfRule>
  </conditionalFormatting>
  <conditionalFormatting sqref="AA3:AF3 AA22:AF28 AA12:AF19 AA7:AF8">
    <cfRule type="cellIs" dxfId="99" priority="6" stopIfTrue="1" operator="greaterThan">
      <formula>5</formula>
    </cfRule>
  </conditionalFormatting>
  <conditionalFormatting sqref="AA7:AF8">
    <cfRule type="cellIs" dxfId="98" priority="7" stopIfTrue="1" operator="between">
      <formula>4</formula>
      <formula>5</formula>
    </cfRule>
  </conditionalFormatting>
  <conditionalFormatting sqref="AA7:AF8">
    <cfRule type="cellIs" dxfId="97" priority="8" stopIfTrue="1" operator="lessThan">
      <formula>4</formula>
    </cfRule>
  </conditionalFormatting>
  <conditionalFormatting sqref="AA7:AF8">
    <cfRule type="cellIs" dxfId="96" priority="9" stopIfTrue="1" operator="greaterThan">
      <formula>5</formula>
    </cfRule>
  </conditionalFormatting>
  <conditionalFormatting sqref="W22:X28 W12:X19 W3:X3 W7:X8">
    <cfRule type="colorScale" priority="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2:V28 I12:V19 I3:V3 I7:V8">
    <cfRule type="colorScale" priority="48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/>
  <ignoredErrors>
    <ignoredError sqref="G16 G14 G25 G28" numberStoredAsText="1"/>
  </ignoredErrors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60B60-6F3F-4652-AE54-DBF7EA6E5019}">
  <sheetPr>
    <tabColor theme="9" tint="0.59999389629810485"/>
  </sheetPr>
  <dimension ref="B1:AL56"/>
  <sheetViews>
    <sheetView topLeftCell="A19" zoomScale="80" zoomScaleNormal="80" workbookViewId="0">
      <pane xSplit="12" topLeftCell="M1" activePane="topRight" state="frozen"/>
      <selection pane="topRight" activeCell="M51" activeCellId="3" sqref="M33 M35:M45 M47:M49 M51"/>
    </sheetView>
  </sheetViews>
  <sheetFormatPr baseColWidth="10" defaultRowHeight="15" x14ac:dyDescent="0.25"/>
  <cols>
    <col min="1" max="1" width="2.140625" customWidth="1"/>
    <col min="2" max="2" width="24.42578125" bestFit="1" customWidth="1"/>
    <col min="3" max="3" width="20.5703125" bestFit="1" customWidth="1"/>
    <col min="4" max="4" width="10.85546875" bestFit="1" customWidth="1"/>
    <col min="5" max="5" width="3.7109375" customWidth="1"/>
    <col min="6" max="6" width="22.5703125" bestFit="1" customWidth="1"/>
    <col min="7" max="7" width="20.5703125" bestFit="1" customWidth="1"/>
    <col min="8" max="8" width="10.85546875" bestFit="1" customWidth="1"/>
    <col min="9" max="9" width="5.85546875" customWidth="1"/>
    <col min="10" max="10" width="23" bestFit="1" customWidth="1"/>
    <col min="11" max="11" width="15.5703125" bestFit="1" customWidth="1"/>
    <col min="12" max="12" width="18" bestFit="1" customWidth="1"/>
    <col min="13" max="28" width="15.5703125" bestFit="1" customWidth="1"/>
    <col min="30" max="30" width="24.5703125" bestFit="1" customWidth="1"/>
    <col min="31" max="31" width="20.5703125" bestFit="1" customWidth="1"/>
    <col min="32" max="32" width="10.85546875" bestFit="1" customWidth="1"/>
    <col min="33" max="33" width="3.7109375" customWidth="1"/>
    <col min="34" max="34" width="22.5703125" bestFit="1" customWidth="1"/>
    <col min="35" max="35" width="20.5703125" bestFit="1" customWidth="1"/>
    <col min="36" max="36" width="10.85546875" bestFit="1" customWidth="1"/>
    <col min="38" max="38" width="15.5703125" bestFit="1" customWidth="1"/>
  </cols>
  <sheetData>
    <row r="1" spans="2:38" x14ac:dyDescent="0.25">
      <c r="J1" s="379"/>
      <c r="K1" s="379"/>
      <c r="L1" s="380"/>
      <c r="M1" s="381">
        <v>44319</v>
      </c>
      <c r="N1" s="381">
        <f t="shared" ref="N1:AB1" si="0">M1+7</f>
        <v>44326</v>
      </c>
      <c r="O1" s="381">
        <f t="shared" si="0"/>
        <v>44333</v>
      </c>
      <c r="P1" s="381">
        <f t="shared" si="0"/>
        <v>44340</v>
      </c>
      <c r="Q1" s="381">
        <f t="shared" si="0"/>
        <v>44347</v>
      </c>
      <c r="R1" s="381">
        <f t="shared" si="0"/>
        <v>44354</v>
      </c>
      <c r="S1" s="381">
        <f t="shared" si="0"/>
        <v>44361</v>
      </c>
      <c r="T1" s="381">
        <f t="shared" si="0"/>
        <v>44368</v>
      </c>
      <c r="U1" s="381">
        <f t="shared" si="0"/>
        <v>44375</v>
      </c>
      <c r="V1" s="381">
        <f t="shared" si="0"/>
        <v>44382</v>
      </c>
      <c r="W1" s="381">
        <f t="shared" si="0"/>
        <v>44389</v>
      </c>
      <c r="X1" s="381">
        <f t="shared" si="0"/>
        <v>44396</v>
      </c>
      <c r="Y1" s="381">
        <f t="shared" si="0"/>
        <v>44403</v>
      </c>
      <c r="Z1" s="381">
        <f t="shared" si="0"/>
        <v>44410</v>
      </c>
      <c r="AA1" s="381">
        <f t="shared" si="0"/>
        <v>44417</v>
      </c>
      <c r="AB1" s="381">
        <f t="shared" si="0"/>
        <v>44424</v>
      </c>
      <c r="AC1" s="319"/>
    </row>
    <row r="2" spans="2:38" ht="21" x14ac:dyDescent="0.35">
      <c r="B2" s="382" t="s">
        <v>213</v>
      </c>
      <c r="C2" s="383">
        <f>C3+C7+C10+C15+C25</f>
        <v>82407335.971892089</v>
      </c>
      <c r="D2" s="384">
        <f t="shared" ref="D2" si="1">C2/$AE$2</f>
        <v>1.0059481027022608</v>
      </c>
      <c r="E2" s="385"/>
      <c r="F2" s="386" t="s">
        <v>214</v>
      </c>
      <c r="G2" s="387">
        <f>G3+G7+G15</f>
        <v>82407336</v>
      </c>
      <c r="H2" s="388">
        <f>G2/$AI$2</f>
        <v>1.0061231673507716</v>
      </c>
      <c r="J2" s="538">
        <f>C2-G2</f>
        <v>-2.8107911348342896E-2</v>
      </c>
      <c r="K2" s="351"/>
      <c r="L2" s="351" t="s">
        <v>530</v>
      </c>
      <c r="M2" s="428" t="s">
        <v>198</v>
      </c>
      <c r="N2" s="428" t="s">
        <v>199</v>
      </c>
      <c r="O2" s="428" t="s">
        <v>200</v>
      </c>
      <c r="P2" s="428" t="s">
        <v>201</v>
      </c>
      <c r="Q2" s="428" t="s">
        <v>202</v>
      </c>
      <c r="R2" s="428" t="s">
        <v>203</v>
      </c>
      <c r="S2" s="428" t="s">
        <v>204</v>
      </c>
      <c r="T2" s="428" t="s">
        <v>205</v>
      </c>
      <c r="U2" s="428" t="s">
        <v>206</v>
      </c>
      <c r="V2" s="428" t="s">
        <v>207</v>
      </c>
      <c r="W2" s="428" t="s">
        <v>208</v>
      </c>
      <c r="X2" s="428" t="s">
        <v>209</v>
      </c>
      <c r="Y2" s="428" t="s">
        <v>210</v>
      </c>
      <c r="Z2" s="428" t="s">
        <v>211</v>
      </c>
      <c r="AA2" s="428" t="s">
        <v>212</v>
      </c>
      <c r="AB2" s="428" t="s">
        <v>197</v>
      </c>
      <c r="AC2" s="319"/>
      <c r="AD2" s="382" t="s">
        <v>213</v>
      </c>
      <c r="AE2" s="383">
        <f>AE3+AE7+AE10+AE19+AE15</f>
        <v>81920067</v>
      </c>
      <c r="AF2" s="384">
        <f t="shared" ref="AF2:AF7" si="2">AE2/$AE$2</f>
        <v>1</v>
      </c>
      <c r="AG2" s="385"/>
      <c r="AH2" s="386" t="s">
        <v>214</v>
      </c>
      <c r="AI2" s="387">
        <f>AI3+AI7+AI14</f>
        <v>81905813</v>
      </c>
      <c r="AJ2" s="388">
        <f>AI2/$AI$2</f>
        <v>1</v>
      </c>
      <c r="AL2" s="389">
        <f>AE2-AI2</f>
        <v>14254</v>
      </c>
    </row>
    <row r="3" spans="2:38" ht="21" x14ac:dyDescent="0.35">
      <c r="B3" s="391" t="s">
        <v>216</v>
      </c>
      <c r="C3" s="392">
        <f>C4+C5+C6</f>
        <v>8900445</v>
      </c>
      <c r="D3" s="393">
        <f>C3/C2</f>
        <v>0.10800549362541957</v>
      </c>
      <c r="E3" s="394"/>
      <c r="F3" s="318" t="s">
        <v>217</v>
      </c>
      <c r="G3" s="392">
        <f>G4+G5</f>
        <v>74610820</v>
      </c>
      <c r="H3" s="393">
        <f>G3/$G$2</f>
        <v>0.90539051037883322</v>
      </c>
      <c r="J3" s="321"/>
      <c r="K3" s="390"/>
      <c r="L3" s="351" t="s">
        <v>215</v>
      </c>
      <c r="M3" s="429">
        <v>2930</v>
      </c>
      <c r="N3" s="429">
        <f t="shared" ref="N3:AB3" si="3">M3+M11/30</f>
        <v>2934</v>
      </c>
      <c r="O3" s="429">
        <f t="shared" si="3"/>
        <v>2940</v>
      </c>
      <c r="P3" s="429">
        <f t="shared" si="3"/>
        <v>2946</v>
      </c>
      <c r="Q3" s="429">
        <f t="shared" si="3"/>
        <v>2952</v>
      </c>
      <c r="R3" s="429">
        <f t="shared" si="3"/>
        <v>2952</v>
      </c>
      <c r="S3" s="429">
        <f t="shared" si="3"/>
        <v>2952</v>
      </c>
      <c r="T3" s="429">
        <f t="shared" si="3"/>
        <v>2954</v>
      </c>
      <c r="U3" s="429">
        <f t="shared" si="3"/>
        <v>2956</v>
      </c>
      <c r="V3" s="429">
        <f t="shared" si="3"/>
        <v>2958</v>
      </c>
      <c r="W3" s="429">
        <f t="shared" si="3"/>
        <v>2960</v>
      </c>
      <c r="X3" s="429">
        <f t="shared" si="3"/>
        <v>2962</v>
      </c>
      <c r="Y3" s="429">
        <f t="shared" si="3"/>
        <v>2964</v>
      </c>
      <c r="Z3" s="429">
        <f t="shared" si="3"/>
        <v>2966</v>
      </c>
      <c r="AA3" s="429">
        <f t="shared" si="3"/>
        <v>2968</v>
      </c>
      <c r="AB3" s="429">
        <f t="shared" si="3"/>
        <v>2970</v>
      </c>
      <c r="AC3" s="319"/>
      <c r="AD3" s="391" t="s">
        <v>216</v>
      </c>
      <c r="AE3" s="392">
        <f>AE4+AE5+AE6</f>
        <v>8900445</v>
      </c>
      <c r="AF3" s="393">
        <f t="shared" si="2"/>
        <v>0.10864792139391194</v>
      </c>
      <c r="AG3" s="394"/>
      <c r="AH3" s="318" t="s">
        <v>217</v>
      </c>
      <c r="AI3" s="392">
        <f>AI4+AI5</f>
        <v>74731536</v>
      </c>
      <c r="AJ3" s="393">
        <f>AI3/$AI$2</f>
        <v>0.91240820721723381</v>
      </c>
    </row>
    <row r="4" spans="2:38" ht="18.75" x14ac:dyDescent="0.3">
      <c r="B4" s="396" t="s">
        <v>219</v>
      </c>
      <c r="C4" s="397">
        <f>(45*35404)+(75*13589)+(90*11811)+(300*1417)+L17</f>
        <v>4100445</v>
      </c>
      <c r="D4" s="398">
        <f>C4/C2</f>
        <v>4.9758252122099909E-2</v>
      </c>
      <c r="E4" s="399"/>
      <c r="F4" s="400" t="s">
        <v>220</v>
      </c>
      <c r="G4" s="397">
        <v>300000</v>
      </c>
      <c r="H4" s="398">
        <f>G4/$G$2</f>
        <v>3.6404525927157746E-3</v>
      </c>
      <c r="I4" s="401"/>
      <c r="J4" s="430" t="s">
        <v>511</v>
      </c>
      <c r="K4" s="430"/>
      <c r="L4" s="431">
        <f>79270+50000</f>
        <v>129270</v>
      </c>
      <c r="M4" s="432">
        <f>L4</f>
        <v>129270</v>
      </c>
      <c r="N4" s="432">
        <f>M26</f>
        <v>79270</v>
      </c>
      <c r="O4" s="432">
        <f t="shared" ref="O4:AB4" si="4">N26</f>
        <v>29270</v>
      </c>
      <c r="P4" s="432">
        <f t="shared" si="4"/>
        <v>0</v>
      </c>
      <c r="Q4" s="432">
        <f t="shared" si="4"/>
        <v>0</v>
      </c>
      <c r="R4" s="432">
        <f t="shared" si="4"/>
        <v>0</v>
      </c>
      <c r="S4" s="432">
        <f t="shared" si="4"/>
        <v>0</v>
      </c>
      <c r="T4" s="432">
        <f t="shared" si="4"/>
        <v>0</v>
      </c>
      <c r="U4" s="432">
        <f t="shared" si="4"/>
        <v>0</v>
      </c>
      <c r="V4" s="432">
        <f t="shared" si="4"/>
        <v>0</v>
      </c>
      <c r="W4" s="432">
        <f t="shared" si="4"/>
        <v>0</v>
      </c>
      <c r="X4" s="432">
        <f t="shared" si="4"/>
        <v>0</v>
      </c>
      <c r="Y4" s="432">
        <f t="shared" si="4"/>
        <v>0</v>
      </c>
      <c r="Z4" s="432">
        <f t="shared" si="4"/>
        <v>0</v>
      </c>
      <c r="AA4" s="432">
        <f t="shared" si="4"/>
        <v>0</v>
      </c>
      <c r="AB4" s="432">
        <f t="shared" si="4"/>
        <v>0</v>
      </c>
      <c r="AC4" s="395"/>
      <c r="AD4" s="396" t="s">
        <v>219</v>
      </c>
      <c r="AE4" s="397">
        <f>(45*35404)+(75*13589)+(90*11811)+(300*1417)</f>
        <v>4100445</v>
      </c>
      <c r="AF4" s="398">
        <f t="shared" si="2"/>
        <v>5.0054219316007148E-2</v>
      </c>
      <c r="AG4" s="399"/>
      <c r="AH4" s="400" t="s">
        <v>220</v>
      </c>
      <c r="AI4" s="397">
        <v>300000</v>
      </c>
      <c r="AJ4" s="398">
        <f>AI4/$AI$2</f>
        <v>3.6627436931735238E-3</v>
      </c>
      <c r="AK4" s="401"/>
      <c r="AL4" s="401"/>
    </row>
    <row r="5" spans="2:38" ht="18.75" x14ac:dyDescent="0.3">
      <c r="B5" s="396" t="s">
        <v>222</v>
      </c>
      <c r="C5" s="397">
        <f>4800000+L21</f>
        <v>4800000</v>
      </c>
      <c r="D5" s="398">
        <f>C5/C2</f>
        <v>5.8247241503319662E-2</v>
      </c>
      <c r="E5" s="399"/>
      <c r="F5" s="400" t="s">
        <v>512</v>
      </c>
      <c r="G5" s="397">
        <v>74310820</v>
      </c>
      <c r="H5" s="398">
        <f>G5/$G$2</f>
        <v>0.9017500577861175</v>
      </c>
      <c r="I5" s="401"/>
      <c r="J5" s="433" t="s">
        <v>218</v>
      </c>
      <c r="K5" s="433"/>
      <c r="L5" s="434">
        <v>11465856</v>
      </c>
      <c r="M5" s="435">
        <f>L5</f>
        <v>11465856</v>
      </c>
      <c r="N5" s="435">
        <f t="shared" ref="N5:AB5" si="5">M27</f>
        <v>11301588</v>
      </c>
      <c r="O5" s="435">
        <f t="shared" si="5"/>
        <v>11135311</v>
      </c>
      <c r="P5" s="435">
        <f t="shared" si="5"/>
        <v>11469627</v>
      </c>
      <c r="Q5" s="435">
        <f t="shared" si="5"/>
        <v>11889998</v>
      </c>
      <c r="R5" s="435">
        <f t="shared" si="5"/>
        <v>11897465</v>
      </c>
      <c r="S5" s="435">
        <f t="shared" si="5"/>
        <v>5499538</v>
      </c>
      <c r="T5" s="435">
        <f t="shared" si="5"/>
        <v>5228650.2439999999</v>
      </c>
      <c r="U5" s="435">
        <f t="shared" si="5"/>
        <v>5617769.2684880001</v>
      </c>
      <c r="V5" s="435">
        <f t="shared" si="5"/>
        <v>5346523.6070249761</v>
      </c>
      <c r="W5" s="435">
        <f t="shared" si="5"/>
        <v>5734541.7902390258</v>
      </c>
      <c r="X5" s="435">
        <f t="shared" si="5"/>
        <v>5461822.345819504</v>
      </c>
      <c r="Y5" s="435">
        <f t="shared" si="5"/>
        <v>5848363.7985111428</v>
      </c>
      <c r="Z5" s="435">
        <f t="shared" si="5"/>
        <v>5574164.6701081656</v>
      </c>
      <c r="AA5" s="435">
        <f t="shared" si="5"/>
        <v>5959223.4794483818</v>
      </c>
      <c r="AB5" s="435">
        <f t="shared" si="5"/>
        <v>5698538.7424072782</v>
      </c>
      <c r="AC5" s="395"/>
      <c r="AD5" s="396" t="s">
        <v>222</v>
      </c>
      <c r="AE5" s="397">
        <f>4800000</f>
        <v>4800000</v>
      </c>
      <c r="AF5" s="398">
        <f t="shared" si="2"/>
        <v>5.8593702077904791E-2</v>
      </c>
      <c r="AG5" s="399"/>
      <c r="AH5" s="400" t="s">
        <v>512</v>
      </c>
      <c r="AI5" s="397">
        <v>74431536</v>
      </c>
      <c r="AJ5" s="398">
        <f>AI5/$AI$2</f>
        <v>0.90874546352406027</v>
      </c>
      <c r="AK5" s="401"/>
      <c r="AL5" s="526"/>
    </row>
    <row r="6" spans="2:38" ht="21" x14ac:dyDescent="0.35">
      <c r="B6" s="396" t="s">
        <v>513</v>
      </c>
      <c r="C6" s="397">
        <v>0</v>
      </c>
      <c r="D6" s="398">
        <f>C6/C2</f>
        <v>0</v>
      </c>
      <c r="E6" s="394"/>
      <c r="F6" s="318"/>
      <c r="G6" s="392"/>
      <c r="H6" s="393"/>
      <c r="J6" s="402" t="s">
        <v>221</v>
      </c>
      <c r="K6" s="402" t="s">
        <v>221</v>
      </c>
      <c r="L6" s="436">
        <f t="shared" ref="L6:L25" si="6">SUM(M6:AB6)</f>
        <v>4766254</v>
      </c>
      <c r="M6" s="403">
        <v>34650</v>
      </c>
      <c r="N6" s="534">
        <v>61380</v>
      </c>
      <c r="O6" s="534">
        <f>519614+85800</f>
        <v>605414</v>
      </c>
      <c r="P6" s="534">
        <v>713116</v>
      </c>
      <c r="Q6" s="534">
        <v>162090</v>
      </c>
      <c r="R6" s="528">
        <v>369604</v>
      </c>
      <c r="S6" s="528">
        <v>15000</v>
      </c>
      <c r="T6" s="528">
        <f>65000+610000</f>
        <v>675000</v>
      </c>
      <c r="U6" s="528">
        <v>15000</v>
      </c>
      <c r="V6" s="528">
        <f>65000+610000</f>
        <v>675000</v>
      </c>
      <c r="W6" s="528">
        <v>15000</v>
      </c>
      <c r="X6" s="528">
        <f>65000+610000</f>
        <v>675000</v>
      </c>
      <c r="Y6" s="528">
        <v>15000</v>
      </c>
      <c r="Z6" s="528">
        <f>65000+610000</f>
        <v>675000</v>
      </c>
      <c r="AA6" s="528">
        <v>30000</v>
      </c>
      <c r="AB6" s="528">
        <v>30000</v>
      </c>
      <c r="AC6" s="319"/>
      <c r="AD6" s="396" t="s">
        <v>513</v>
      </c>
      <c r="AE6" s="397">
        <v>0</v>
      </c>
      <c r="AF6" s="398">
        <f t="shared" si="2"/>
        <v>0</v>
      </c>
      <c r="AG6" s="394"/>
      <c r="AH6" s="318"/>
      <c r="AI6" s="392"/>
      <c r="AJ6" s="393"/>
    </row>
    <row r="7" spans="2:38" ht="21" x14ac:dyDescent="0.35">
      <c r="B7" s="391" t="s">
        <v>514</v>
      </c>
      <c r="C7" s="392">
        <f>C9</f>
        <v>0</v>
      </c>
      <c r="D7" s="393">
        <f>C7/C2</f>
        <v>0</v>
      </c>
      <c r="E7" s="394"/>
      <c r="F7" s="318" t="s">
        <v>599</v>
      </c>
      <c r="G7" s="392">
        <f>G8+G9+G10</f>
        <v>-128871.02810790762</v>
      </c>
      <c r="H7" s="393">
        <f>G7/$G$2</f>
        <v>-1.5638295613379326E-3</v>
      </c>
      <c r="J7" s="402" t="s">
        <v>223</v>
      </c>
      <c r="K7" s="402" t="s">
        <v>223</v>
      </c>
      <c r="L7" s="436">
        <f t="shared" si="6"/>
        <v>3079776</v>
      </c>
      <c r="M7" s="404">
        <v>141530</v>
      </c>
      <c r="N7" s="535">
        <v>168355</v>
      </c>
      <c r="O7" s="535">
        <v>184266</v>
      </c>
      <c r="P7" s="535">
        <v>193145</v>
      </c>
      <c r="Q7" s="535">
        <v>197955</v>
      </c>
      <c r="R7" s="529">
        <v>199805</v>
      </c>
      <c r="S7" s="529">
        <v>198510</v>
      </c>
      <c r="T7" s="529">
        <v>199250</v>
      </c>
      <c r="U7" s="529">
        <v>199620</v>
      </c>
      <c r="V7" s="529">
        <f>U7</f>
        <v>199620</v>
      </c>
      <c r="W7" s="529">
        <f t="shared" ref="W7:AB7" si="7">V7</f>
        <v>199620</v>
      </c>
      <c r="X7" s="529">
        <f t="shared" si="7"/>
        <v>199620</v>
      </c>
      <c r="Y7" s="529">
        <f t="shared" si="7"/>
        <v>199620</v>
      </c>
      <c r="Z7" s="529">
        <f t="shared" si="7"/>
        <v>199620</v>
      </c>
      <c r="AA7" s="529">
        <f t="shared" si="7"/>
        <v>199620</v>
      </c>
      <c r="AB7" s="529">
        <f t="shared" si="7"/>
        <v>199620</v>
      </c>
      <c r="AC7" s="319"/>
      <c r="AD7" s="391" t="s">
        <v>514</v>
      </c>
      <c r="AE7" s="392">
        <f>AE9</f>
        <v>0</v>
      </c>
      <c r="AF7" s="393">
        <f t="shared" si="2"/>
        <v>0</v>
      </c>
      <c r="AG7" s="394"/>
      <c r="AH7" s="318" t="s">
        <v>599</v>
      </c>
      <c r="AI7" s="392">
        <f>AI8+AI9+AI10</f>
        <v>-751110.02810790762</v>
      </c>
      <c r="AJ7" s="393">
        <f>AI7/$AI$2</f>
        <v>-9.170411727772089E-3</v>
      </c>
    </row>
    <row r="8" spans="2:38" ht="18.75" x14ac:dyDescent="0.3">
      <c r="B8" s="396" t="s">
        <v>515</v>
      </c>
      <c r="C8" s="397">
        <f>L4</f>
        <v>129270</v>
      </c>
      <c r="D8" s="394"/>
      <c r="E8" s="394"/>
      <c r="F8" s="400" t="s">
        <v>638</v>
      </c>
      <c r="G8" s="397">
        <f>C6+C14+C15-G15+(2557500-2070231)</f>
        <v>-134571.02810790762</v>
      </c>
      <c r="H8" s="398">
        <f>G8/$G$2</f>
        <v>-1.6329981605995322E-3</v>
      </c>
      <c r="J8" s="402" t="s">
        <v>224</v>
      </c>
      <c r="K8" s="402" t="s">
        <v>225</v>
      </c>
      <c r="L8" s="436">
        <f t="shared" si="6"/>
        <v>2557500</v>
      </c>
      <c r="M8" s="403">
        <v>0</v>
      </c>
      <c r="N8" s="534">
        <v>0</v>
      </c>
      <c r="O8" s="534">
        <v>0</v>
      </c>
      <c r="P8" s="534">
        <v>0</v>
      </c>
      <c r="Q8" s="534">
        <v>0</v>
      </c>
      <c r="R8" s="528">
        <v>2557500</v>
      </c>
      <c r="S8" s="528">
        <v>0</v>
      </c>
      <c r="T8" s="528">
        <v>0</v>
      </c>
      <c r="U8" s="528">
        <v>0</v>
      </c>
      <c r="V8" s="528">
        <v>0</v>
      </c>
      <c r="W8" s="528">
        <v>0</v>
      </c>
      <c r="X8" s="528">
        <v>0</v>
      </c>
      <c r="Y8" s="528">
        <v>0</v>
      </c>
      <c r="Z8" s="528">
        <v>0</v>
      </c>
      <c r="AA8" s="528">
        <v>0</v>
      </c>
      <c r="AB8" s="528">
        <v>0</v>
      </c>
      <c r="AC8" s="319"/>
      <c r="AD8" s="396" t="s">
        <v>515</v>
      </c>
      <c r="AE8" s="397">
        <f>L4</f>
        <v>129270</v>
      </c>
      <c r="AF8" s="394"/>
      <c r="AG8" s="394"/>
      <c r="AH8" s="400" t="s">
        <v>633</v>
      </c>
      <c r="AI8" s="397">
        <f>AE20+AE21+AE22+AE23+AE24-AI14+AE14-AE6</f>
        <v>-756810.02810790762</v>
      </c>
      <c r="AJ8" s="398">
        <f>AI8/$AI$2</f>
        <v>-9.2400038579423856E-3</v>
      </c>
    </row>
    <row r="9" spans="2:38" ht="18.75" x14ac:dyDescent="0.3">
      <c r="B9" s="396" t="s">
        <v>516</v>
      </c>
      <c r="C9" s="405">
        <f>L26</f>
        <v>0</v>
      </c>
      <c r="D9" s="398">
        <f>C9/C2</f>
        <v>0</v>
      </c>
      <c r="E9" s="394"/>
      <c r="F9" s="400" t="s">
        <v>634</v>
      </c>
      <c r="G9" s="405">
        <f>C24</f>
        <v>5700</v>
      </c>
      <c r="H9" s="398">
        <f>G9/$G$2</f>
        <v>6.916859926159972E-5</v>
      </c>
      <c r="J9" s="402"/>
      <c r="K9" s="402" t="s">
        <v>226</v>
      </c>
      <c r="L9" s="436">
        <f t="shared" si="6"/>
        <v>5700</v>
      </c>
      <c r="M9" s="403">
        <f>950+4750</f>
        <v>5700</v>
      </c>
      <c r="N9" s="534">
        <v>0</v>
      </c>
      <c r="O9" s="534">
        <v>0</v>
      </c>
      <c r="P9" s="534">
        <v>0</v>
      </c>
      <c r="Q9" s="534">
        <v>0</v>
      </c>
      <c r="R9" s="528">
        <v>0</v>
      </c>
      <c r="S9" s="528">
        <v>0</v>
      </c>
      <c r="T9" s="528">
        <v>0</v>
      </c>
      <c r="U9" s="528">
        <v>0</v>
      </c>
      <c r="V9" s="528">
        <v>0</v>
      </c>
      <c r="W9" s="528">
        <v>0</v>
      </c>
      <c r="X9" s="528">
        <v>0</v>
      </c>
      <c r="Y9" s="528">
        <v>0</v>
      </c>
      <c r="Z9" s="528">
        <v>0</v>
      </c>
      <c r="AA9" s="528">
        <v>0</v>
      </c>
      <c r="AB9" s="528">
        <v>0</v>
      </c>
      <c r="AC9" s="319"/>
      <c r="AD9" s="396" t="s">
        <v>516</v>
      </c>
      <c r="AE9" s="405">
        <f>L26</f>
        <v>0</v>
      </c>
      <c r="AF9" s="398">
        <f>AE9/$AE$2</f>
        <v>0</v>
      </c>
      <c r="AG9" s="394"/>
      <c r="AH9" s="400" t="s">
        <v>634</v>
      </c>
      <c r="AI9" s="405">
        <f>AE29</f>
        <v>5700</v>
      </c>
      <c r="AJ9" s="398">
        <f t="shared" ref="AJ9:AJ10" si="8">AI9/$AI$2</f>
        <v>6.9592130170296953E-5</v>
      </c>
    </row>
    <row r="10" spans="2:38" ht="21" x14ac:dyDescent="0.35">
      <c r="B10" s="406" t="s">
        <v>232</v>
      </c>
      <c r="C10" s="392">
        <f>C12+C14</f>
        <v>59524332</v>
      </c>
      <c r="D10" s="393">
        <f>C10/$C$2</f>
        <v>0.72231836277662054</v>
      </c>
      <c r="E10" s="394"/>
      <c r="F10" s="400" t="s">
        <v>635</v>
      </c>
      <c r="G10" s="392">
        <v>0</v>
      </c>
      <c r="H10" s="398">
        <f>G10/$G$2</f>
        <v>0</v>
      </c>
      <c r="J10" s="402" t="s">
        <v>228</v>
      </c>
      <c r="K10" s="402" t="s">
        <v>228</v>
      </c>
      <c r="L10" s="436">
        <f t="shared" si="6"/>
        <v>244990</v>
      </c>
      <c r="M10" s="404">
        <v>90820</v>
      </c>
      <c r="N10" s="535">
        <v>34170</v>
      </c>
      <c r="O10" s="535">
        <v>0</v>
      </c>
      <c r="P10" s="535">
        <v>0</v>
      </c>
      <c r="Q10" s="535">
        <v>0</v>
      </c>
      <c r="R10" s="529">
        <v>0</v>
      </c>
      <c r="S10" s="529">
        <v>12000</v>
      </c>
      <c r="T10" s="529">
        <f t="shared" ref="T10:AB10" si="9">S10</f>
        <v>12000</v>
      </c>
      <c r="U10" s="529">
        <f t="shared" si="9"/>
        <v>12000</v>
      </c>
      <c r="V10" s="529">
        <f t="shared" si="9"/>
        <v>12000</v>
      </c>
      <c r="W10" s="529">
        <f t="shared" si="9"/>
        <v>12000</v>
      </c>
      <c r="X10" s="529">
        <f t="shared" si="9"/>
        <v>12000</v>
      </c>
      <c r="Y10" s="529">
        <f t="shared" si="9"/>
        <v>12000</v>
      </c>
      <c r="Z10" s="529">
        <f t="shared" si="9"/>
        <v>12000</v>
      </c>
      <c r="AA10" s="529">
        <f t="shared" si="9"/>
        <v>12000</v>
      </c>
      <c r="AB10" s="529">
        <f t="shared" si="9"/>
        <v>12000</v>
      </c>
      <c r="AC10" s="319"/>
      <c r="AD10" s="406" t="s">
        <v>232</v>
      </c>
      <c r="AE10" s="392">
        <f>AE12+AE14</f>
        <v>53097416</v>
      </c>
      <c r="AF10" s="393">
        <f>AE10/$AE$2</f>
        <v>0.64816128629386982</v>
      </c>
      <c r="AG10" s="394"/>
      <c r="AH10" s="400" t="s">
        <v>635</v>
      </c>
      <c r="AI10" s="392">
        <v>0</v>
      </c>
      <c r="AJ10" s="398">
        <f t="shared" si="8"/>
        <v>0</v>
      </c>
    </row>
    <row r="11" spans="2:38" ht="18.75" x14ac:dyDescent="0.3">
      <c r="B11" s="396" t="s">
        <v>517</v>
      </c>
      <c r="C11" s="407">
        <f>K31</f>
        <v>78453710</v>
      </c>
      <c r="D11" s="398"/>
      <c r="E11" s="394"/>
      <c r="F11" s="400"/>
      <c r="G11" s="407"/>
      <c r="H11" s="394"/>
      <c r="J11" s="550" t="s">
        <v>229</v>
      </c>
      <c r="K11" s="402" t="s">
        <v>215</v>
      </c>
      <c r="L11" s="436">
        <f t="shared" si="6"/>
        <v>90360</v>
      </c>
      <c r="M11" s="404">
        <v>120</v>
      </c>
      <c r="N11" s="535">
        <v>180</v>
      </c>
      <c r="O11" s="535">
        <v>180</v>
      </c>
      <c r="P11" s="535">
        <v>180</v>
      </c>
      <c r="Q11" s="535">
        <v>0</v>
      </c>
      <c r="R11" s="529">
        <v>0</v>
      </c>
      <c r="S11" s="529">
        <v>60</v>
      </c>
      <c r="T11" s="529">
        <v>60</v>
      </c>
      <c r="U11" s="529">
        <v>60</v>
      </c>
      <c r="V11" s="529">
        <v>60</v>
      </c>
      <c r="W11" s="529">
        <v>60</v>
      </c>
      <c r="X11" s="529">
        <v>60</v>
      </c>
      <c r="Y11" s="529">
        <v>60</v>
      </c>
      <c r="Z11" s="529">
        <v>60</v>
      </c>
      <c r="AA11" s="529">
        <v>60</v>
      </c>
      <c r="AB11" s="529">
        <f>60+30*AB3</f>
        <v>89160</v>
      </c>
      <c r="AC11" s="319"/>
      <c r="AD11" s="396" t="s">
        <v>517</v>
      </c>
      <c r="AE11" s="407">
        <f>K31</f>
        <v>78453710</v>
      </c>
      <c r="AF11" s="398"/>
      <c r="AG11" s="394"/>
      <c r="AH11" s="400"/>
      <c r="AI11" s="407"/>
      <c r="AJ11" s="394"/>
    </row>
    <row r="12" spans="2:38" ht="18.75" x14ac:dyDescent="0.3">
      <c r="B12" s="396" t="s">
        <v>627</v>
      </c>
      <c r="C12" s="397">
        <f>N31</f>
        <v>60677135</v>
      </c>
      <c r="D12" s="398">
        <f>C12/C2</f>
        <v>0.73630744501552703</v>
      </c>
      <c r="E12" s="394"/>
      <c r="F12" s="400"/>
      <c r="G12" s="407"/>
      <c r="H12" s="394"/>
      <c r="J12" s="550"/>
      <c r="K12" s="402" t="s">
        <v>230</v>
      </c>
      <c r="L12" s="436">
        <f t="shared" si="6"/>
        <v>140000</v>
      </c>
      <c r="M12" s="404">
        <v>0</v>
      </c>
      <c r="N12" s="535">
        <v>0</v>
      </c>
      <c r="O12" s="535">
        <v>0</v>
      </c>
      <c r="P12" s="535">
        <v>0</v>
      </c>
      <c r="Q12" s="535">
        <v>140000</v>
      </c>
      <c r="R12" s="529">
        <v>0</v>
      </c>
      <c r="S12" s="529">
        <v>0</v>
      </c>
      <c r="T12" s="529">
        <v>0</v>
      </c>
      <c r="U12" s="529">
        <v>0</v>
      </c>
      <c r="V12" s="529">
        <v>0</v>
      </c>
      <c r="W12" s="529">
        <v>0</v>
      </c>
      <c r="X12" s="529">
        <v>0</v>
      </c>
      <c r="Y12" s="529">
        <v>0</v>
      </c>
      <c r="Z12" s="529">
        <v>0</v>
      </c>
      <c r="AA12" s="529">
        <v>0</v>
      </c>
      <c r="AB12" s="529">
        <v>0</v>
      </c>
      <c r="AC12" s="319"/>
      <c r="AD12" s="396" t="s">
        <v>627</v>
      </c>
      <c r="AE12" s="407">
        <v>54250219</v>
      </c>
      <c r="AF12" s="398">
        <f>AE12/$AE$2</f>
        <v>0.66223357703064378</v>
      </c>
      <c r="AG12" s="394"/>
      <c r="AH12" s="400"/>
      <c r="AI12" s="407"/>
      <c r="AJ12" s="394"/>
    </row>
    <row r="13" spans="2:38" ht="18.75" x14ac:dyDescent="0.3">
      <c r="B13" s="396" t="s">
        <v>628</v>
      </c>
      <c r="C13" s="407">
        <f>P31</f>
        <v>59524332</v>
      </c>
      <c r="D13" s="398"/>
      <c r="E13" s="394"/>
      <c r="F13" s="400"/>
      <c r="G13" s="407"/>
      <c r="H13" s="394"/>
      <c r="J13" s="550"/>
      <c r="K13" s="402" t="s">
        <v>227</v>
      </c>
      <c r="L13" s="436">
        <f t="shared" si="6"/>
        <v>129270</v>
      </c>
      <c r="M13" s="404">
        <v>50000</v>
      </c>
      <c r="N13" s="535">
        <v>50000</v>
      </c>
      <c r="O13" s="535">
        <v>29270</v>
      </c>
      <c r="P13" s="535">
        <v>0</v>
      </c>
      <c r="Q13" s="535">
        <f t="shared" ref="Q13:AB13" si="10">P13</f>
        <v>0</v>
      </c>
      <c r="R13" s="529">
        <f t="shared" si="10"/>
        <v>0</v>
      </c>
      <c r="S13" s="529">
        <f t="shared" si="10"/>
        <v>0</v>
      </c>
      <c r="T13" s="529">
        <f t="shared" si="10"/>
        <v>0</v>
      </c>
      <c r="U13" s="529">
        <f t="shared" si="10"/>
        <v>0</v>
      </c>
      <c r="V13" s="529">
        <f t="shared" si="10"/>
        <v>0</v>
      </c>
      <c r="W13" s="529">
        <f t="shared" si="10"/>
        <v>0</v>
      </c>
      <c r="X13" s="529">
        <f t="shared" si="10"/>
        <v>0</v>
      </c>
      <c r="Y13" s="529">
        <f t="shared" si="10"/>
        <v>0</v>
      </c>
      <c r="Z13" s="529">
        <f t="shared" si="10"/>
        <v>0</v>
      </c>
      <c r="AA13" s="529">
        <f t="shared" si="10"/>
        <v>0</v>
      </c>
      <c r="AB13" s="529">
        <f t="shared" si="10"/>
        <v>0</v>
      </c>
      <c r="AC13" s="319"/>
      <c r="AD13" s="396" t="s">
        <v>628</v>
      </c>
      <c r="AE13" s="407">
        <f>P31</f>
        <v>59524332</v>
      </c>
      <c r="AF13" s="398"/>
      <c r="AG13" s="394"/>
      <c r="AH13" s="400"/>
      <c r="AI13" s="407"/>
      <c r="AJ13" s="394"/>
    </row>
    <row r="14" spans="2:38" ht="21" x14ac:dyDescent="0.35">
      <c r="B14" s="396" t="s">
        <v>518</v>
      </c>
      <c r="C14" s="407">
        <f>O31*-1</f>
        <v>-1152803</v>
      </c>
      <c r="D14" s="398">
        <f t="shared" ref="D14:D26" si="11">C14/$C$2</f>
        <v>-1.3989082238906544E-2</v>
      </c>
      <c r="E14" s="394"/>
      <c r="F14" s="527"/>
      <c r="G14" s="392"/>
      <c r="H14" s="393"/>
      <c r="I14" s="401"/>
      <c r="J14" s="437" t="s">
        <v>231</v>
      </c>
      <c r="K14" s="438"/>
      <c r="L14" s="439">
        <f t="shared" si="6"/>
        <v>11013850</v>
      </c>
      <c r="M14" s="440">
        <f t="shared" ref="M14:AB14" si="12">SUM(M6:M13)</f>
        <v>322820</v>
      </c>
      <c r="N14" s="440">
        <f t="shared" si="12"/>
        <v>314085</v>
      </c>
      <c r="O14" s="440">
        <f t="shared" si="12"/>
        <v>819130</v>
      </c>
      <c r="P14" s="440">
        <f t="shared" si="12"/>
        <v>906441</v>
      </c>
      <c r="Q14" s="440">
        <f t="shared" si="12"/>
        <v>500045</v>
      </c>
      <c r="R14" s="530">
        <f t="shared" si="12"/>
        <v>3126909</v>
      </c>
      <c r="S14" s="530">
        <f t="shared" si="12"/>
        <v>225570</v>
      </c>
      <c r="T14" s="530">
        <f t="shared" si="12"/>
        <v>886310</v>
      </c>
      <c r="U14" s="530">
        <f t="shared" si="12"/>
        <v>226680</v>
      </c>
      <c r="V14" s="530">
        <f t="shared" si="12"/>
        <v>886680</v>
      </c>
      <c r="W14" s="530">
        <f t="shared" si="12"/>
        <v>226680</v>
      </c>
      <c r="X14" s="530">
        <f t="shared" si="12"/>
        <v>886680</v>
      </c>
      <c r="Y14" s="530">
        <f t="shared" si="12"/>
        <v>226680</v>
      </c>
      <c r="Z14" s="530">
        <f t="shared" si="12"/>
        <v>886680</v>
      </c>
      <c r="AA14" s="530">
        <f t="shared" si="12"/>
        <v>241680</v>
      </c>
      <c r="AB14" s="530">
        <f t="shared" si="12"/>
        <v>330780</v>
      </c>
      <c r="AC14" s="395"/>
      <c r="AD14" s="396" t="s">
        <v>518</v>
      </c>
      <c r="AE14" s="407">
        <f>O31*-1</f>
        <v>-1152803</v>
      </c>
      <c r="AF14" s="398">
        <f>AE14/$AE$2</f>
        <v>-1.4072290736773933E-2</v>
      </c>
      <c r="AG14" s="394"/>
      <c r="AH14" s="372" t="s">
        <v>519</v>
      </c>
      <c r="AI14" s="392">
        <f>AI16+AI17+AI15+AI18+AI19+AI20</f>
        <v>7925387.0281079076</v>
      </c>
      <c r="AJ14" s="393">
        <f t="shared" ref="AJ14:AJ20" si="13">AI14/$AI$2</f>
        <v>9.6762204510538311E-2</v>
      </c>
      <c r="AK14" s="401"/>
      <c r="AL14" s="401"/>
    </row>
    <row r="15" spans="2:38" ht="21" x14ac:dyDescent="0.35">
      <c r="B15" s="406" t="s">
        <v>637</v>
      </c>
      <c r="C15" s="392">
        <f>C16+C17+C18+C19+C20+C21+C22+C23+C24</f>
        <v>8456350</v>
      </c>
      <c r="D15" s="393">
        <f t="shared" si="11"/>
        <v>0.10261647097637441</v>
      </c>
      <c r="E15" s="394"/>
      <c r="F15" s="406" t="s">
        <v>639</v>
      </c>
      <c r="G15" s="392">
        <f>G16+G17+G18+G19+G20+G21+G22</f>
        <v>7925387.0281079076</v>
      </c>
      <c r="H15" s="393">
        <f t="shared" ref="H15:H21" si="14">G15/$G$2</f>
        <v>9.6173319182504671E-2</v>
      </c>
      <c r="J15" s="441" t="s">
        <v>233</v>
      </c>
      <c r="K15" s="408" t="s">
        <v>244</v>
      </c>
      <c r="L15" s="442">
        <f t="shared" si="6"/>
        <v>5846819.0281079076</v>
      </c>
      <c r="M15" s="409">
        <v>355240</v>
      </c>
      <c r="N15" s="536">
        <v>351514</v>
      </c>
      <c r="O15" s="536">
        <v>352966</v>
      </c>
      <c r="P15" s="536">
        <v>358222</v>
      </c>
      <c r="Q15" s="536">
        <v>363730</v>
      </c>
      <c r="R15" s="531">
        <v>365878</v>
      </c>
      <c r="S15" s="531">
        <f t="shared" ref="S15:AB15" si="15">R15*1.002</f>
        <v>366609.75599999999</v>
      </c>
      <c r="T15" s="531">
        <f t="shared" si="15"/>
        <v>367342.97551199998</v>
      </c>
      <c r="U15" s="531">
        <f t="shared" si="15"/>
        <v>368077.66146302398</v>
      </c>
      <c r="V15" s="531">
        <f t="shared" si="15"/>
        <v>368813.81678595004</v>
      </c>
      <c r="W15" s="531">
        <f t="shared" si="15"/>
        <v>369551.44441952195</v>
      </c>
      <c r="X15" s="531">
        <f t="shared" si="15"/>
        <v>370290.54730836098</v>
      </c>
      <c r="Y15" s="531">
        <f t="shared" si="15"/>
        <v>371031.12840297772</v>
      </c>
      <c r="Z15" s="531">
        <f t="shared" si="15"/>
        <v>371773.19065978366</v>
      </c>
      <c r="AA15" s="531">
        <f t="shared" si="15"/>
        <v>372516.73704110325</v>
      </c>
      <c r="AB15" s="531">
        <f t="shared" si="15"/>
        <v>373261.77051518543</v>
      </c>
      <c r="AC15" s="319"/>
      <c r="AD15" s="406" t="s">
        <v>521</v>
      </c>
      <c r="AE15" s="392">
        <f>AE16</f>
        <v>11465856</v>
      </c>
      <c r="AF15" s="393">
        <f t="shared" ref="AF15" si="16">AE15/$AE$2</f>
        <v>0.13996394802753273</v>
      </c>
      <c r="AG15" s="394"/>
      <c r="AH15" s="400" t="s">
        <v>520</v>
      </c>
      <c r="AI15" s="407">
        <f>L16</f>
        <v>681088</v>
      </c>
      <c r="AJ15" s="398">
        <f t="shared" si="13"/>
        <v>8.3155025883205631E-3</v>
      </c>
    </row>
    <row r="16" spans="2:38" ht="18.75" x14ac:dyDescent="0.3">
      <c r="B16" s="396" t="s">
        <v>215</v>
      </c>
      <c r="C16" s="397">
        <f>L11</f>
        <v>90360</v>
      </c>
      <c r="D16" s="398">
        <f t="shared" si="11"/>
        <v>1.0965043212999926E-3</v>
      </c>
      <c r="E16" s="394"/>
      <c r="F16" s="400" t="s">
        <v>520</v>
      </c>
      <c r="G16" s="405">
        <f>L16</f>
        <v>681088</v>
      </c>
      <c r="H16" s="398">
        <f t="shared" si="14"/>
        <v>8.2648952515586727E-3</v>
      </c>
      <c r="J16" s="441" t="s">
        <v>234</v>
      </c>
      <c r="K16" s="408" t="str">
        <f>J16</f>
        <v xml:space="preserve">Mantenimiento </v>
      </c>
      <c r="L16" s="442">
        <f t="shared" si="6"/>
        <v>681088</v>
      </c>
      <c r="M16" s="409">
        <v>42568</v>
      </c>
      <c r="N16" s="536">
        <f>M16</f>
        <v>42568</v>
      </c>
      <c r="O16" s="536">
        <f t="shared" ref="O16:AB16" si="17">N16</f>
        <v>42568</v>
      </c>
      <c r="P16" s="536">
        <f t="shared" si="17"/>
        <v>42568</v>
      </c>
      <c r="Q16" s="536">
        <f t="shared" si="17"/>
        <v>42568</v>
      </c>
      <c r="R16" s="531">
        <f t="shared" si="17"/>
        <v>42568</v>
      </c>
      <c r="S16" s="531">
        <f t="shared" si="17"/>
        <v>42568</v>
      </c>
      <c r="T16" s="531">
        <f t="shared" si="17"/>
        <v>42568</v>
      </c>
      <c r="U16" s="531">
        <f t="shared" si="17"/>
        <v>42568</v>
      </c>
      <c r="V16" s="531">
        <f t="shared" si="17"/>
        <v>42568</v>
      </c>
      <c r="W16" s="531">
        <f t="shared" si="17"/>
        <v>42568</v>
      </c>
      <c r="X16" s="531">
        <f t="shared" si="17"/>
        <v>42568</v>
      </c>
      <c r="Y16" s="531">
        <f t="shared" si="17"/>
        <v>42568</v>
      </c>
      <c r="Z16" s="531">
        <f t="shared" si="17"/>
        <v>42568</v>
      </c>
      <c r="AA16" s="531">
        <f t="shared" si="17"/>
        <v>42568</v>
      </c>
      <c r="AB16" s="531">
        <f t="shared" si="17"/>
        <v>42568</v>
      </c>
      <c r="AC16" s="319"/>
      <c r="AD16" s="396" t="s">
        <v>629</v>
      </c>
      <c r="AE16" s="407">
        <f>L5</f>
        <v>11465856</v>
      </c>
      <c r="AF16" s="398">
        <f>AE16/$AE$2</f>
        <v>0.13996394802753273</v>
      </c>
      <c r="AG16" s="394"/>
      <c r="AH16" s="400" t="s">
        <v>244</v>
      </c>
      <c r="AI16" s="405">
        <f>L15</f>
        <v>5846819.0281079076</v>
      </c>
      <c r="AJ16" s="398">
        <f t="shared" si="13"/>
        <v>7.1384665067763961E-2</v>
      </c>
    </row>
    <row r="17" spans="2:38" ht="24" customHeight="1" x14ac:dyDescent="0.3">
      <c r="B17" s="396" t="s">
        <v>230</v>
      </c>
      <c r="C17" s="397">
        <f>L12</f>
        <v>140000</v>
      </c>
      <c r="D17" s="398">
        <f t="shared" si="11"/>
        <v>1.6988778771801567E-3</v>
      </c>
      <c r="E17" s="394"/>
      <c r="F17" s="400" t="s">
        <v>244</v>
      </c>
      <c r="G17" s="405">
        <f>L15</f>
        <v>5846819.0281079076</v>
      </c>
      <c r="H17" s="398">
        <f t="shared" si="14"/>
        <v>7.0950224966717865E-2</v>
      </c>
      <c r="J17" s="441" t="s">
        <v>235</v>
      </c>
      <c r="K17" s="408" t="s">
        <v>219</v>
      </c>
      <c r="L17" s="442">
        <f t="shared" si="6"/>
        <v>0</v>
      </c>
      <c r="M17" s="409">
        <v>0</v>
      </c>
      <c r="N17" s="536">
        <v>0</v>
      </c>
      <c r="O17" s="536">
        <v>0</v>
      </c>
      <c r="P17" s="536">
        <v>0</v>
      </c>
      <c r="Q17" s="536">
        <v>0</v>
      </c>
      <c r="R17" s="531">
        <v>0</v>
      </c>
      <c r="S17" s="531">
        <v>0</v>
      </c>
      <c r="T17" s="531">
        <v>0</v>
      </c>
      <c r="U17" s="531">
        <v>0</v>
      </c>
      <c r="V17" s="531">
        <v>0</v>
      </c>
      <c r="W17" s="531">
        <v>0</v>
      </c>
      <c r="X17" s="531">
        <v>0</v>
      </c>
      <c r="Y17" s="531">
        <v>0</v>
      </c>
      <c r="Z17" s="531">
        <v>0</v>
      </c>
      <c r="AA17" s="531">
        <v>0</v>
      </c>
      <c r="AB17" s="531">
        <v>0</v>
      </c>
      <c r="AC17" s="319"/>
      <c r="AD17" s="396" t="s">
        <v>630</v>
      </c>
      <c r="AE17" s="407">
        <f>AB27</f>
        <v>5526208.9718920924</v>
      </c>
      <c r="AF17" s="394"/>
      <c r="AG17" s="394"/>
      <c r="AH17" s="400" t="s">
        <v>236</v>
      </c>
      <c r="AI17" s="405">
        <f>L18</f>
        <v>1044480</v>
      </c>
      <c r="AJ17" s="398">
        <f t="shared" si="13"/>
        <v>1.275220844215294E-2</v>
      </c>
    </row>
    <row r="18" spans="2:38" ht="21" x14ac:dyDescent="0.35">
      <c r="B18" s="396" t="s">
        <v>221</v>
      </c>
      <c r="C18" s="397">
        <f>L6</f>
        <v>4766254</v>
      </c>
      <c r="D18" s="398">
        <f t="shared" si="11"/>
        <v>5.7837739125867364E-2</v>
      </c>
      <c r="E18" s="394"/>
      <c r="F18" s="400" t="s">
        <v>236</v>
      </c>
      <c r="G18" s="405">
        <f>L18</f>
        <v>1044480</v>
      </c>
      <c r="H18" s="398">
        <f t="shared" si="14"/>
        <v>1.267459974679924E-2</v>
      </c>
      <c r="J18" s="441" t="s">
        <v>236</v>
      </c>
      <c r="K18" s="408" t="str">
        <f>J18</f>
        <v>Empleados</v>
      </c>
      <c r="L18" s="442">
        <f t="shared" si="6"/>
        <v>1044480</v>
      </c>
      <c r="M18" s="409">
        <v>65280</v>
      </c>
      <c r="N18" s="536">
        <f t="shared" ref="N18:AB24" si="18">M18</f>
        <v>65280</v>
      </c>
      <c r="O18" s="536">
        <f t="shared" si="18"/>
        <v>65280</v>
      </c>
      <c r="P18" s="536">
        <f t="shared" si="18"/>
        <v>65280</v>
      </c>
      <c r="Q18" s="536">
        <f t="shared" si="18"/>
        <v>65280</v>
      </c>
      <c r="R18" s="531">
        <f t="shared" si="18"/>
        <v>65280</v>
      </c>
      <c r="S18" s="531">
        <f t="shared" si="18"/>
        <v>65280</v>
      </c>
      <c r="T18" s="531">
        <f t="shared" si="18"/>
        <v>65280</v>
      </c>
      <c r="U18" s="531">
        <f t="shared" si="18"/>
        <v>65280</v>
      </c>
      <c r="V18" s="531">
        <f t="shared" si="18"/>
        <v>65280</v>
      </c>
      <c r="W18" s="531">
        <f t="shared" si="18"/>
        <v>65280</v>
      </c>
      <c r="X18" s="531">
        <f t="shared" si="18"/>
        <v>65280</v>
      </c>
      <c r="Y18" s="531">
        <f t="shared" si="18"/>
        <v>65280</v>
      </c>
      <c r="Z18" s="531">
        <f t="shared" si="18"/>
        <v>65280</v>
      </c>
      <c r="AA18" s="531">
        <f t="shared" si="18"/>
        <v>65280</v>
      </c>
      <c r="AB18" s="531">
        <f t="shared" si="18"/>
        <v>65280</v>
      </c>
      <c r="AC18" s="319"/>
      <c r="AD18" s="406"/>
      <c r="AE18" s="392"/>
      <c r="AF18" s="393"/>
      <c r="AG18" s="394"/>
      <c r="AH18" s="400" t="s">
        <v>238</v>
      </c>
      <c r="AI18" s="405">
        <f>L19</f>
        <v>320000</v>
      </c>
      <c r="AJ18" s="398">
        <f t="shared" si="13"/>
        <v>3.9069266060517589E-3</v>
      </c>
    </row>
    <row r="19" spans="2:38" ht="21" x14ac:dyDescent="0.35">
      <c r="B19" s="396" t="s">
        <v>223</v>
      </c>
      <c r="C19" s="397">
        <f>L7</f>
        <v>3079776</v>
      </c>
      <c r="D19" s="398">
        <f t="shared" si="11"/>
        <v>3.737259509335996E-2</v>
      </c>
      <c r="E19" s="399"/>
      <c r="F19" s="400" t="s">
        <v>238</v>
      </c>
      <c r="G19" s="410">
        <f>L19</f>
        <v>320000</v>
      </c>
      <c r="H19" s="398">
        <f t="shared" si="14"/>
        <v>3.8831494322301599E-3</v>
      </c>
      <c r="J19" s="441" t="s">
        <v>238</v>
      </c>
      <c r="K19" s="408" t="str">
        <f>J19</f>
        <v>Juveniles</v>
      </c>
      <c r="L19" s="442">
        <f t="shared" si="6"/>
        <v>320000</v>
      </c>
      <c r="M19" s="409">
        <v>20000</v>
      </c>
      <c r="N19" s="536">
        <f t="shared" si="18"/>
        <v>20000</v>
      </c>
      <c r="O19" s="536">
        <f t="shared" si="18"/>
        <v>20000</v>
      </c>
      <c r="P19" s="536">
        <f t="shared" si="18"/>
        <v>20000</v>
      </c>
      <c r="Q19" s="536">
        <f t="shared" si="18"/>
        <v>20000</v>
      </c>
      <c r="R19" s="531">
        <f t="shared" si="18"/>
        <v>20000</v>
      </c>
      <c r="S19" s="531">
        <f t="shared" si="18"/>
        <v>20000</v>
      </c>
      <c r="T19" s="531">
        <f t="shared" si="18"/>
        <v>20000</v>
      </c>
      <c r="U19" s="531">
        <f t="shared" si="18"/>
        <v>20000</v>
      </c>
      <c r="V19" s="531">
        <f t="shared" si="18"/>
        <v>20000</v>
      </c>
      <c r="W19" s="531">
        <f t="shared" si="18"/>
        <v>20000</v>
      </c>
      <c r="X19" s="531">
        <f t="shared" si="18"/>
        <v>20000</v>
      </c>
      <c r="Y19" s="531">
        <f t="shared" si="18"/>
        <v>20000</v>
      </c>
      <c r="Z19" s="531">
        <f t="shared" si="18"/>
        <v>20000</v>
      </c>
      <c r="AA19" s="531">
        <f t="shared" si="18"/>
        <v>20000</v>
      </c>
      <c r="AB19" s="531">
        <f t="shared" si="18"/>
        <v>20000</v>
      </c>
      <c r="AC19" s="319"/>
      <c r="AD19" s="406" t="s">
        <v>631</v>
      </c>
      <c r="AE19" s="392">
        <f>AE20+AE21+AE22+AE23+AE24+AE26-AE27+AE29</f>
        <v>8456350</v>
      </c>
      <c r="AF19" s="393">
        <f t="shared" ref="AF19:AF24" si="19">AE19/$AE$2</f>
        <v>0.10322684428468545</v>
      </c>
      <c r="AG19" s="399"/>
      <c r="AH19" s="411" t="s">
        <v>240</v>
      </c>
      <c r="AI19" s="410">
        <f>L22</f>
        <v>33000</v>
      </c>
      <c r="AJ19" s="398">
        <f t="shared" si="13"/>
        <v>4.0290180624908762E-4</v>
      </c>
    </row>
    <row r="20" spans="2:38" ht="18.75" x14ac:dyDescent="0.3">
      <c r="B20" s="396" t="s">
        <v>228</v>
      </c>
      <c r="C20" s="397">
        <f>L10</f>
        <v>244990</v>
      </c>
      <c r="D20" s="398">
        <f t="shared" si="11"/>
        <v>2.9729149366454757E-3</v>
      </c>
      <c r="E20" s="399"/>
      <c r="F20" s="411" t="s">
        <v>240</v>
      </c>
      <c r="G20" s="410">
        <f>L22</f>
        <v>33000</v>
      </c>
      <c r="H20" s="398">
        <f t="shared" si="14"/>
        <v>4.0044978519873523E-4</v>
      </c>
      <c r="J20" s="441" t="s">
        <v>239</v>
      </c>
      <c r="K20" s="408" t="s">
        <v>237</v>
      </c>
      <c r="L20" s="442">
        <f t="shared" si="6"/>
        <v>9028110</v>
      </c>
      <c r="M20" s="409">
        <v>0</v>
      </c>
      <c r="N20" s="536">
        <v>0</v>
      </c>
      <c r="O20" s="536">
        <f t="shared" si="18"/>
        <v>0</v>
      </c>
      <c r="P20" s="536">
        <f t="shared" si="18"/>
        <v>0</v>
      </c>
      <c r="Q20" s="536">
        <f t="shared" si="18"/>
        <v>0</v>
      </c>
      <c r="R20" s="531">
        <v>9028110</v>
      </c>
      <c r="S20" s="531">
        <v>0</v>
      </c>
      <c r="T20" s="531">
        <v>0</v>
      </c>
      <c r="U20" s="531">
        <v>0</v>
      </c>
      <c r="V20" s="531">
        <v>0</v>
      </c>
      <c r="W20" s="531">
        <v>0</v>
      </c>
      <c r="X20" s="531">
        <f t="shared" si="18"/>
        <v>0</v>
      </c>
      <c r="Y20" s="531">
        <f t="shared" si="18"/>
        <v>0</v>
      </c>
      <c r="Z20" s="531">
        <v>0</v>
      </c>
      <c r="AA20" s="531">
        <v>0</v>
      </c>
      <c r="AB20" s="531">
        <v>0</v>
      </c>
      <c r="AC20" s="319"/>
      <c r="AD20" s="396" t="s">
        <v>215</v>
      </c>
      <c r="AE20" s="407">
        <f>L11</f>
        <v>90360</v>
      </c>
      <c r="AF20" s="398">
        <f t="shared" si="19"/>
        <v>1.1030264416165578E-3</v>
      </c>
      <c r="AG20" s="399"/>
      <c r="AH20" s="400" t="s">
        <v>241</v>
      </c>
      <c r="AI20" s="410">
        <f>L24</f>
        <v>0</v>
      </c>
      <c r="AJ20" s="398">
        <f t="shared" si="13"/>
        <v>0</v>
      </c>
    </row>
    <row r="21" spans="2:38" ht="21" x14ac:dyDescent="0.35">
      <c r="B21" s="396" t="s">
        <v>522</v>
      </c>
      <c r="C21" s="397">
        <f>L13</f>
        <v>129270</v>
      </c>
      <c r="D21" s="398">
        <f t="shared" si="11"/>
        <v>1.5686710227362775E-3</v>
      </c>
      <c r="E21" s="399"/>
      <c r="F21" s="400" t="s">
        <v>241</v>
      </c>
      <c r="G21" s="392">
        <f>L24</f>
        <v>0</v>
      </c>
      <c r="H21" s="398">
        <f t="shared" si="14"/>
        <v>0</v>
      </c>
      <c r="J21" s="551" t="s">
        <v>229</v>
      </c>
      <c r="K21" s="408" t="s">
        <v>222</v>
      </c>
      <c r="L21" s="442">
        <f t="shared" si="6"/>
        <v>0</v>
      </c>
      <c r="M21" s="409">
        <v>0</v>
      </c>
      <c r="N21" s="536">
        <f>M21</f>
        <v>0</v>
      </c>
      <c r="O21" s="536">
        <f t="shared" si="18"/>
        <v>0</v>
      </c>
      <c r="P21" s="536">
        <f t="shared" si="18"/>
        <v>0</v>
      </c>
      <c r="Q21" s="536">
        <f t="shared" si="18"/>
        <v>0</v>
      </c>
      <c r="R21" s="531">
        <f t="shared" si="18"/>
        <v>0</v>
      </c>
      <c r="S21" s="531">
        <f t="shared" si="18"/>
        <v>0</v>
      </c>
      <c r="T21" s="531">
        <f t="shared" si="18"/>
        <v>0</v>
      </c>
      <c r="U21" s="531">
        <f t="shared" si="18"/>
        <v>0</v>
      </c>
      <c r="V21" s="531">
        <f t="shared" si="18"/>
        <v>0</v>
      </c>
      <c r="W21" s="531">
        <f t="shared" si="18"/>
        <v>0</v>
      </c>
      <c r="X21" s="531">
        <f t="shared" si="18"/>
        <v>0</v>
      </c>
      <c r="Y21" s="531">
        <f t="shared" si="18"/>
        <v>0</v>
      </c>
      <c r="Z21" s="531">
        <v>0</v>
      </c>
      <c r="AA21" s="531">
        <f t="shared" ref="AA21:AB24" si="20">Z21</f>
        <v>0</v>
      </c>
      <c r="AB21" s="531">
        <f t="shared" si="20"/>
        <v>0</v>
      </c>
      <c r="AC21" s="319"/>
      <c r="AD21" s="396" t="s">
        <v>230</v>
      </c>
      <c r="AE21" s="405">
        <f>L12</f>
        <v>140000</v>
      </c>
      <c r="AF21" s="398">
        <f t="shared" si="19"/>
        <v>1.7089829772722232E-3</v>
      </c>
      <c r="AG21" s="399"/>
      <c r="AH21" s="372"/>
      <c r="AI21" s="392"/>
      <c r="AJ21" s="393"/>
    </row>
    <row r="22" spans="2:38" ht="18.75" x14ac:dyDescent="0.3">
      <c r="B22" s="396" t="s">
        <v>523</v>
      </c>
      <c r="C22" s="397">
        <f>L23*-1</f>
        <v>0</v>
      </c>
      <c r="D22" s="398">
        <f t="shared" si="11"/>
        <v>0</v>
      </c>
      <c r="E22" s="394"/>
      <c r="F22" s="396"/>
      <c r="G22" s="407"/>
      <c r="H22" s="398"/>
      <c r="J22" s="551"/>
      <c r="K22" s="408" t="s">
        <v>240</v>
      </c>
      <c r="L22" s="442">
        <f t="shared" si="6"/>
        <v>33000</v>
      </c>
      <c r="M22" s="409">
        <v>4000</v>
      </c>
      <c r="N22" s="536">
        <v>1000</v>
      </c>
      <c r="O22" s="536">
        <v>4000</v>
      </c>
      <c r="P22" s="536">
        <v>0</v>
      </c>
      <c r="Q22" s="536">
        <v>1000</v>
      </c>
      <c r="R22" s="531">
        <v>3000</v>
      </c>
      <c r="S22" s="531">
        <v>2000</v>
      </c>
      <c r="T22" s="531">
        <f t="shared" si="18"/>
        <v>2000</v>
      </c>
      <c r="U22" s="531">
        <f t="shared" si="18"/>
        <v>2000</v>
      </c>
      <c r="V22" s="531">
        <f t="shared" si="18"/>
        <v>2000</v>
      </c>
      <c r="W22" s="531">
        <f t="shared" si="18"/>
        <v>2000</v>
      </c>
      <c r="X22" s="531">
        <f t="shared" si="18"/>
        <v>2000</v>
      </c>
      <c r="Y22" s="531">
        <f t="shared" si="18"/>
        <v>2000</v>
      </c>
      <c r="Z22" s="531">
        <f>Y22</f>
        <v>2000</v>
      </c>
      <c r="AA22" s="531">
        <f t="shared" si="20"/>
        <v>2000</v>
      </c>
      <c r="AB22" s="531">
        <f t="shared" si="20"/>
        <v>2000</v>
      </c>
      <c r="AC22" s="319"/>
      <c r="AD22" s="396" t="s">
        <v>221</v>
      </c>
      <c r="AE22" s="405">
        <f>L6</f>
        <v>4766254</v>
      </c>
      <c r="AF22" s="398">
        <f t="shared" si="19"/>
        <v>5.818176393825459E-2</v>
      </c>
      <c r="AG22" s="394"/>
      <c r="AH22" s="400"/>
      <c r="AI22" s="407"/>
      <c r="AJ22" s="394"/>
    </row>
    <row r="23" spans="2:38" ht="18.75" x14ac:dyDescent="0.3">
      <c r="B23" s="396"/>
      <c r="C23" s="397"/>
      <c r="D23" s="398"/>
      <c r="E23" s="394"/>
      <c r="F23" s="400"/>
      <c r="G23" s="405"/>
      <c r="H23" s="398"/>
      <c r="J23" s="551"/>
      <c r="K23" s="408" t="s">
        <v>227</v>
      </c>
      <c r="L23" s="442">
        <f t="shared" si="6"/>
        <v>0</v>
      </c>
      <c r="M23" s="409">
        <v>0</v>
      </c>
      <c r="N23" s="536">
        <f>M23</f>
        <v>0</v>
      </c>
      <c r="O23" s="536">
        <f t="shared" si="18"/>
        <v>0</v>
      </c>
      <c r="P23" s="536">
        <f t="shared" si="18"/>
        <v>0</v>
      </c>
      <c r="Q23" s="536">
        <f t="shared" si="18"/>
        <v>0</v>
      </c>
      <c r="R23" s="531">
        <f t="shared" si="18"/>
        <v>0</v>
      </c>
      <c r="S23" s="531">
        <f t="shared" si="18"/>
        <v>0</v>
      </c>
      <c r="T23" s="531">
        <f t="shared" si="18"/>
        <v>0</v>
      </c>
      <c r="U23" s="531">
        <f t="shared" si="18"/>
        <v>0</v>
      </c>
      <c r="V23" s="531">
        <f t="shared" si="18"/>
        <v>0</v>
      </c>
      <c r="W23" s="531">
        <f t="shared" si="18"/>
        <v>0</v>
      </c>
      <c r="X23" s="531">
        <f t="shared" si="18"/>
        <v>0</v>
      </c>
      <c r="Y23" s="531">
        <f t="shared" si="18"/>
        <v>0</v>
      </c>
      <c r="Z23" s="531">
        <v>0</v>
      </c>
      <c r="AA23" s="531">
        <f t="shared" si="20"/>
        <v>0</v>
      </c>
      <c r="AB23" s="531">
        <f t="shared" si="20"/>
        <v>0</v>
      </c>
      <c r="AC23" s="319"/>
      <c r="AD23" s="396" t="s">
        <v>223</v>
      </c>
      <c r="AE23" s="405">
        <f>L7</f>
        <v>3079776</v>
      </c>
      <c r="AF23" s="398">
        <f t="shared" si="19"/>
        <v>3.7594891127225277E-2</v>
      </c>
      <c r="AG23" s="394"/>
      <c r="AH23" s="400"/>
      <c r="AI23" s="319"/>
      <c r="AJ23" s="394"/>
    </row>
    <row r="24" spans="2:38" ht="18.75" x14ac:dyDescent="0.3">
      <c r="B24" s="396" t="s">
        <v>632</v>
      </c>
      <c r="C24" s="397">
        <f>L9</f>
        <v>5700</v>
      </c>
      <c r="D24" s="398">
        <f t="shared" si="11"/>
        <v>6.9168599285192095E-5</v>
      </c>
      <c r="E24" s="394"/>
      <c r="F24" s="396"/>
      <c r="G24" s="405"/>
      <c r="H24" s="398"/>
      <c r="J24" s="441" t="s">
        <v>241</v>
      </c>
      <c r="K24" s="408" t="str">
        <f>J24</f>
        <v>Intereses</v>
      </c>
      <c r="L24" s="442">
        <f t="shared" si="6"/>
        <v>0</v>
      </c>
      <c r="M24" s="409">
        <v>0</v>
      </c>
      <c r="N24" s="536">
        <f>M24</f>
        <v>0</v>
      </c>
      <c r="O24" s="536">
        <f t="shared" si="18"/>
        <v>0</v>
      </c>
      <c r="P24" s="536">
        <f t="shared" si="18"/>
        <v>0</v>
      </c>
      <c r="Q24" s="536">
        <f t="shared" si="18"/>
        <v>0</v>
      </c>
      <c r="R24" s="531">
        <f t="shared" si="18"/>
        <v>0</v>
      </c>
      <c r="S24" s="531">
        <f t="shared" si="18"/>
        <v>0</v>
      </c>
      <c r="T24" s="531">
        <f t="shared" si="18"/>
        <v>0</v>
      </c>
      <c r="U24" s="531">
        <f t="shared" si="18"/>
        <v>0</v>
      </c>
      <c r="V24" s="531">
        <f t="shared" si="18"/>
        <v>0</v>
      </c>
      <c r="W24" s="531">
        <f t="shared" si="18"/>
        <v>0</v>
      </c>
      <c r="X24" s="531">
        <f t="shared" si="18"/>
        <v>0</v>
      </c>
      <c r="Y24" s="531">
        <f t="shared" si="18"/>
        <v>0</v>
      </c>
      <c r="Z24" s="531">
        <v>0</v>
      </c>
      <c r="AA24" s="531">
        <f t="shared" si="20"/>
        <v>0</v>
      </c>
      <c r="AB24" s="531">
        <f t="shared" si="20"/>
        <v>0</v>
      </c>
      <c r="AC24" s="319"/>
      <c r="AD24" s="396" t="s">
        <v>228</v>
      </c>
      <c r="AE24" s="410">
        <f>L10</f>
        <v>244990</v>
      </c>
      <c r="AF24" s="398">
        <f t="shared" si="19"/>
        <v>2.9905981400137282E-3</v>
      </c>
      <c r="AG24" s="394"/>
      <c r="AH24" s="400"/>
      <c r="AI24" s="319"/>
      <c r="AJ24" s="394"/>
    </row>
    <row r="25" spans="2:38" ht="21" x14ac:dyDescent="0.35">
      <c r="B25" s="406" t="s">
        <v>521</v>
      </c>
      <c r="C25" s="392">
        <f>C27</f>
        <v>5526208.9718920924</v>
      </c>
      <c r="D25" s="393">
        <f t="shared" si="11"/>
        <v>6.7059672621585534E-2</v>
      </c>
      <c r="E25" s="394"/>
      <c r="F25" s="400"/>
      <c r="G25" s="405"/>
      <c r="H25" s="394"/>
      <c r="I25" s="401"/>
      <c r="J25" s="443" t="s">
        <v>242</v>
      </c>
      <c r="K25" s="444"/>
      <c r="L25" s="445">
        <f t="shared" si="6"/>
        <v>16953497.028107908</v>
      </c>
      <c r="M25" s="446">
        <f t="shared" ref="M25:AB25" si="21">SUM(M15:M24)</f>
        <v>487088</v>
      </c>
      <c r="N25" s="446">
        <f t="shared" si="21"/>
        <v>480362</v>
      </c>
      <c r="O25" s="446">
        <f t="shared" si="21"/>
        <v>484814</v>
      </c>
      <c r="P25" s="446">
        <f t="shared" si="21"/>
        <v>486070</v>
      </c>
      <c r="Q25" s="446">
        <f t="shared" si="21"/>
        <v>492578</v>
      </c>
      <c r="R25" s="446">
        <f t="shared" si="21"/>
        <v>9524836</v>
      </c>
      <c r="S25" s="446">
        <f t="shared" si="21"/>
        <v>496457.75599999999</v>
      </c>
      <c r="T25" s="446">
        <f t="shared" si="21"/>
        <v>497190.97551199998</v>
      </c>
      <c r="U25" s="446">
        <f t="shared" si="21"/>
        <v>497925.66146302398</v>
      </c>
      <c r="V25" s="446">
        <f t="shared" si="21"/>
        <v>498661.81678595004</v>
      </c>
      <c r="W25" s="446">
        <f t="shared" si="21"/>
        <v>499399.44441952195</v>
      </c>
      <c r="X25" s="446">
        <f t="shared" si="21"/>
        <v>500138.54730836098</v>
      </c>
      <c r="Y25" s="446">
        <f t="shared" si="21"/>
        <v>500879.12840297772</v>
      </c>
      <c r="Z25" s="446">
        <f t="shared" si="21"/>
        <v>501621.19065978366</v>
      </c>
      <c r="AA25" s="446">
        <f t="shared" si="21"/>
        <v>502364.73704110325</v>
      </c>
      <c r="AB25" s="446">
        <f t="shared" si="21"/>
        <v>503109.77051518543</v>
      </c>
      <c r="AC25" s="395"/>
      <c r="AD25" s="412"/>
      <c r="AE25" s="395"/>
      <c r="AF25" s="399"/>
      <c r="AG25" s="394"/>
      <c r="AH25" s="400"/>
      <c r="AI25" s="405"/>
      <c r="AJ25" s="394"/>
      <c r="AK25" s="401"/>
      <c r="AL25" s="401"/>
    </row>
    <row r="26" spans="2:38" ht="18.75" x14ac:dyDescent="0.3">
      <c r="B26" s="396" t="s">
        <v>629</v>
      </c>
      <c r="C26" s="397">
        <f>L5</f>
        <v>11465856</v>
      </c>
      <c r="D26" s="398">
        <f t="shared" si="11"/>
        <v>0.13913635072380973</v>
      </c>
      <c r="E26" s="394"/>
      <c r="F26" s="400"/>
      <c r="G26" s="405"/>
      <c r="H26" s="394"/>
      <c r="I26" s="401"/>
      <c r="J26" s="430" t="s">
        <v>525</v>
      </c>
      <c r="K26" s="430"/>
      <c r="L26" s="431">
        <f>L4-L13+L23</f>
        <v>0</v>
      </c>
      <c r="M26" s="432">
        <f>M4-M13+M23</f>
        <v>79270</v>
      </c>
      <c r="N26" s="432">
        <f t="shared" ref="N26:AB26" si="22">N4-N13+N23</f>
        <v>29270</v>
      </c>
      <c r="O26" s="432">
        <f t="shared" si="22"/>
        <v>0</v>
      </c>
      <c r="P26" s="432">
        <f t="shared" si="22"/>
        <v>0</v>
      </c>
      <c r="Q26" s="432">
        <f t="shared" si="22"/>
        <v>0</v>
      </c>
      <c r="R26" s="432">
        <f t="shared" si="22"/>
        <v>0</v>
      </c>
      <c r="S26" s="432">
        <f t="shared" si="22"/>
        <v>0</v>
      </c>
      <c r="T26" s="432">
        <f t="shared" si="22"/>
        <v>0</v>
      </c>
      <c r="U26" s="432">
        <f t="shared" si="22"/>
        <v>0</v>
      </c>
      <c r="V26" s="432">
        <f t="shared" si="22"/>
        <v>0</v>
      </c>
      <c r="W26" s="432">
        <f t="shared" si="22"/>
        <v>0</v>
      </c>
      <c r="X26" s="432">
        <f t="shared" si="22"/>
        <v>0</v>
      </c>
      <c r="Y26" s="432">
        <f t="shared" si="22"/>
        <v>0</v>
      </c>
      <c r="Z26" s="432">
        <f t="shared" si="22"/>
        <v>0</v>
      </c>
      <c r="AA26" s="432">
        <f t="shared" si="22"/>
        <v>0</v>
      </c>
      <c r="AB26" s="432">
        <f t="shared" si="22"/>
        <v>0</v>
      </c>
      <c r="AC26" s="395"/>
      <c r="AD26" s="396" t="s">
        <v>522</v>
      </c>
      <c r="AE26" s="405">
        <f>L13</f>
        <v>129270</v>
      </c>
      <c r="AF26" s="398">
        <f>AE26/$AE$2</f>
        <v>1.5780016390855734E-3</v>
      </c>
      <c r="AG26" s="394"/>
      <c r="AH26" s="400"/>
      <c r="AI26" s="405"/>
      <c r="AJ26" s="394"/>
      <c r="AK26" s="401"/>
      <c r="AL26" s="401"/>
    </row>
    <row r="27" spans="2:38" ht="18.75" x14ac:dyDescent="0.3">
      <c r="B27" s="396" t="s">
        <v>630</v>
      </c>
      <c r="C27" s="407">
        <f>L27</f>
        <v>5526208.9718920924</v>
      </c>
      <c r="D27" s="398"/>
      <c r="E27" s="416"/>
      <c r="F27" s="417"/>
      <c r="G27" s="414"/>
      <c r="H27" s="416"/>
      <c r="I27" s="401"/>
      <c r="J27" s="433" t="s">
        <v>243</v>
      </c>
      <c r="K27" s="433"/>
      <c r="L27" s="434">
        <f>AB27</f>
        <v>5526208.9718920924</v>
      </c>
      <c r="M27" s="435">
        <f t="shared" ref="M27:AB27" si="23">M5+M14-M25</f>
        <v>11301588</v>
      </c>
      <c r="N27" s="435">
        <f t="shared" si="23"/>
        <v>11135311</v>
      </c>
      <c r="O27" s="435">
        <f t="shared" si="23"/>
        <v>11469627</v>
      </c>
      <c r="P27" s="435">
        <f t="shared" si="23"/>
        <v>11889998</v>
      </c>
      <c r="Q27" s="435">
        <f t="shared" si="23"/>
        <v>11897465</v>
      </c>
      <c r="R27" s="435">
        <f t="shared" si="23"/>
        <v>5499538</v>
      </c>
      <c r="S27" s="435">
        <f t="shared" si="23"/>
        <v>5228650.2439999999</v>
      </c>
      <c r="T27" s="435">
        <f t="shared" si="23"/>
        <v>5617769.2684880001</v>
      </c>
      <c r="U27" s="435">
        <f t="shared" si="23"/>
        <v>5346523.6070249761</v>
      </c>
      <c r="V27" s="435">
        <f t="shared" si="23"/>
        <v>5734541.7902390258</v>
      </c>
      <c r="W27" s="435">
        <f t="shared" si="23"/>
        <v>5461822.345819504</v>
      </c>
      <c r="X27" s="435">
        <f t="shared" si="23"/>
        <v>5848363.7985111428</v>
      </c>
      <c r="Y27" s="435">
        <f t="shared" si="23"/>
        <v>5574164.6701081656</v>
      </c>
      <c r="Z27" s="435">
        <f t="shared" si="23"/>
        <v>5959223.4794483818</v>
      </c>
      <c r="AA27" s="435">
        <f t="shared" si="23"/>
        <v>5698538.7424072782</v>
      </c>
      <c r="AB27" s="435">
        <f t="shared" si="23"/>
        <v>5526208.9718920924</v>
      </c>
      <c r="AC27" s="395"/>
      <c r="AD27" s="396" t="s">
        <v>523</v>
      </c>
      <c r="AE27" s="405">
        <f>L23</f>
        <v>0</v>
      </c>
      <c r="AF27" s="398">
        <f>AE27/$AE$2</f>
        <v>0</v>
      </c>
      <c r="AG27" s="416"/>
      <c r="AH27" s="417"/>
      <c r="AI27" s="414"/>
      <c r="AJ27" s="416"/>
      <c r="AK27" s="401"/>
      <c r="AL27" s="401"/>
    </row>
    <row r="28" spans="2:38" ht="15.75" x14ac:dyDescent="0.25">
      <c r="B28" s="396"/>
      <c r="C28" s="405"/>
      <c r="D28" s="398"/>
      <c r="E28" s="401"/>
      <c r="F28" s="401"/>
      <c r="G28" s="401"/>
      <c r="H28" s="401"/>
      <c r="J28" s="418"/>
      <c r="K28" s="418"/>
      <c r="L28" s="419"/>
      <c r="M28" s="420">
        <f>M1+7</f>
        <v>44326</v>
      </c>
      <c r="N28" s="420">
        <f t="shared" ref="N28:AB28" si="24">M28+7</f>
        <v>44333</v>
      </c>
      <c r="O28" s="420">
        <f t="shared" si="24"/>
        <v>44340</v>
      </c>
      <c r="P28" s="420">
        <f t="shared" si="24"/>
        <v>44347</v>
      </c>
      <c r="Q28" s="420">
        <f t="shared" si="24"/>
        <v>44354</v>
      </c>
      <c r="R28" s="420">
        <f t="shared" si="24"/>
        <v>44361</v>
      </c>
      <c r="S28" s="420">
        <f t="shared" si="24"/>
        <v>44368</v>
      </c>
      <c r="T28" s="420">
        <f t="shared" si="24"/>
        <v>44375</v>
      </c>
      <c r="U28" s="420">
        <f t="shared" si="24"/>
        <v>44382</v>
      </c>
      <c r="V28" s="420">
        <f t="shared" si="24"/>
        <v>44389</v>
      </c>
      <c r="W28" s="420">
        <f t="shared" si="24"/>
        <v>44396</v>
      </c>
      <c r="X28" s="420">
        <f t="shared" si="24"/>
        <v>44403</v>
      </c>
      <c r="Y28" s="420">
        <f t="shared" si="24"/>
        <v>44410</v>
      </c>
      <c r="Z28" s="420">
        <f t="shared" si="24"/>
        <v>44417</v>
      </c>
      <c r="AA28" s="420">
        <f t="shared" si="24"/>
        <v>44424</v>
      </c>
      <c r="AB28" s="420">
        <f t="shared" si="24"/>
        <v>44431</v>
      </c>
      <c r="AC28" s="319"/>
      <c r="AD28" s="396" t="s">
        <v>524</v>
      </c>
      <c r="AE28" s="405">
        <f>L8</f>
        <v>2557500</v>
      </c>
      <c r="AF28" s="398"/>
      <c r="AG28" s="401"/>
      <c r="AH28" s="401"/>
      <c r="AI28" s="401"/>
      <c r="AJ28" s="401"/>
    </row>
    <row r="29" spans="2:38" ht="15.75" x14ac:dyDescent="0.25">
      <c r="B29" s="396"/>
      <c r="C29" s="405"/>
      <c r="D29" s="398"/>
      <c r="J29" s="319"/>
      <c r="K29" s="319"/>
      <c r="L29" s="324"/>
      <c r="M29" s="319"/>
      <c r="N29" s="319"/>
      <c r="O29" s="319"/>
      <c r="P29" s="319"/>
      <c r="Q29" s="319"/>
      <c r="R29" s="319"/>
      <c r="S29" s="319"/>
      <c r="T29" s="319"/>
      <c r="U29" s="319"/>
      <c r="V29" s="319"/>
      <c r="W29" s="319"/>
      <c r="X29" s="319"/>
      <c r="Y29" s="319"/>
      <c r="Z29" s="319"/>
      <c r="AA29" s="319"/>
      <c r="AB29" s="319"/>
      <c r="AC29" s="319"/>
      <c r="AD29" s="396" t="s">
        <v>632</v>
      </c>
      <c r="AE29" s="405">
        <f>L9</f>
        <v>5700</v>
      </c>
      <c r="AF29" s="398">
        <f>AE29/$AE$2</f>
        <v>6.9580021217511941E-5</v>
      </c>
    </row>
    <row r="30" spans="2:38" ht="15.75" x14ac:dyDescent="0.25">
      <c r="B30" s="396"/>
      <c r="C30" s="405"/>
      <c r="D30" s="398"/>
      <c r="G30" s="389"/>
      <c r="J30" s="319"/>
      <c r="K30" s="319"/>
      <c r="L30" s="411" t="s">
        <v>527</v>
      </c>
      <c r="M30" s="421">
        <v>44308</v>
      </c>
      <c r="N30" s="319"/>
      <c r="O30" s="319"/>
      <c r="P30" s="319"/>
      <c r="Q30" s="319"/>
      <c r="R30" s="319"/>
      <c r="S30" s="319"/>
      <c r="T30" s="319"/>
      <c r="U30" s="319"/>
      <c r="V30" s="319"/>
      <c r="W30" s="319"/>
      <c r="X30" s="319"/>
      <c r="Y30" s="319"/>
      <c r="Z30" s="319"/>
      <c r="AA30" s="319"/>
      <c r="AB30" s="319"/>
      <c r="AC30" s="319"/>
      <c r="AD30" s="396" t="s">
        <v>526</v>
      </c>
      <c r="AE30" s="405">
        <f>L20</f>
        <v>9028110</v>
      </c>
      <c r="AF30" s="398">
        <f>AE30/$AE$2</f>
        <v>0.11020633076386523</v>
      </c>
    </row>
    <row r="31" spans="2:38" ht="15.75" x14ac:dyDescent="0.25">
      <c r="B31" s="413"/>
      <c r="C31" s="414"/>
      <c r="D31" s="415"/>
      <c r="G31" s="389"/>
      <c r="I31" s="424"/>
      <c r="J31" s="422"/>
      <c r="K31" s="423">
        <f t="shared" ref="K31:P31" si="25">SUM(K33:K57)</f>
        <v>78453710</v>
      </c>
      <c r="L31" s="423">
        <f t="shared" si="25"/>
        <v>18767378</v>
      </c>
      <c r="M31" s="423">
        <f t="shared" si="25"/>
        <v>80844436</v>
      </c>
      <c r="N31" s="423">
        <f t="shared" si="25"/>
        <v>60677135</v>
      </c>
      <c r="O31" s="423">
        <f t="shared" si="25"/>
        <v>1152803</v>
      </c>
      <c r="P31" s="423">
        <f t="shared" si="25"/>
        <v>59524332</v>
      </c>
      <c r="Q31" s="422"/>
      <c r="R31" s="423"/>
      <c r="S31" s="422"/>
      <c r="T31" s="422"/>
      <c r="U31" s="422"/>
      <c r="V31" s="422"/>
      <c r="W31" s="422"/>
      <c r="X31" s="422"/>
      <c r="Y31" s="422"/>
      <c r="Z31" s="422"/>
      <c r="AA31" s="422"/>
      <c r="AB31" s="422"/>
      <c r="AC31" s="422"/>
      <c r="AD31" s="413"/>
      <c r="AE31" s="414"/>
      <c r="AF31" s="415"/>
      <c r="AK31" s="424"/>
      <c r="AL31" s="424"/>
    </row>
    <row r="32" spans="2:38" ht="15.75" x14ac:dyDescent="0.25">
      <c r="E32" s="424"/>
      <c r="F32" s="424"/>
      <c r="G32" s="537"/>
      <c r="H32" s="424"/>
      <c r="I32" s="2"/>
      <c r="J32" s="425" t="s">
        <v>84</v>
      </c>
      <c r="K32" s="425" t="s">
        <v>528</v>
      </c>
      <c r="L32" s="425" t="s">
        <v>600</v>
      </c>
      <c r="M32" s="425" t="s">
        <v>529</v>
      </c>
      <c r="N32" s="425" t="s">
        <v>597</v>
      </c>
      <c r="O32" s="425" t="s">
        <v>601</v>
      </c>
      <c r="P32" s="425" t="s">
        <v>598</v>
      </c>
      <c r="Q32" s="351"/>
      <c r="R32" s="351"/>
      <c r="S32" s="351"/>
      <c r="T32" s="351"/>
      <c r="U32" s="351"/>
      <c r="V32" s="351"/>
      <c r="W32" s="351"/>
      <c r="X32" s="351"/>
      <c r="Y32" s="351"/>
      <c r="Z32" s="351"/>
      <c r="AA32" s="351"/>
      <c r="AB32" s="351"/>
      <c r="AC32" s="351"/>
      <c r="AG32" s="424"/>
      <c r="AH32" s="424"/>
      <c r="AI32" s="424"/>
      <c r="AJ32" s="424"/>
      <c r="AK32" s="2"/>
      <c r="AL32" s="2"/>
    </row>
    <row r="33" spans="2:36" ht="15.75" x14ac:dyDescent="0.25">
      <c r="B33" s="424"/>
      <c r="C33" s="424"/>
      <c r="D33" s="424"/>
      <c r="E33" s="2"/>
      <c r="F33" s="2"/>
      <c r="G33" s="2"/>
      <c r="H33" s="2"/>
      <c r="J33" s="324" t="s">
        <v>531</v>
      </c>
      <c r="K33" s="426">
        <v>11113000</v>
      </c>
      <c r="L33" s="426">
        <f>K33-M33</f>
        <v>2028662</v>
      </c>
      <c r="M33" s="426">
        <v>9084338</v>
      </c>
      <c r="N33" s="427">
        <v>9084338</v>
      </c>
      <c r="O33" s="319">
        <v>0</v>
      </c>
      <c r="P33" s="407">
        <f>N33-O33</f>
        <v>9084338</v>
      </c>
      <c r="Q33" s="319"/>
      <c r="R33" s="319"/>
      <c r="S33" s="319"/>
      <c r="T33" s="319"/>
      <c r="U33" s="319"/>
      <c r="V33" s="319"/>
      <c r="W33" s="319"/>
      <c r="X33" s="319"/>
      <c r="Y33" s="319"/>
      <c r="Z33" s="319"/>
      <c r="AA33" s="319"/>
      <c r="AB33" s="319"/>
      <c r="AC33" s="319"/>
      <c r="AD33" s="424"/>
      <c r="AE33" s="424"/>
      <c r="AF33" s="424"/>
      <c r="AG33" s="2"/>
      <c r="AH33" s="2"/>
      <c r="AI33" s="2"/>
      <c r="AJ33" s="2"/>
    </row>
    <row r="34" spans="2:36" x14ac:dyDescent="0.25">
      <c r="B34" s="2"/>
      <c r="C34" s="2"/>
      <c r="D34" s="2"/>
      <c r="J34" s="324" t="s">
        <v>532</v>
      </c>
      <c r="K34" s="426">
        <v>11662680</v>
      </c>
      <c r="L34" s="426">
        <f>K34-M34</f>
        <v>10162680</v>
      </c>
      <c r="M34" s="426">
        <v>1500000</v>
      </c>
      <c r="N34" s="427">
        <v>1500000</v>
      </c>
      <c r="O34" s="319">
        <v>0</v>
      </c>
      <c r="P34" s="407">
        <f t="shared" ref="P34:P51" si="26">N34-O34</f>
        <v>1500000</v>
      </c>
      <c r="Q34" s="319"/>
      <c r="R34" s="319"/>
      <c r="S34" s="319"/>
      <c r="T34" s="319"/>
      <c r="U34" s="319"/>
      <c r="V34" s="319"/>
      <c r="W34" s="319"/>
      <c r="X34" s="319"/>
      <c r="Y34" s="319"/>
      <c r="Z34" s="319"/>
      <c r="AA34" s="319"/>
      <c r="AB34" s="319"/>
      <c r="AC34" s="319"/>
      <c r="AD34" s="2"/>
      <c r="AE34" s="2"/>
      <c r="AF34" s="2"/>
    </row>
    <row r="35" spans="2:36" x14ac:dyDescent="0.25">
      <c r="J35" s="324" t="s">
        <v>533</v>
      </c>
      <c r="K35" s="426">
        <v>1895160</v>
      </c>
      <c r="L35" s="426">
        <v>0</v>
      </c>
      <c r="M35" s="426">
        <v>2036036</v>
      </c>
      <c r="N35" s="427">
        <v>1895160</v>
      </c>
      <c r="O35" s="319">
        <v>0</v>
      </c>
      <c r="P35" s="407">
        <f t="shared" si="26"/>
        <v>1895160</v>
      </c>
      <c r="Q35" s="319"/>
      <c r="R35" s="319"/>
      <c r="S35" s="319"/>
      <c r="T35" s="319"/>
      <c r="U35" s="319"/>
      <c r="V35" s="319"/>
      <c r="W35" s="319"/>
      <c r="X35" s="319"/>
      <c r="Y35" s="319"/>
      <c r="Z35" s="319"/>
      <c r="AA35" s="319"/>
      <c r="AB35" s="319"/>
      <c r="AC35" s="319"/>
    </row>
    <row r="36" spans="2:36" x14ac:dyDescent="0.25">
      <c r="J36" s="324" t="s">
        <v>534</v>
      </c>
      <c r="K36" s="426">
        <v>2121600</v>
      </c>
      <c r="L36" s="426">
        <v>0</v>
      </c>
      <c r="M36" s="426">
        <v>3226566</v>
      </c>
      <c r="N36" s="427">
        <v>2121600</v>
      </c>
      <c r="O36" s="319">
        <v>0</v>
      </c>
      <c r="P36" s="407">
        <f t="shared" si="26"/>
        <v>2121600</v>
      </c>
      <c r="Q36" s="319"/>
      <c r="R36" s="319"/>
      <c r="S36" s="319"/>
      <c r="T36" s="319"/>
      <c r="U36" s="319"/>
      <c r="V36" s="319"/>
      <c r="W36" s="319"/>
      <c r="X36" s="319"/>
      <c r="Y36" s="319"/>
      <c r="Z36" s="319"/>
      <c r="AA36" s="319"/>
      <c r="AB36" s="319"/>
      <c r="AC36" s="319"/>
    </row>
    <row r="37" spans="2:36" x14ac:dyDescent="0.25">
      <c r="J37" s="324" t="s">
        <v>535</v>
      </c>
      <c r="K37" s="426">
        <v>3900000</v>
      </c>
      <c r="L37" s="426">
        <f>K37-M37</f>
        <v>1389096</v>
      </c>
      <c r="M37" s="426">
        <v>2510904</v>
      </c>
      <c r="N37" s="427">
        <v>2510904</v>
      </c>
      <c r="O37" s="319">
        <v>0</v>
      </c>
      <c r="P37" s="407">
        <f t="shared" si="26"/>
        <v>2510904</v>
      </c>
      <c r="Q37" s="319"/>
      <c r="R37" s="319"/>
      <c r="S37" s="319"/>
      <c r="T37" s="319"/>
      <c r="U37" s="319"/>
      <c r="V37" s="319"/>
      <c r="W37" s="319"/>
      <c r="X37" s="319"/>
      <c r="Y37" s="319"/>
      <c r="Z37" s="319"/>
      <c r="AA37" s="319"/>
      <c r="AB37" s="319"/>
      <c r="AC37" s="319"/>
    </row>
    <row r="38" spans="2:36" x14ac:dyDescent="0.25">
      <c r="J38" s="324" t="s">
        <v>536</v>
      </c>
      <c r="K38" s="426">
        <v>3550000</v>
      </c>
      <c r="L38" s="426">
        <f>K38-M38</f>
        <v>652000</v>
      </c>
      <c r="M38" s="426">
        <v>2898000</v>
      </c>
      <c r="N38" s="427">
        <v>2898000</v>
      </c>
      <c r="O38" s="319">
        <v>0</v>
      </c>
      <c r="P38" s="407">
        <f t="shared" si="26"/>
        <v>2898000</v>
      </c>
      <c r="Q38" s="319"/>
      <c r="R38" s="319"/>
      <c r="S38" s="319"/>
      <c r="T38" s="319"/>
      <c r="U38" s="319"/>
      <c r="V38" s="319"/>
      <c r="W38" s="319"/>
      <c r="X38" s="319"/>
      <c r="Y38" s="319"/>
      <c r="Z38" s="319"/>
      <c r="AA38" s="319"/>
      <c r="AB38" s="319"/>
      <c r="AC38" s="319"/>
    </row>
    <row r="39" spans="2:36" x14ac:dyDescent="0.25">
      <c r="J39" s="324" t="s">
        <v>537</v>
      </c>
      <c r="K39" s="426">
        <v>2040000</v>
      </c>
      <c r="L39" s="426">
        <v>0</v>
      </c>
      <c r="M39" s="426">
        <v>2898000</v>
      </c>
      <c r="N39" s="427">
        <v>2040000</v>
      </c>
      <c r="O39" s="319">
        <v>0</v>
      </c>
      <c r="P39" s="407">
        <f t="shared" si="26"/>
        <v>2040000</v>
      </c>
      <c r="Q39" s="319"/>
      <c r="R39" s="319"/>
      <c r="S39" s="319"/>
      <c r="T39" s="319"/>
      <c r="U39" s="319"/>
      <c r="V39" s="319"/>
      <c r="W39" s="319"/>
      <c r="X39" s="319"/>
      <c r="Y39" s="319"/>
      <c r="Z39" s="319"/>
      <c r="AA39" s="319"/>
      <c r="AB39" s="319"/>
      <c r="AC39" s="319"/>
    </row>
    <row r="40" spans="2:36" x14ac:dyDescent="0.25">
      <c r="J40" s="324" t="s">
        <v>538</v>
      </c>
      <c r="K40" s="426">
        <v>4689000</v>
      </c>
      <c r="L40" s="426">
        <v>0</v>
      </c>
      <c r="M40" s="426">
        <v>5404890</v>
      </c>
      <c r="N40" s="427">
        <v>4689000</v>
      </c>
      <c r="O40" s="319">
        <v>0</v>
      </c>
      <c r="P40" s="407">
        <f t="shared" si="26"/>
        <v>4689000</v>
      </c>
      <c r="Q40" s="319"/>
      <c r="R40" s="319"/>
      <c r="S40" s="319"/>
      <c r="T40" s="319"/>
      <c r="U40" s="319"/>
      <c r="V40" s="319"/>
      <c r="W40" s="319"/>
      <c r="X40" s="319"/>
      <c r="Y40" s="319"/>
      <c r="Z40" s="319"/>
      <c r="AA40" s="319"/>
      <c r="AB40" s="319"/>
      <c r="AC40" s="319"/>
    </row>
    <row r="41" spans="2:36" x14ac:dyDescent="0.25">
      <c r="J41" s="324" t="s">
        <v>539</v>
      </c>
      <c r="K41" s="426">
        <v>3852540</v>
      </c>
      <c r="L41" s="426">
        <v>0</v>
      </c>
      <c r="M41" s="426">
        <v>5830611</v>
      </c>
      <c r="N41" s="427">
        <v>3852540</v>
      </c>
      <c r="O41" s="319">
        <v>0</v>
      </c>
      <c r="P41" s="407">
        <f t="shared" si="26"/>
        <v>3852540</v>
      </c>
      <c r="Q41" s="319"/>
      <c r="R41" s="319"/>
      <c r="S41" s="319"/>
      <c r="T41" s="319"/>
      <c r="U41" s="319"/>
      <c r="V41" s="319"/>
      <c r="W41" s="319"/>
      <c r="X41" s="319"/>
      <c r="Y41" s="319"/>
      <c r="Z41" s="319"/>
      <c r="AA41" s="319"/>
      <c r="AB41" s="319"/>
      <c r="AC41" s="319"/>
    </row>
    <row r="42" spans="2:36" x14ac:dyDescent="0.25">
      <c r="J42" s="324" t="s">
        <v>540</v>
      </c>
      <c r="K42" s="426">
        <v>1887000</v>
      </c>
      <c r="L42" s="426">
        <v>0</v>
      </c>
      <c r="M42" s="426">
        <v>6241500</v>
      </c>
      <c r="N42" s="427">
        <v>1887000</v>
      </c>
      <c r="O42" s="319">
        <v>0</v>
      </c>
      <c r="P42" s="407">
        <f t="shared" si="26"/>
        <v>1887000</v>
      </c>
      <c r="Q42" s="319"/>
      <c r="R42" s="319"/>
      <c r="S42" s="319"/>
      <c r="T42" s="319"/>
      <c r="U42" s="319"/>
      <c r="V42" s="319"/>
      <c r="W42" s="319"/>
      <c r="X42" s="319"/>
      <c r="Y42" s="319"/>
      <c r="Z42" s="319"/>
      <c r="AA42" s="319"/>
      <c r="AB42" s="319"/>
      <c r="AC42" s="319"/>
    </row>
    <row r="43" spans="2:36" x14ac:dyDescent="0.25">
      <c r="J43" s="324" t="s">
        <v>541</v>
      </c>
      <c r="K43" s="426">
        <v>2327000</v>
      </c>
      <c r="L43" s="426">
        <v>0</v>
      </c>
      <c r="M43" s="426">
        <v>6083311</v>
      </c>
      <c r="N43" s="427">
        <v>2327000</v>
      </c>
      <c r="O43" s="319">
        <v>0</v>
      </c>
      <c r="P43" s="407">
        <f t="shared" si="26"/>
        <v>2327000</v>
      </c>
      <c r="Q43" s="319"/>
      <c r="R43" s="319"/>
      <c r="S43" s="319"/>
      <c r="T43" s="319"/>
      <c r="U43" s="319"/>
      <c r="V43" s="319"/>
      <c r="W43" s="319"/>
      <c r="X43" s="319"/>
      <c r="Y43" s="319"/>
      <c r="Z43" s="319"/>
      <c r="AA43" s="319"/>
      <c r="AB43" s="319"/>
      <c r="AC43" s="319"/>
    </row>
    <row r="44" spans="2:36" x14ac:dyDescent="0.25">
      <c r="J44" s="324" t="s">
        <v>542</v>
      </c>
      <c r="K44" s="426">
        <v>5000000</v>
      </c>
      <c r="L44" s="426">
        <f>K44-M44</f>
        <v>1696520</v>
      </c>
      <c r="M44" s="426">
        <v>3303480</v>
      </c>
      <c r="N44" s="427">
        <v>4294283</v>
      </c>
      <c r="O44" s="407">
        <f>N44-M44</f>
        <v>990803</v>
      </c>
      <c r="P44" s="407">
        <f t="shared" si="26"/>
        <v>3303480</v>
      </c>
      <c r="Q44" s="319"/>
      <c r="R44" s="319"/>
      <c r="S44" s="319"/>
      <c r="T44" s="319"/>
      <c r="U44" s="319"/>
      <c r="V44" s="319"/>
      <c r="W44" s="319"/>
      <c r="X44" s="319"/>
      <c r="Y44" s="319"/>
      <c r="Z44" s="319"/>
      <c r="AA44" s="319"/>
      <c r="AB44" s="319"/>
      <c r="AC44" s="319"/>
    </row>
    <row r="45" spans="2:36" x14ac:dyDescent="0.25">
      <c r="J45" s="324" t="s">
        <v>543</v>
      </c>
      <c r="K45" s="426">
        <v>1308000</v>
      </c>
      <c r="L45" s="426">
        <v>0</v>
      </c>
      <c r="M45" s="426">
        <v>6430600</v>
      </c>
      <c r="N45" s="427">
        <v>1308000</v>
      </c>
      <c r="O45" s="319">
        <v>0</v>
      </c>
      <c r="P45" s="407">
        <f t="shared" si="26"/>
        <v>1308000</v>
      </c>
      <c r="Q45" s="319"/>
      <c r="R45" s="319"/>
      <c r="S45" s="319"/>
      <c r="T45" s="319"/>
      <c r="U45" s="319"/>
      <c r="V45" s="319"/>
      <c r="W45" s="319"/>
      <c r="X45" s="319"/>
      <c r="Y45" s="319"/>
      <c r="Z45" s="319"/>
      <c r="AA45" s="319"/>
      <c r="AB45" s="319"/>
      <c r="AC45" s="319"/>
    </row>
    <row r="46" spans="2:36" x14ac:dyDescent="0.25">
      <c r="J46" s="324" t="s">
        <v>544</v>
      </c>
      <c r="K46" s="426"/>
      <c r="L46" s="426"/>
      <c r="M46" s="426"/>
      <c r="N46" s="427"/>
      <c r="O46" s="407"/>
      <c r="P46" s="407"/>
      <c r="Q46" s="319"/>
      <c r="R46" s="319"/>
      <c r="S46" s="319"/>
      <c r="T46" s="319"/>
      <c r="U46" s="319"/>
      <c r="V46" s="319"/>
      <c r="W46" s="319"/>
      <c r="X46" s="319"/>
      <c r="Y46" s="319"/>
      <c r="Z46" s="319"/>
      <c r="AA46" s="319"/>
      <c r="AB46" s="319"/>
      <c r="AC46" s="319"/>
    </row>
    <row r="47" spans="2:36" x14ac:dyDescent="0.25">
      <c r="J47" s="324" t="s">
        <v>545</v>
      </c>
      <c r="K47" s="426">
        <v>1548000</v>
      </c>
      <c r="L47" s="426">
        <v>0</v>
      </c>
      <c r="M47" s="426">
        <v>4836890</v>
      </c>
      <c r="N47" s="427">
        <v>1548000</v>
      </c>
      <c r="O47" s="319">
        <v>0</v>
      </c>
      <c r="P47" s="407">
        <f t="shared" si="26"/>
        <v>1548000</v>
      </c>
      <c r="Q47" s="319"/>
      <c r="R47" s="319"/>
      <c r="S47" s="319"/>
      <c r="T47" s="319"/>
      <c r="U47" s="319"/>
      <c r="V47" s="319"/>
      <c r="W47" s="319"/>
      <c r="X47" s="319"/>
      <c r="Y47" s="319"/>
      <c r="Z47" s="319"/>
      <c r="AA47" s="319"/>
      <c r="AB47" s="319"/>
      <c r="AC47" s="319"/>
    </row>
    <row r="48" spans="2:36" x14ac:dyDescent="0.25">
      <c r="J48" s="324" t="s">
        <v>546</v>
      </c>
      <c r="K48" s="426">
        <v>4162000</v>
      </c>
      <c r="L48" s="426">
        <v>0</v>
      </c>
      <c r="M48" s="426">
        <v>4000000</v>
      </c>
      <c r="N48" s="427">
        <v>4162000</v>
      </c>
      <c r="O48" s="407">
        <f>K48-M48</f>
        <v>162000</v>
      </c>
      <c r="P48" s="407">
        <f t="shared" si="26"/>
        <v>4000000</v>
      </c>
      <c r="Q48" s="319"/>
      <c r="R48" s="319"/>
      <c r="S48" s="319"/>
      <c r="T48" s="319"/>
      <c r="U48" s="319"/>
      <c r="V48" s="319"/>
      <c r="W48" s="319"/>
      <c r="X48" s="319"/>
      <c r="Y48" s="319"/>
      <c r="Z48" s="319"/>
      <c r="AA48" s="319"/>
      <c r="AB48" s="319"/>
      <c r="AC48" s="319"/>
    </row>
    <row r="49" spans="10:29" x14ac:dyDescent="0.25">
      <c r="J49" s="324" t="s">
        <v>547</v>
      </c>
      <c r="K49" s="426">
        <v>5380000</v>
      </c>
      <c r="L49" s="426">
        <f>K49-M49</f>
        <v>1048800</v>
      </c>
      <c r="M49" s="426">
        <v>4331200</v>
      </c>
      <c r="N49" s="427">
        <v>4331200</v>
      </c>
      <c r="O49" s="319">
        <v>0</v>
      </c>
      <c r="P49" s="407">
        <f t="shared" si="26"/>
        <v>4331200</v>
      </c>
      <c r="Q49" s="319"/>
      <c r="R49" s="319"/>
      <c r="S49" s="319"/>
      <c r="T49" s="319"/>
      <c r="U49" s="319"/>
      <c r="V49" s="319"/>
      <c r="W49" s="319"/>
      <c r="X49" s="319"/>
      <c r="Y49" s="319"/>
      <c r="Z49" s="319"/>
      <c r="AA49" s="319"/>
      <c r="AB49" s="319"/>
      <c r="AC49" s="319"/>
    </row>
    <row r="50" spans="10:29" x14ac:dyDescent="0.25">
      <c r="J50" s="324" t="s">
        <v>548</v>
      </c>
      <c r="K50" s="426">
        <v>2989620</v>
      </c>
      <c r="L50" s="426">
        <f>K50-M50</f>
        <v>1789620</v>
      </c>
      <c r="M50" s="426">
        <v>1200000</v>
      </c>
      <c r="N50" s="427">
        <v>1200000</v>
      </c>
      <c r="O50" s="319">
        <v>0</v>
      </c>
      <c r="P50" s="407">
        <f t="shared" si="26"/>
        <v>1200000</v>
      </c>
      <c r="Q50" s="319"/>
      <c r="R50" s="319"/>
      <c r="S50" s="319"/>
      <c r="T50" s="319"/>
      <c r="U50" s="319"/>
      <c r="V50" s="319"/>
      <c r="W50" s="319"/>
      <c r="X50" s="319"/>
      <c r="Y50" s="319"/>
      <c r="Z50" s="319"/>
      <c r="AA50" s="319"/>
      <c r="AB50" s="319"/>
      <c r="AC50" s="319"/>
    </row>
    <row r="51" spans="10:29" x14ac:dyDescent="0.25">
      <c r="J51" s="324" t="s">
        <v>652</v>
      </c>
      <c r="K51" s="426">
        <v>9028110</v>
      </c>
      <c r="L51" s="426">
        <v>0</v>
      </c>
      <c r="M51" s="426">
        <v>9028110</v>
      </c>
      <c r="N51" s="427">
        <v>9028110</v>
      </c>
      <c r="O51" s="319">
        <v>0</v>
      </c>
      <c r="P51" s="319">
        <f t="shared" si="26"/>
        <v>9028110</v>
      </c>
      <c r="Q51" s="319"/>
      <c r="R51" s="319"/>
      <c r="S51" s="319"/>
      <c r="T51" s="319"/>
      <c r="U51" s="319"/>
      <c r="V51" s="319"/>
      <c r="W51" s="319"/>
      <c r="X51" s="319"/>
      <c r="Y51" s="319"/>
      <c r="Z51" s="319"/>
      <c r="AA51" s="319"/>
      <c r="AB51" s="319"/>
      <c r="AC51" s="319"/>
    </row>
    <row r="52" spans="10:29" x14ac:dyDescent="0.25">
      <c r="J52" s="324"/>
      <c r="K52" s="426"/>
      <c r="L52" s="426"/>
      <c r="M52" s="426"/>
      <c r="N52" s="427"/>
      <c r="O52" s="319"/>
      <c r="P52" s="319"/>
      <c r="Q52" s="319"/>
      <c r="R52" s="319"/>
      <c r="S52" s="319"/>
      <c r="T52" s="319"/>
      <c r="U52" s="319"/>
      <c r="V52" s="319"/>
      <c r="W52" s="319"/>
      <c r="X52" s="319"/>
      <c r="Y52" s="319"/>
      <c r="Z52" s="319"/>
      <c r="AA52" s="319"/>
      <c r="AB52" s="319"/>
      <c r="AC52" s="319"/>
    </row>
    <row r="53" spans="10:29" x14ac:dyDescent="0.25">
      <c r="J53" s="324"/>
      <c r="K53" s="426"/>
      <c r="L53" s="426"/>
      <c r="M53" s="426"/>
      <c r="N53" s="427"/>
      <c r="O53" s="319"/>
      <c r="P53" s="319"/>
      <c r="Q53" s="319"/>
      <c r="R53" s="319"/>
      <c r="S53" s="319"/>
      <c r="T53" s="319"/>
      <c r="U53" s="319"/>
      <c r="V53" s="319"/>
      <c r="W53" s="319"/>
      <c r="X53" s="319"/>
      <c r="Y53" s="319"/>
      <c r="Z53" s="319"/>
      <c r="AA53" s="319"/>
      <c r="AB53" s="319"/>
      <c r="AC53" s="319"/>
    </row>
    <row r="54" spans="10:29" x14ac:dyDescent="0.25">
      <c r="J54" s="324"/>
      <c r="K54" s="426"/>
      <c r="L54" s="426"/>
      <c r="M54" s="426"/>
      <c r="N54" s="427"/>
      <c r="O54" s="319"/>
      <c r="P54" s="319"/>
      <c r="Q54" s="319"/>
      <c r="R54" s="319"/>
      <c r="S54" s="319"/>
      <c r="T54" s="319"/>
      <c r="U54" s="319"/>
      <c r="V54" s="319"/>
      <c r="W54" s="319"/>
      <c r="X54" s="319"/>
      <c r="Y54" s="319"/>
      <c r="Z54" s="319"/>
      <c r="AA54" s="319"/>
      <c r="AB54" s="319"/>
      <c r="AC54" s="319"/>
    </row>
    <row r="55" spans="10:29" x14ac:dyDescent="0.25">
      <c r="J55" s="324"/>
      <c r="K55" s="426"/>
      <c r="L55" s="426"/>
      <c r="M55" s="426"/>
      <c r="N55" s="427"/>
      <c r="O55" s="319"/>
      <c r="P55" s="319"/>
      <c r="Q55" s="319"/>
      <c r="R55" s="319"/>
      <c r="S55" s="319"/>
      <c r="T55" s="319"/>
      <c r="U55" s="319"/>
      <c r="V55" s="319"/>
      <c r="W55" s="319"/>
      <c r="X55" s="319"/>
      <c r="Y55" s="319"/>
      <c r="Z55" s="319"/>
      <c r="AA55" s="319"/>
      <c r="AB55" s="319"/>
      <c r="AC55" s="319"/>
    </row>
    <row r="56" spans="10:29" x14ac:dyDescent="0.25">
      <c r="J56" s="324"/>
      <c r="K56" s="319"/>
      <c r="L56" s="324"/>
      <c r="M56" s="319"/>
      <c r="N56" s="319"/>
      <c r="O56" s="319"/>
      <c r="P56" s="319"/>
      <c r="Q56" s="319"/>
      <c r="R56" s="319"/>
      <c r="S56" s="319"/>
      <c r="T56" s="319"/>
      <c r="U56" s="319"/>
      <c r="V56" s="319"/>
      <c r="W56" s="319"/>
      <c r="X56" s="319"/>
      <c r="Y56" s="319"/>
      <c r="Z56" s="319"/>
      <c r="AA56" s="319"/>
      <c r="AB56" s="319"/>
      <c r="AC56" s="319"/>
    </row>
  </sheetData>
  <mergeCells count="2">
    <mergeCell ref="J11:J13"/>
    <mergeCell ref="J21:J23"/>
  </mergeCells>
  <conditionalFormatting sqref="AE4:AE6 AE9 AI9 AI4:AI5 AI15:AI27 AE26:AE31">
    <cfRule type="cellIs" dxfId="95" priority="33" operator="greaterThan">
      <formula>0</formula>
    </cfRule>
    <cfRule type="cellIs" dxfId="94" priority="34" operator="lessThan">
      <formula>0</formula>
    </cfRule>
  </conditionalFormatting>
  <conditionalFormatting sqref="AE20:AE24 AE12 AE14">
    <cfRule type="cellIs" dxfId="93" priority="31" operator="greaterThan">
      <formula>0</formula>
    </cfRule>
    <cfRule type="cellIs" dxfId="92" priority="32" operator="lessThan">
      <formula>0</formula>
    </cfRule>
  </conditionalFormatting>
  <conditionalFormatting sqref="AE16">
    <cfRule type="cellIs" dxfId="91" priority="29" operator="greaterThan">
      <formula>0</formula>
    </cfRule>
    <cfRule type="cellIs" dxfId="90" priority="30" operator="lessThan">
      <formula>0</formula>
    </cfRule>
  </conditionalFormatting>
  <conditionalFormatting sqref="AI8">
    <cfRule type="cellIs" dxfId="89" priority="27" operator="greaterThan">
      <formula>0</formula>
    </cfRule>
    <cfRule type="cellIs" dxfId="88" priority="28" operator="lessThan">
      <formula>0</formula>
    </cfRule>
  </conditionalFormatting>
  <conditionalFormatting sqref="C4:C5 G16:G27 C28:C31">
    <cfRule type="cellIs" dxfId="87" priority="25" operator="greaterThan">
      <formula>0</formula>
    </cfRule>
    <cfRule type="cellIs" dxfId="86" priority="26" operator="lessThan">
      <formula>0</formula>
    </cfRule>
  </conditionalFormatting>
  <conditionalFormatting sqref="C12">
    <cfRule type="cellIs" dxfId="85" priority="11" operator="greaterThan">
      <formula>0</formula>
    </cfRule>
    <cfRule type="cellIs" dxfId="84" priority="12" operator="lessThan">
      <formula>0</formula>
    </cfRule>
  </conditionalFormatting>
  <conditionalFormatting sqref="C6 C9">
    <cfRule type="cellIs" dxfId="83" priority="17" operator="greaterThan">
      <formula>0</formula>
    </cfRule>
    <cfRule type="cellIs" dxfId="82" priority="18" operator="lessThan">
      <formula>0</formula>
    </cfRule>
  </conditionalFormatting>
  <conditionalFormatting sqref="C14">
    <cfRule type="cellIs" dxfId="81" priority="15" operator="greaterThan">
      <formula>0</formula>
    </cfRule>
    <cfRule type="cellIs" dxfId="80" priority="16" operator="lessThan">
      <formula>0</formula>
    </cfRule>
  </conditionalFormatting>
  <conditionalFormatting sqref="C26">
    <cfRule type="cellIs" dxfId="79" priority="1" operator="greaterThan">
      <formula>0</formula>
    </cfRule>
    <cfRule type="cellIs" dxfId="78" priority="2" operator="lessThan">
      <formula>0</formula>
    </cfRule>
  </conditionalFormatting>
  <conditionalFormatting sqref="C16:C24">
    <cfRule type="cellIs" dxfId="77" priority="9" operator="greaterThan">
      <formula>0</formula>
    </cfRule>
    <cfRule type="cellIs" dxfId="76" priority="10" operator="lessThan">
      <formula>0</formula>
    </cfRule>
  </conditionalFormatting>
  <conditionalFormatting sqref="G4:G5">
    <cfRule type="cellIs" dxfId="75" priority="7" operator="greaterThan">
      <formula>0</formula>
    </cfRule>
    <cfRule type="cellIs" dxfId="74" priority="8" operator="lessThan">
      <formula>0</formula>
    </cfRule>
  </conditionalFormatting>
  <conditionalFormatting sqref="G8">
    <cfRule type="cellIs" dxfId="73" priority="5" operator="greaterThan">
      <formula>0</formula>
    </cfRule>
    <cfRule type="cellIs" dxfId="72" priority="6" operator="lessThan">
      <formula>0</formula>
    </cfRule>
  </conditionalFormatting>
  <conditionalFormatting sqref="G9">
    <cfRule type="cellIs" dxfId="71" priority="3" operator="greaterThan">
      <formula>0</formula>
    </cfRule>
    <cfRule type="cellIs" dxfId="70" priority="4" operator="lessThan">
      <formula>0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6DD9A-CEDF-4B9A-9503-B3F149D618F4}">
  <sheetPr>
    <tabColor rgb="FFFF0000"/>
  </sheetPr>
  <dimension ref="A2:AB15"/>
  <sheetViews>
    <sheetView zoomScale="130" zoomScaleNormal="130" workbookViewId="0">
      <selection activeCell="K2" sqref="K2"/>
    </sheetView>
  </sheetViews>
  <sheetFormatPr baseColWidth="10" defaultRowHeight="15" x14ac:dyDescent="0.25"/>
  <cols>
    <col min="1" max="1" width="5.140625" bestFit="1" customWidth="1"/>
    <col min="2" max="2" width="6.5703125" bestFit="1" customWidth="1"/>
    <col min="3" max="3" width="15.140625" bestFit="1" customWidth="1"/>
    <col min="4" max="4" width="4.5703125" bestFit="1" customWidth="1"/>
    <col min="5" max="5" width="5.5703125" bestFit="1" customWidth="1"/>
    <col min="6" max="6" width="5" bestFit="1" customWidth="1"/>
    <col min="7" max="9" width="4.5703125" bestFit="1" customWidth="1"/>
    <col min="10" max="12" width="3.5703125" bestFit="1" customWidth="1"/>
    <col min="13" max="13" width="4.5703125" bestFit="1" customWidth="1"/>
    <col min="14" max="14" width="7.5703125" bestFit="1" customWidth="1"/>
    <col min="15" max="15" width="7.140625" customWidth="1"/>
    <col min="16" max="16" width="5.5703125" bestFit="1" customWidth="1"/>
    <col min="17" max="17" width="5" bestFit="1" customWidth="1"/>
    <col min="18" max="20" width="4.5703125" bestFit="1" customWidth="1"/>
    <col min="21" max="23" width="3.5703125" bestFit="1" customWidth="1"/>
    <col min="24" max="24" width="4.5703125" bestFit="1" customWidth="1"/>
    <col min="25" max="25" width="7.5703125" bestFit="1" customWidth="1"/>
    <col min="27" max="27" width="9.140625" bestFit="1" customWidth="1"/>
    <col min="28" max="28" width="3.7109375" bestFit="1" customWidth="1"/>
  </cols>
  <sheetData>
    <row r="2" spans="1:28" x14ac:dyDescent="0.25">
      <c r="B2" s="314"/>
      <c r="N2" s="49">
        <f>SUM(N4:N14)</f>
        <v>254882</v>
      </c>
      <c r="Y2" s="49">
        <f>SUM(Y4:Y14)</f>
        <v>254882</v>
      </c>
    </row>
    <row r="3" spans="1:28" x14ac:dyDescent="0.25">
      <c r="A3" s="81" t="s">
        <v>185</v>
      </c>
      <c r="B3" s="79" t="s">
        <v>83</v>
      </c>
      <c r="C3" s="79" t="s">
        <v>186</v>
      </c>
      <c r="D3" s="79" t="s">
        <v>187</v>
      </c>
      <c r="E3" s="79" t="s">
        <v>188</v>
      </c>
      <c r="F3" s="79" t="s">
        <v>86</v>
      </c>
      <c r="G3" s="79" t="s">
        <v>104</v>
      </c>
      <c r="H3" s="79" t="s">
        <v>105</v>
      </c>
      <c r="I3" s="79" t="s">
        <v>106</v>
      </c>
      <c r="J3" s="79" t="s">
        <v>107</v>
      </c>
      <c r="K3" s="79" t="s">
        <v>108</v>
      </c>
      <c r="L3" s="79" t="s">
        <v>109</v>
      </c>
      <c r="M3" s="79" t="s">
        <v>87</v>
      </c>
      <c r="N3" s="79" t="s">
        <v>189</v>
      </c>
      <c r="P3" s="79" t="s">
        <v>188</v>
      </c>
      <c r="Q3" s="79" t="s">
        <v>86</v>
      </c>
      <c r="R3" s="79" t="s">
        <v>104</v>
      </c>
      <c r="S3" s="79" t="s">
        <v>105</v>
      </c>
      <c r="T3" s="79" t="s">
        <v>106</v>
      </c>
      <c r="U3" s="79" t="s">
        <v>107</v>
      </c>
      <c r="V3" s="79" t="s">
        <v>108</v>
      </c>
      <c r="W3" s="79" t="s">
        <v>109</v>
      </c>
      <c r="X3" s="79" t="s">
        <v>87</v>
      </c>
      <c r="Y3" s="79" t="s">
        <v>189</v>
      </c>
      <c r="AA3" s="314" t="s">
        <v>190</v>
      </c>
      <c r="AB3">
        <v>0</v>
      </c>
    </row>
    <row r="4" spans="1:28" x14ac:dyDescent="0.25">
      <c r="A4" s="317" t="str">
        <f>PLANTILLA!A5</f>
        <v>#1</v>
      </c>
      <c r="B4" s="69" t="s">
        <v>14</v>
      </c>
      <c r="C4" s="226" t="str">
        <f>PLANTILLA!D5</f>
        <v>L. Guangwei</v>
      </c>
      <c r="D4" s="70" t="str">
        <f>PLANTILLA!G5</f>
        <v>IMP</v>
      </c>
      <c r="E4" s="70">
        <f>PLANTILLA!E5</f>
        <v>26</v>
      </c>
      <c r="F4" s="138">
        <f ca="1">PLANTILLA!F5</f>
        <v>35</v>
      </c>
      <c r="G4" s="85">
        <f>PLANTILLA!X5</f>
        <v>15</v>
      </c>
      <c r="H4" s="85">
        <f>PLANTILLA!Y5</f>
        <v>6.6</v>
      </c>
      <c r="I4" s="85">
        <f>PLANTILLA!Z5</f>
        <v>3</v>
      </c>
      <c r="J4" s="85">
        <f>PLANTILLA!AA5</f>
        <v>1</v>
      </c>
      <c r="K4" s="85">
        <f>PLANTILLA!AB5</f>
        <v>5</v>
      </c>
      <c r="L4" s="85">
        <f>PLANTILLA!AC5</f>
        <v>5</v>
      </c>
      <c r="M4" s="85">
        <f>PLANTILLA!AD5</f>
        <v>21.5</v>
      </c>
      <c r="N4" s="95">
        <f>PLANTILLA!V5</f>
        <v>30996</v>
      </c>
      <c r="P4" s="70">
        <f>E4</f>
        <v>26</v>
      </c>
      <c r="Q4" s="138">
        <f ca="1">F4+$AB$7*7</f>
        <v>84</v>
      </c>
      <c r="R4" s="85">
        <f>G4</f>
        <v>15</v>
      </c>
      <c r="S4" s="85">
        <f t="shared" ref="S4:X4" si="0">H4</f>
        <v>6.6</v>
      </c>
      <c r="T4" s="85">
        <f t="shared" si="0"/>
        <v>3</v>
      </c>
      <c r="U4" s="85">
        <f t="shared" si="0"/>
        <v>1</v>
      </c>
      <c r="V4" s="85">
        <f t="shared" si="0"/>
        <v>5</v>
      </c>
      <c r="W4" s="85">
        <f t="shared" si="0"/>
        <v>5</v>
      </c>
      <c r="X4" s="85">
        <f t="shared" si="0"/>
        <v>21.5</v>
      </c>
      <c r="Y4" s="95">
        <f>N4</f>
        <v>30996</v>
      </c>
      <c r="AA4" s="314" t="s">
        <v>191</v>
      </c>
      <c r="AB4">
        <v>7</v>
      </c>
    </row>
    <row r="5" spans="1:28" x14ac:dyDescent="0.25">
      <c r="A5" s="317" t="e">
        <f>PLANTILLA!#REF!</f>
        <v>#REF!</v>
      </c>
      <c r="B5" s="69" t="s">
        <v>37</v>
      </c>
      <c r="C5" s="226" t="str">
        <f>PLANTILLA!D8</f>
        <v>S. Swärdborn</v>
      </c>
      <c r="D5" s="70" t="str">
        <f>PLANTILLA!G8</f>
        <v>IMP</v>
      </c>
      <c r="E5" s="70">
        <f>PLANTILLA!E8</f>
        <v>25</v>
      </c>
      <c r="F5" s="138">
        <f ca="1">PLANTILLA!F8</f>
        <v>64</v>
      </c>
      <c r="G5" s="85">
        <f>PLANTILLA!X8</f>
        <v>0</v>
      </c>
      <c r="H5" s="85">
        <f>PLANTILLA!Y8</f>
        <v>13.23076923076923</v>
      </c>
      <c r="I5" s="85">
        <f>PLANTILLA!Z8</f>
        <v>9.3333333333333339</v>
      </c>
      <c r="J5" s="85">
        <f>PLANTILLA!AA8</f>
        <v>1</v>
      </c>
      <c r="K5" s="85">
        <f>PLANTILLA!AB8</f>
        <v>3</v>
      </c>
      <c r="L5" s="85">
        <f>PLANTILLA!AC8</f>
        <v>7.25</v>
      </c>
      <c r="M5" s="85">
        <f>PLANTILLA!AD8</f>
        <v>18.25</v>
      </c>
      <c r="N5" s="95">
        <f>PLANTILLA!V8</f>
        <v>15828</v>
      </c>
      <c r="P5" s="70">
        <f t="shared" ref="P5:P14" si="1">E5</f>
        <v>25</v>
      </c>
      <c r="Q5" s="138">
        <f t="shared" ref="Q5:Q14" ca="1" si="2">F5+$AB$7*7</f>
        <v>113</v>
      </c>
      <c r="R5" s="85">
        <f t="shared" ref="R5:R15" si="3">G5</f>
        <v>0</v>
      </c>
      <c r="S5" s="85">
        <f t="shared" ref="S5:S15" si="4">H5</f>
        <v>13.23076923076923</v>
      </c>
      <c r="T5" s="85">
        <f t="shared" ref="T5:T9" si="5">I5</f>
        <v>9.3333333333333339</v>
      </c>
      <c r="U5" s="85">
        <f t="shared" ref="U5:U15" si="6">J5</f>
        <v>1</v>
      </c>
      <c r="V5" s="85">
        <f t="shared" ref="V5:V15" si="7">K5</f>
        <v>3</v>
      </c>
      <c r="W5" s="85">
        <f t="shared" ref="W5:W15" si="8">L5</f>
        <v>7.25</v>
      </c>
      <c r="X5" s="85">
        <f t="shared" ref="X5:X15" si="9">M5</f>
        <v>18.25</v>
      </c>
      <c r="Y5" s="95">
        <f t="shared" ref="Y5:Y15" si="10">N5</f>
        <v>15828</v>
      </c>
      <c r="AA5" s="314" t="s">
        <v>172</v>
      </c>
      <c r="AB5">
        <v>0</v>
      </c>
    </row>
    <row r="6" spans="1:28" x14ac:dyDescent="0.25">
      <c r="A6" s="317" t="str">
        <f>PLANTILLA!A11</f>
        <v>#17</v>
      </c>
      <c r="B6" s="69" t="s">
        <v>37</v>
      </c>
      <c r="C6" s="226" t="str">
        <f>PLANTILLA!D9</f>
        <v>A. Grimaud</v>
      </c>
      <c r="D6" s="70" t="str">
        <f>PLANTILLA!G9</f>
        <v>RAP</v>
      </c>
      <c r="E6" s="70">
        <f>PLANTILLA!E9</f>
        <v>25</v>
      </c>
      <c r="F6" s="138">
        <f ca="1">PLANTILLA!F9</f>
        <v>87</v>
      </c>
      <c r="G6" s="85">
        <f>PLANTILLA!X9</f>
        <v>0</v>
      </c>
      <c r="H6" s="85">
        <f>PLANTILLA!Y9</f>
        <v>13.23076923076923</v>
      </c>
      <c r="I6" s="85">
        <f>PLANTILLA!Z9</f>
        <v>9.5</v>
      </c>
      <c r="J6" s="85">
        <f>PLANTILLA!AA9</f>
        <v>3</v>
      </c>
      <c r="K6" s="85">
        <f>PLANTILLA!AB9</f>
        <v>3</v>
      </c>
      <c r="L6" s="85">
        <f>PLANTILLA!AC9</f>
        <v>6.125</v>
      </c>
      <c r="M6" s="85">
        <f>PLANTILLA!AD9</f>
        <v>17.75</v>
      </c>
      <c r="N6" s="95">
        <f>PLANTILLA!V9</f>
        <v>15156</v>
      </c>
      <c r="P6" s="70">
        <v>23</v>
      </c>
      <c r="Q6" s="138">
        <f ca="1">F6+$AB$7*7-112</f>
        <v>24</v>
      </c>
      <c r="R6" s="85">
        <f t="shared" si="3"/>
        <v>0</v>
      </c>
      <c r="S6" s="85">
        <f t="shared" si="4"/>
        <v>13.23076923076923</v>
      </c>
      <c r="T6" s="85">
        <f t="shared" si="5"/>
        <v>9.5</v>
      </c>
      <c r="U6" s="85">
        <f t="shared" si="6"/>
        <v>3</v>
      </c>
      <c r="V6" s="85">
        <f t="shared" si="7"/>
        <v>3</v>
      </c>
      <c r="W6" s="85">
        <f t="shared" si="8"/>
        <v>6.125</v>
      </c>
      <c r="X6" s="85">
        <f t="shared" si="9"/>
        <v>17.75</v>
      </c>
      <c r="Y6" s="95">
        <f t="shared" si="10"/>
        <v>15156</v>
      </c>
      <c r="AA6" s="314" t="s">
        <v>171</v>
      </c>
      <c r="AB6">
        <v>0</v>
      </c>
    </row>
    <row r="7" spans="1:28" x14ac:dyDescent="0.25">
      <c r="A7" s="317" t="e">
        <f>PLANTILLA!#REF!</f>
        <v>#REF!</v>
      </c>
      <c r="B7" s="69" t="s">
        <v>37</v>
      </c>
      <c r="C7" s="226" t="str">
        <f>PLANTILLA!D6</f>
        <v>V. Gardner</v>
      </c>
      <c r="D7" s="70">
        <f>PLANTILLA!G6</f>
        <v>0</v>
      </c>
      <c r="E7" s="70">
        <f>PLANTILLA!E6</f>
        <v>25</v>
      </c>
      <c r="F7" s="138">
        <f ca="1">PLANTILLA!F6</f>
        <v>76</v>
      </c>
      <c r="G7" s="85">
        <f>PLANTILLA!X6</f>
        <v>0</v>
      </c>
      <c r="H7" s="85">
        <f>PLANTILLA!Y6</f>
        <v>13.583333333333334</v>
      </c>
      <c r="I7" s="85">
        <f>PLANTILLA!Z6</f>
        <v>7.8</v>
      </c>
      <c r="J7" s="85">
        <f>PLANTILLA!AA6</f>
        <v>3</v>
      </c>
      <c r="K7" s="85">
        <f>PLANTILLA!AB6</f>
        <v>5</v>
      </c>
      <c r="L7" s="85">
        <f>PLANTILLA!AC6</f>
        <v>7.166666666666667</v>
      </c>
      <c r="M7" s="85">
        <f>PLANTILLA!AD6</f>
        <v>18.75</v>
      </c>
      <c r="N7" s="95">
        <f>PLANTILLA!V6</f>
        <v>14610</v>
      </c>
      <c r="P7" s="70">
        <v>23</v>
      </c>
      <c r="Q7" s="138">
        <f ca="1">F7+$AB$7*7-112</f>
        <v>13</v>
      </c>
      <c r="R7" s="85">
        <f t="shared" si="3"/>
        <v>0</v>
      </c>
      <c r="S7" s="85">
        <f t="shared" si="4"/>
        <v>13.583333333333334</v>
      </c>
      <c r="T7" s="85">
        <f t="shared" si="5"/>
        <v>7.8</v>
      </c>
      <c r="U7" s="85">
        <f t="shared" si="6"/>
        <v>3</v>
      </c>
      <c r="V7" s="85">
        <f t="shared" si="7"/>
        <v>5</v>
      </c>
      <c r="W7" s="85">
        <f t="shared" si="8"/>
        <v>7.166666666666667</v>
      </c>
      <c r="X7" s="85">
        <f t="shared" si="9"/>
        <v>18.75</v>
      </c>
      <c r="Y7" s="95">
        <f t="shared" si="10"/>
        <v>14610</v>
      </c>
      <c r="AA7" s="314" t="s">
        <v>192</v>
      </c>
      <c r="AB7">
        <f>AB5+AB4+AB3+AB6</f>
        <v>7</v>
      </c>
    </row>
    <row r="8" spans="1:28" x14ac:dyDescent="0.25">
      <c r="A8" s="317" t="str">
        <f>PLANTILLA!A8</f>
        <v>#2</v>
      </c>
      <c r="B8" s="69" t="s">
        <v>37</v>
      </c>
      <c r="C8" s="226" t="str">
        <f>PLANTILLA!D7</f>
        <v>S. Embe</v>
      </c>
      <c r="D8" s="70">
        <f>PLANTILLA!G7</f>
        <v>0</v>
      </c>
      <c r="E8" s="70">
        <f>PLANTILLA!E7</f>
        <v>26</v>
      </c>
      <c r="F8" s="138">
        <f ca="1">PLANTILLA!F7</f>
        <v>20</v>
      </c>
      <c r="G8" s="85">
        <f>PLANTILLA!X7</f>
        <v>0</v>
      </c>
      <c r="H8" s="85">
        <f>PLANTILLA!Y7</f>
        <v>12.416666666666666</v>
      </c>
      <c r="I8" s="85">
        <f>PLANTILLA!Z7</f>
        <v>6.2</v>
      </c>
      <c r="J8" s="85">
        <f>PLANTILLA!AA7</f>
        <v>1</v>
      </c>
      <c r="K8" s="85">
        <f>PLANTILLA!AB7</f>
        <v>5</v>
      </c>
      <c r="L8" s="85">
        <f>PLANTILLA!AC7</f>
        <v>7</v>
      </c>
      <c r="M8" s="85">
        <f>PLANTILLA!AD7</f>
        <v>19.8</v>
      </c>
      <c r="N8" s="95">
        <f>PLANTILLA!V7</f>
        <v>11292</v>
      </c>
      <c r="P8" s="70">
        <f t="shared" si="1"/>
        <v>26</v>
      </c>
      <c r="Q8" s="138">
        <f t="shared" ca="1" si="2"/>
        <v>69</v>
      </c>
      <c r="R8" s="85">
        <f t="shared" si="3"/>
        <v>0</v>
      </c>
      <c r="S8" s="85">
        <f t="shared" si="4"/>
        <v>12.416666666666666</v>
      </c>
      <c r="T8" s="85">
        <f t="shared" si="5"/>
        <v>6.2</v>
      </c>
      <c r="U8" s="85">
        <f t="shared" si="6"/>
        <v>1</v>
      </c>
      <c r="V8" s="85">
        <f t="shared" si="7"/>
        <v>5</v>
      </c>
      <c r="W8" s="85">
        <f t="shared" si="8"/>
        <v>7</v>
      </c>
      <c r="X8" s="85">
        <f t="shared" si="9"/>
        <v>19.8</v>
      </c>
      <c r="Y8" s="95">
        <f t="shared" si="10"/>
        <v>11292</v>
      </c>
      <c r="AA8" s="314" t="s">
        <v>193</v>
      </c>
      <c r="AB8" s="71">
        <f>AB7/16</f>
        <v>0.4375</v>
      </c>
    </row>
    <row r="9" spans="1:28" x14ac:dyDescent="0.25">
      <c r="A9" s="317" t="str">
        <f>PLANTILLA!A9</f>
        <v>#19</v>
      </c>
      <c r="B9" s="69" t="s">
        <v>37</v>
      </c>
      <c r="C9" s="226" t="str">
        <f>PLANTILLA!D10</f>
        <v>E. Deus</v>
      </c>
      <c r="D9" s="70" t="str">
        <f>PLANTILLA!G10</f>
        <v>IMP</v>
      </c>
      <c r="E9" s="70">
        <f>PLANTILLA!E10</f>
        <v>25</v>
      </c>
      <c r="F9" s="138">
        <f ca="1">PLANTILLA!F10</f>
        <v>3</v>
      </c>
      <c r="G9" s="85">
        <f>PLANTILLA!X10</f>
        <v>0</v>
      </c>
      <c r="H9" s="85">
        <f>PLANTILLA!Y10</f>
        <v>12.333333333333334</v>
      </c>
      <c r="I9" s="85">
        <f>PLANTILLA!Z10</f>
        <v>8.8000000000000007</v>
      </c>
      <c r="J9" s="85">
        <f>PLANTILLA!AA10</f>
        <v>1</v>
      </c>
      <c r="K9" s="85">
        <f>PLANTILLA!AB10</f>
        <v>6</v>
      </c>
      <c r="L9" s="85">
        <f>PLANTILLA!AC10</f>
        <v>6</v>
      </c>
      <c r="M9" s="85">
        <f>PLANTILLA!AD10</f>
        <v>18.5</v>
      </c>
      <c r="N9" s="95">
        <f>PLANTILLA!V10</f>
        <v>11292</v>
      </c>
      <c r="P9" s="70">
        <v>22</v>
      </c>
      <c r="Q9" s="138">
        <f ca="1">F9+$AB$7*7-112</f>
        <v>-60</v>
      </c>
      <c r="R9" s="85">
        <f t="shared" si="3"/>
        <v>0</v>
      </c>
      <c r="S9" s="85">
        <f t="shared" si="4"/>
        <v>12.333333333333334</v>
      </c>
      <c r="T9" s="85">
        <f t="shared" si="5"/>
        <v>8.8000000000000007</v>
      </c>
      <c r="U9" s="85">
        <f t="shared" si="6"/>
        <v>1</v>
      </c>
      <c r="V9" s="85">
        <f t="shared" si="7"/>
        <v>6</v>
      </c>
      <c r="W9" s="85">
        <f t="shared" si="8"/>
        <v>6</v>
      </c>
      <c r="X9" s="85">
        <f t="shared" si="9"/>
        <v>18.5</v>
      </c>
      <c r="Y9" s="95">
        <f t="shared" si="10"/>
        <v>11292</v>
      </c>
    </row>
    <row r="10" spans="1:28" x14ac:dyDescent="0.25">
      <c r="A10" s="317" t="str">
        <f>PLANTILLA!A6</f>
        <v>#22</v>
      </c>
      <c r="B10" s="69" t="s">
        <v>195</v>
      </c>
      <c r="C10" s="226" t="str">
        <f>PLANTILLA!D17</f>
        <v>I. Vanags</v>
      </c>
      <c r="D10" s="70" t="str">
        <f>PLANTILLA!G17</f>
        <v>CAB</v>
      </c>
      <c r="E10" s="70">
        <f>PLANTILLA!E17</f>
        <v>25</v>
      </c>
      <c r="F10" s="138">
        <f ca="1">PLANTILLA!F17</f>
        <v>63</v>
      </c>
      <c r="G10" s="85">
        <f>PLANTILLA!X17</f>
        <v>0</v>
      </c>
      <c r="H10" s="85">
        <f>PLANTILLA!Y17</f>
        <v>7.166666666666667</v>
      </c>
      <c r="I10" s="85">
        <f>PLANTILLA!Z17</f>
        <v>14.692307692307692</v>
      </c>
      <c r="J10" s="85">
        <f>PLANTILLA!AA17</f>
        <v>3</v>
      </c>
      <c r="K10" s="85">
        <f>PLANTILLA!AB17</f>
        <v>4</v>
      </c>
      <c r="L10" s="85">
        <f>PLANTILLA!AC17</f>
        <v>7.6818181818181817</v>
      </c>
      <c r="M10" s="85">
        <f>PLANTILLA!AD17</f>
        <v>19</v>
      </c>
      <c r="N10" s="95">
        <f>PLANTILLA!V17</f>
        <v>34284</v>
      </c>
      <c r="P10" s="70">
        <f t="shared" si="1"/>
        <v>25</v>
      </c>
      <c r="Q10" s="138">
        <f t="shared" ca="1" si="2"/>
        <v>112</v>
      </c>
      <c r="R10" s="85">
        <f t="shared" si="3"/>
        <v>0</v>
      </c>
      <c r="S10" s="85">
        <f t="shared" si="4"/>
        <v>7.166666666666667</v>
      </c>
      <c r="T10" s="85">
        <f>I10+$AB$4/9</f>
        <v>15.47008547008547</v>
      </c>
      <c r="U10" s="85">
        <f t="shared" si="6"/>
        <v>3</v>
      </c>
      <c r="V10" s="85">
        <f t="shared" si="7"/>
        <v>4</v>
      </c>
      <c r="W10" s="85">
        <f t="shared" si="8"/>
        <v>7.6818181818181817</v>
      </c>
      <c r="X10" s="85">
        <f t="shared" si="9"/>
        <v>19</v>
      </c>
      <c r="Y10" s="95">
        <f t="shared" si="10"/>
        <v>34284</v>
      </c>
    </row>
    <row r="11" spans="1:28" x14ac:dyDescent="0.25">
      <c r="A11" s="317" t="str">
        <f>PLANTILLA!A7</f>
        <v>#3</v>
      </c>
      <c r="B11" s="69" t="s">
        <v>195</v>
      </c>
      <c r="C11" s="226" t="str">
        <f>PLANTILLA!D18</f>
        <v>I. Stone</v>
      </c>
      <c r="D11" s="70" t="str">
        <f>PLANTILLA!G18</f>
        <v>RAP</v>
      </c>
      <c r="E11" s="70">
        <f>PLANTILLA!E18</f>
        <v>25</v>
      </c>
      <c r="F11" s="138">
        <f ca="1">PLANTILLA!F18</f>
        <v>6</v>
      </c>
      <c r="G11" s="85">
        <f>PLANTILLA!X18</f>
        <v>0</v>
      </c>
      <c r="H11" s="85">
        <f>PLANTILLA!Y18</f>
        <v>6</v>
      </c>
      <c r="I11" s="85">
        <f>PLANTILLA!Z18</f>
        <v>13.727272727272727</v>
      </c>
      <c r="J11" s="85">
        <f>PLANTILLA!AA18</f>
        <v>2</v>
      </c>
      <c r="K11" s="85">
        <f>PLANTILLA!AB18</f>
        <v>6</v>
      </c>
      <c r="L11" s="85">
        <f>PLANTILLA!AC18</f>
        <v>9.5</v>
      </c>
      <c r="M11" s="85">
        <f>PLANTILLA!AD18</f>
        <v>18.5</v>
      </c>
      <c r="N11" s="95">
        <f>PLANTILLA!V18</f>
        <v>22220</v>
      </c>
      <c r="P11" s="70">
        <v>22</v>
      </c>
      <c r="Q11" s="138">
        <f ca="1">F11+$AB$7*7-112</f>
        <v>-57</v>
      </c>
      <c r="R11" s="85">
        <f t="shared" si="3"/>
        <v>0</v>
      </c>
      <c r="S11" s="85">
        <f t="shared" si="4"/>
        <v>6</v>
      </c>
      <c r="T11" s="85">
        <f>I11+$AB$4/9</f>
        <v>14.505050505050505</v>
      </c>
      <c r="U11" s="85">
        <f t="shared" si="6"/>
        <v>2</v>
      </c>
      <c r="V11" s="85">
        <f t="shared" si="7"/>
        <v>6</v>
      </c>
      <c r="W11" s="85">
        <f t="shared" si="8"/>
        <v>9.5</v>
      </c>
      <c r="X11" s="85">
        <f t="shared" si="9"/>
        <v>18.5</v>
      </c>
      <c r="Y11" s="95">
        <f t="shared" si="10"/>
        <v>22220</v>
      </c>
    </row>
    <row r="12" spans="1:28" x14ac:dyDescent="0.25">
      <c r="A12" s="317" t="str">
        <f>PLANTILLA!A10</f>
        <v>#4</v>
      </c>
      <c r="B12" s="69" t="s">
        <v>195</v>
      </c>
      <c r="C12" s="226" t="str">
        <f>PLANTILLA!D19</f>
        <v>G. Piscaer</v>
      </c>
      <c r="D12" s="70" t="str">
        <f>PLANTILLA!G19</f>
        <v>IMP</v>
      </c>
      <c r="E12" s="70">
        <f>PLANTILLA!E19</f>
        <v>25</v>
      </c>
      <c r="F12" s="138">
        <f ca="1">PLANTILLA!F19</f>
        <v>79</v>
      </c>
      <c r="G12" s="85">
        <f>PLANTILLA!X19</f>
        <v>0</v>
      </c>
      <c r="H12" s="85">
        <f>PLANTILLA!Y19</f>
        <v>6.4</v>
      </c>
      <c r="I12" s="85">
        <f>PLANTILLA!Z19</f>
        <v>14.846153846153847</v>
      </c>
      <c r="J12" s="85">
        <f>PLANTILLA!AA19</f>
        <v>3</v>
      </c>
      <c r="K12" s="85">
        <f>PLANTILLA!AB19</f>
        <v>2</v>
      </c>
      <c r="L12" s="85">
        <f>PLANTILLA!AC19</f>
        <v>8.5769230769230766</v>
      </c>
      <c r="M12" s="85">
        <f>PLANTILLA!AD19</f>
        <v>17.75</v>
      </c>
      <c r="N12" s="95">
        <f>PLANTILLA!V19</f>
        <v>36468</v>
      </c>
      <c r="P12" s="70">
        <v>23</v>
      </c>
      <c r="Q12" s="138">
        <f t="shared" ref="Q12:Q13" ca="1" si="11">F12+$AB$7*7-112</f>
        <v>16</v>
      </c>
      <c r="R12" s="85">
        <f t="shared" si="3"/>
        <v>0</v>
      </c>
      <c r="S12" s="85">
        <f t="shared" si="4"/>
        <v>6.4</v>
      </c>
      <c r="T12" s="85">
        <f>14+2/12</f>
        <v>14.166666666666666</v>
      </c>
      <c r="U12" s="85">
        <f t="shared" si="6"/>
        <v>3</v>
      </c>
      <c r="V12" s="85">
        <f t="shared" si="7"/>
        <v>2</v>
      </c>
      <c r="W12" s="85">
        <f t="shared" si="8"/>
        <v>8.5769230769230766</v>
      </c>
      <c r="X12" s="85">
        <f t="shared" si="9"/>
        <v>17.75</v>
      </c>
      <c r="Y12" s="95">
        <f t="shared" si="10"/>
        <v>36468</v>
      </c>
    </row>
    <row r="13" spans="1:28" x14ac:dyDescent="0.25">
      <c r="A13" s="317" t="str">
        <f>PLANTILLA!A17</f>
        <v>#16</v>
      </c>
      <c r="B13" s="69" t="s">
        <v>195</v>
      </c>
      <c r="C13" s="226" t="str">
        <f>PLANTILLA!D20</f>
        <v>M. Bondarewski</v>
      </c>
      <c r="D13" s="70" t="str">
        <f>PLANTILLA!G20</f>
        <v>RAP</v>
      </c>
      <c r="E13" s="70">
        <f>PLANTILLA!E20</f>
        <v>25</v>
      </c>
      <c r="F13" s="138">
        <f ca="1">PLANTILLA!F20</f>
        <v>79</v>
      </c>
      <c r="G13" s="85">
        <f>PLANTILLA!X20</f>
        <v>0</v>
      </c>
      <c r="H13" s="85">
        <f>PLANTILLA!Y20</f>
        <v>4.75</v>
      </c>
      <c r="I13" s="85">
        <f>PLANTILLA!Z20</f>
        <v>14.692307692307692</v>
      </c>
      <c r="J13" s="85">
        <f>PLANTILLA!AA20</f>
        <v>5</v>
      </c>
      <c r="K13" s="85">
        <f>PLANTILLA!AB20</f>
        <v>4</v>
      </c>
      <c r="L13" s="85">
        <f>PLANTILLA!AC20</f>
        <v>8.5769230769230766</v>
      </c>
      <c r="M13" s="85">
        <f>PLANTILLA!AD20</f>
        <v>19.8</v>
      </c>
      <c r="N13" s="95">
        <f>PLANTILLA!V20</f>
        <v>36408</v>
      </c>
      <c r="P13" s="70">
        <v>23</v>
      </c>
      <c r="Q13" s="138">
        <f t="shared" ca="1" si="11"/>
        <v>16</v>
      </c>
      <c r="R13" s="85">
        <f t="shared" si="3"/>
        <v>0</v>
      </c>
      <c r="S13" s="85">
        <f t="shared" si="4"/>
        <v>4.75</v>
      </c>
      <c r="T13" s="85">
        <f>14+2/12</f>
        <v>14.166666666666666</v>
      </c>
      <c r="U13" s="85">
        <f t="shared" si="6"/>
        <v>5</v>
      </c>
      <c r="V13" s="85">
        <f t="shared" si="7"/>
        <v>4</v>
      </c>
      <c r="W13" s="85">
        <f t="shared" si="8"/>
        <v>8.5769230769230766</v>
      </c>
      <c r="X13" s="85">
        <f t="shared" si="9"/>
        <v>19.8</v>
      </c>
      <c r="Y13" s="95">
        <f t="shared" si="10"/>
        <v>36408</v>
      </c>
    </row>
    <row r="14" spans="1:28" x14ac:dyDescent="0.25">
      <c r="A14" s="317" t="str">
        <f>PLANTILLA!A18</f>
        <v>#8</v>
      </c>
      <c r="B14" s="69" t="s">
        <v>195</v>
      </c>
      <c r="C14" s="226" t="str">
        <f>PLANTILLA!D12</f>
        <v>P. Tuderek</v>
      </c>
      <c r="D14" s="70" t="str">
        <f>PLANTILLA!G12</f>
        <v>CAB</v>
      </c>
      <c r="E14" s="70">
        <f>PLANTILLA!E12</f>
        <v>25</v>
      </c>
      <c r="F14" s="138">
        <f ca="1">PLANTILLA!F12</f>
        <v>65</v>
      </c>
      <c r="G14" s="85">
        <f>PLANTILLA!X12</f>
        <v>0</v>
      </c>
      <c r="H14" s="85">
        <f>PLANTILLA!Y12</f>
        <v>8.8333333333333339</v>
      </c>
      <c r="I14" s="85">
        <f>PLANTILLA!Z12</f>
        <v>13.909090909090908</v>
      </c>
      <c r="J14" s="85">
        <f>PLANTILLA!AA12</f>
        <v>2</v>
      </c>
      <c r="K14" s="85">
        <f>PLANTILLA!AB12</f>
        <v>3</v>
      </c>
      <c r="L14" s="85">
        <f>PLANTILLA!AC12</f>
        <v>7.416666666666667</v>
      </c>
      <c r="M14" s="85">
        <f>PLANTILLA!AD12</f>
        <v>19.600000000000001</v>
      </c>
      <c r="N14" s="95">
        <f>PLANTILLA!V12</f>
        <v>26328</v>
      </c>
      <c r="P14" s="70">
        <f t="shared" si="1"/>
        <v>25</v>
      </c>
      <c r="Q14" s="138">
        <f t="shared" ca="1" si="2"/>
        <v>114</v>
      </c>
      <c r="R14" s="85">
        <f t="shared" si="3"/>
        <v>0</v>
      </c>
      <c r="S14" s="85">
        <f t="shared" si="4"/>
        <v>8.8333333333333339</v>
      </c>
      <c r="T14" s="85">
        <v>13</v>
      </c>
      <c r="U14" s="85">
        <f t="shared" si="6"/>
        <v>2</v>
      </c>
      <c r="V14" s="85">
        <f t="shared" si="7"/>
        <v>3</v>
      </c>
      <c r="W14" s="85">
        <f t="shared" si="8"/>
        <v>7.416666666666667</v>
      </c>
      <c r="X14" s="85">
        <f t="shared" si="9"/>
        <v>19.600000000000001</v>
      </c>
      <c r="Y14" s="95">
        <f t="shared" si="10"/>
        <v>26328</v>
      </c>
    </row>
    <row r="15" spans="1:28" x14ac:dyDescent="0.25">
      <c r="A15" s="317" t="str">
        <f>PLANTILLA!A19</f>
        <v>#14</v>
      </c>
      <c r="B15" s="69" t="s">
        <v>195</v>
      </c>
      <c r="C15" s="226" t="str">
        <f>PLANTILLA!D13</f>
        <v>R. Forsyth</v>
      </c>
      <c r="D15" s="70" t="str">
        <f>PLANTILLA!G13</f>
        <v>POT</v>
      </c>
      <c r="E15" s="70">
        <f>PLANTILLA!E13</f>
        <v>26</v>
      </c>
      <c r="F15" s="138">
        <f ca="1">PLANTILLA!F13</f>
        <v>8</v>
      </c>
      <c r="G15" s="85">
        <f>PLANTILLA!X13</f>
        <v>0</v>
      </c>
      <c r="H15" s="85">
        <f>PLANTILLA!Y13</f>
        <v>9.75</v>
      </c>
      <c r="I15" s="85">
        <f>PLANTILLA!Z13</f>
        <v>14.538461538461538</v>
      </c>
      <c r="J15" s="85">
        <f>PLANTILLA!AA13</f>
        <v>3</v>
      </c>
      <c r="K15" s="85">
        <f>PLANTILLA!AB13</f>
        <v>4</v>
      </c>
      <c r="L15" s="85">
        <f>PLANTILLA!AC13</f>
        <v>7</v>
      </c>
      <c r="M15" s="85">
        <f>PLANTILLA!AD13</f>
        <v>18.25</v>
      </c>
      <c r="N15" s="95">
        <f>PLANTILLA!V13</f>
        <v>29610</v>
      </c>
      <c r="P15" s="70">
        <v>23</v>
      </c>
      <c r="Q15" s="138">
        <f ca="1">F15+$AB$7*7-112</f>
        <v>-55</v>
      </c>
      <c r="R15" s="85">
        <f t="shared" si="3"/>
        <v>0</v>
      </c>
      <c r="S15" s="85">
        <f t="shared" si="4"/>
        <v>9.75</v>
      </c>
      <c r="T15" s="85">
        <f>13+7/9</f>
        <v>13.777777777777779</v>
      </c>
      <c r="U15" s="85">
        <f t="shared" si="6"/>
        <v>3</v>
      </c>
      <c r="V15" s="85">
        <f t="shared" si="7"/>
        <v>4</v>
      </c>
      <c r="W15" s="85">
        <f t="shared" si="8"/>
        <v>7</v>
      </c>
      <c r="X15" s="85">
        <f t="shared" si="9"/>
        <v>18.25</v>
      </c>
      <c r="Y15" s="95">
        <f t="shared" si="10"/>
        <v>29610</v>
      </c>
    </row>
  </sheetData>
  <conditionalFormatting sqref="G4:M4">
    <cfRule type="colorScale" priority="3">
      <colorScale>
        <cfvo type="min"/>
        <cfvo type="max"/>
        <color rgb="FFFFEF9C"/>
        <color rgb="FF63BE7B"/>
      </colorScale>
    </cfRule>
  </conditionalFormatting>
  <conditionalFormatting sqref="G5:M15">
    <cfRule type="colorScale" priority="175">
      <colorScale>
        <cfvo type="min"/>
        <cfvo type="max"/>
        <color rgb="FFFFEF9C"/>
        <color rgb="FF63BE7B"/>
      </colorScale>
    </cfRule>
  </conditionalFormatting>
  <conditionalFormatting sqref="R4:X15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0A077-3566-447F-8562-850E7F320BA0}">
  <dimension ref="A1:K9"/>
  <sheetViews>
    <sheetView workbookViewId="0">
      <selection activeCell="F6" sqref="F6"/>
    </sheetView>
  </sheetViews>
  <sheetFormatPr baseColWidth="10" defaultRowHeight="15" x14ac:dyDescent="0.25"/>
  <cols>
    <col min="1" max="1" width="22.140625" bestFit="1" customWidth="1"/>
    <col min="2" max="2" width="22.28515625" bestFit="1" customWidth="1"/>
    <col min="3" max="3" width="9.140625" bestFit="1" customWidth="1"/>
    <col min="4" max="4" width="7.5703125" bestFit="1" customWidth="1"/>
    <col min="5" max="6" width="9.140625" bestFit="1" customWidth="1"/>
    <col min="7" max="7" width="38" bestFit="1" customWidth="1"/>
    <col min="8" max="8" width="7.28515625" bestFit="1" customWidth="1"/>
    <col min="9" max="9" width="5.5703125" bestFit="1" customWidth="1"/>
    <col min="10" max="10" width="10.140625" bestFit="1" customWidth="1"/>
    <col min="11" max="11" width="6.5703125" bestFit="1" customWidth="1"/>
  </cols>
  <sheetData>
    <row r="1" spans="1:11" s="3" customFormat="1" x14ac:dyDescent="0.25">
      <c r="A1" s="3" t="s">
        <v>549</v>
      </c>
      <c r="B1" s="3" t="s">
        <v>222</v>
      </c>
      <c r="C1" s="3" t="s">
        <v>100</v>
      </c>
      <c r="D1" s="3" t="s">
        <v>189</v>
      </c>
      <c r="E1" s="3" t="s">
        <v>550</v>
      </c>
      <c r="F1" s="3" t="s">
        <v>551</v>
      </c>
      <c r="G1" s="3" t="s">
        <v>552</v>
      </c>
      <c r="H1" s="3" t="s">
        <v>556</v>
      </c>
      <c r="I1" s="3" t="s">
        <v>89</v>
      </c>
      <c r="J1" s="3" t="s">
        <v>554</v>
      </c>
      <c r="K1" s="3" t="s">
        <v>553</v>
      </c>
    </row>
    <row r="2" spans="1:11" x14ac:dyDescent="0.25">
      <c r="A2" t="s">
        <v>569</v>
      </c>
      <c r="B2" t="s">
        <v>568</v>
      </c>
      <c r="C2" s="453">
        <v>3109990</v>
      </c>
      <c r="D2" s="453">
        <v>485244</v>
      </c>
      <c r="E2" s="453">
        <v>2884270</v>
      </c>
      <c r="F2">
        <v>417264</v>
      </c>
      <c r="G2" t="s">
        <v>574</v>
      </c>
      <c r="H2" t="s">
        <v>570</v>
      </c>
      <c r="I2" t="s">
        <v>571</v>
      </c>
      <c r="J2" t="s">
        <v>572</v>
      </c>
      <c r="K2" t="s">
        <v>573</v>
      </c>
    </row>
    <row r="3" spans="1:11" x14ac:dyDescent="0.25">
      <c r="A3" s="455" t="s">
        <v>555</v>
      </c>
      <c r="B3" t="s">
        <v>561</v>
      </c>
      <c r="C3" s="453">
        <v>2218380</v>
      </c>
      <c r="D3" s="453">
        <v>439122</v>
      </c>
      <c r="E3" s="453">
        <v>2130650</v>
      </c>
      <c r="F3">
        <v>403908</v>
      </c>
      <c r="G3" t="s">
        <v>559</v>
      </c>
      <c r="H3" t="s">
        <v>557</v>
      </c>
      <c r="I3" t="s">
        <v>558</v>
      </c>
      <c r="J3" t="s">
        <v>560</v>
      </c>
      <c r="K3" t="s">
        <v>560</v>
      </c>
    </row>
    <row r="4" spans="1:11" x14ac:dyDescent="0.25">
      <c r="A4" s="454" t="s">
        <v>592</v>
      </c>
      <c r="B4" t="s">
        <v>595</v>
      </c>
      <c r="C4" s="453">
        <v>2225100</v>
      </c>
      <c r="D4" s="453">
        <v>417586</v>
      </c>
      <c r="E4" s="453">
        <v>2154750</v>
      </c>
      <c r="F4">
        <v>403098</v>
      </c>
      <c r="G4" t="s">
        <v>594</v>
      </c>
      <c r="H4" t="s">
        <v>593</v>
      </c>
      <c r="I4" t="s">
        <v>578</v>
      </c>
      <c r="J4" t="s">
        <v>578</v>
      </c>
      <c r="K4" t="s">
        <v>560</v>
      </c>
    </row>
    <row r="5" spans="1:11" x14ac:dyDescent="0.25">
      <c r="A5" s="319" t="s">
        <v>562</v>
      </c>
      <c r="B5" t="s">
        <v>568</v>
      </c>
      <c r="C5" s="453">
        <v>2301580</v>
      </c>
      <c r="D5" s="453">
        <v>379880</v>
      </c>
      <c r="E5" s="453">
        <v>2237810</v>
      </c>
      <c r="F5">
        <v>364254</v>
      </c>
      <c r="G5" t="s">
        <v>567</v>
      </c>
      <c r="H5" t="s">
        <v>563</v>
      </c>
      <c r="I5" t="s">
        <v>564</v>
      </c>
      <c r="J5" t="s">
        <v>565</v>
      </c>
      <c r="K5" t="s">
        <v>566</v>
      </c>
    </row>
    <row r="6" spans="1:11" x14ac:dyDescent="0.25">
      <c r="A6" s="452" t="s">
        <v>575</v>
      </c>
      <c r="B6" t="s">
        <v>579</v>
      </c>
      <c r="C6" s="453">
        <v>1508850</v>
      </c>
      <c r="D6" s="453">
        <v>366854</v>
      </c>
      <c r="E6" s="453">
        <v>1190260</v>
      </c>
      <c r="F6">
        <v>277768</v>
      </c>
      <c r="G6" t="s">
        <v>577</v>
      </c>
      <c r="H6" t="s">
        <v>576</v>
      </c>
      <c r="I6" t="s">
        <v>560</v>
      </c>
      <c r="J6" t="s">
        <v>572</v>
      </c>
      <c r="K6" t="s">
        <v>578</v>
      </c>
    </row>
    <row r="7" spans="1:11" x14ac:dyDescent="0.25">
      <c r="A7" s="452" t="s">
        <v>589</v>
      </c>
      <c r="B7" t="s">
        <v>568</v>
      </c>
      <c r="C7" s="453">
        <v>1565290</v>
      </c>
      <c r="D7" s="453">
        <v>325982</v>
      </c>
      <c r="E7" s="453">
        <v>1444630</v>
      </c>
      <c r="F7">
        <v>267216</v>
      </c>
      <c r="G7" t="s">
        <v>591</v>
      </c>
      <c r="H7" t="s">
        <v>590</v>
      </c>
      <c r="I7" t="s">
        <v>578</v>
      </c>
      <c r="J7" t="s">
        <v>578</v>
      </c>
      <c r="K7" t="s">
        <v>566</v>
      </c>
    </row>
    <row r="8" spans="1:11" x14ac:dyDescent="0.25">
      <c r="A8" s="452" t="s">
        <v>580</v>
      </c>
      <c r="B8" t="s">
        <v>568</v>
      </c>
      <c r="C8" s="453">
        <v>786840</v>
      </c>
      <c r="D8" s="453">
        <v>259780</v>
      </c>
      <c r="E8" s="453">
        <v>745500</v>
      </c>
      <c r="F8">
        <v>248346</v>
      </c>
      <c r="G8" t="s">
        <v>582</v>
      </c>
      <c r="H8" t="s">
        <v>581</v>
      </c>
      <c r="I8" t="s">
        <v>583</v>
      </c>
      <c r="J8" t="s">
        <v>584</v>
      </c>
      <c r="K8" t="s">
        <v>585</v>
      </c>
    </row>
    <row r="9" spans="1:11" x14ac:dyDescent="0.25">
      <c r="A9" s="452" t="s">
        <v>586</v>
      </c>
      <c r="B9" t="s">
        <v>568</v>
      </c>
      <c r="C9" s="453">
        <v>1052180</v>
      </c>
      <c r="D9" s="453">
        <v>251518</v>
      </c>
      <c r="E9" s="453">
        <v>955350</v>
      </c>
      <c r="F9">
        <v>219508</v>
      </c>
      <c r="G9" t="s">
        <v>588</v>
      </c>
      <c r="H9" t="s">
        <v>587</v>
      </c>
      <c r="I9" t="s">
        <v>560</v>
      </c>
      <c r="J9" t="s">
        <v>578</v>
      </c>
      <c r="K9" t="s">
        <v>585</v>
      </c>
    </row>
  </sheetData>
  <sortState xmlns:xlrd2="http://schemas.microsoft.com/office/spreadsheetml/2017/richdata2" ref="A2:K9">
    <sortCondition descending="1" ref="D2:D9"/>
  </sortState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CDDC"/>
  </sheetPr>
  <dimension ref="A1:CK60"/>
  <sheetViews>
    <sheetView zoomScale="90" workbookViewId="0">
      <pane xSplit="17" ySplit="2" topLeftCell="W3" activePane="bottomRight" state="frozen"/>
      <selection pane="topRight"/>
      <selection pane="bottomLeft"/>
      <selection pane="bottomRight" activeCell="A8" sqref="A8"/>
    </sheetView>
  </sheetViews>
  <sheetFormatPr baseColWidth="10" defaultColWidth="11.42578125" defaultRowHeight="15" x14ac:dyDescent="0.25"/>
  <cols>
    <col min="1" max="1" width="15.140625" customWidth="1"/>
    <col min="2" max="2" width="5.85546875" customWidth="1"/>
    <col min="3" max="4" width="5.42578125" customWidth="1"/>
    <col min="5" max="5" width="13" customWidth="1"/>
    <col min="6" max="6" width="7.7109375" style="57" customWidth="1"/>
    <col min="7" max="7" width="5.85546875" customWidth="1"/>
    <col min="8" max="8" width="6" customWidth="1"/>
    <col min="9" max="9" width="7.7109375" customWidth="1"/>
    <col min="10" max="15" width="6" customWidth="1"/>
    <col min="16" max="16" width="5.28515625" customWidth="1"/>
    <col min="17" max="18" width="6.140625" customWidth="1"/>
    <col min="19" max="19" width="6.85546875" customWidth="1"/>
    <col min="20" max="20" width="7.42578125" customWidth="1"/>
    <col min="21" max="21" width="7.85546875" customWidth="1"/>
    <col min="22" max="23" width="9.42578125" customWidth="1"/>
    <col min="24" max="25" width="7.85546875" customWidth="1"/>
    <col min="26" max="26" width="7.42578125" customWidth="1"/>
    <col min="27" max="27" width="10" customWidth="1"/>
    <col min="28" max="28" width="7.85546875" customWidth="1"/>
    <col min="29" max="29" width="7.42578125" customWidth="1"/>
    <col min="30" max="30" width="5.140625" customWidth="1"/>
    <col min="31" max="31" width="7.42578125" customWidth="1"/>
    <col min="32" max="32" width="7.85546875" customWidth="1"/>
    <col min="33" max="33" width="7.42578125" customWidth="1"/>
    <col min="34" max="34" width="6.42578125" customWidth="1"/>
    <col min="35" max="35" width="9.7109375" customWidth="1"/>
    <col min="36" max="36" width="7.85546875" customWidth="1"/>
    <col min="37" max="37" width="5.140625" customWidth="1"/>
    <col min="38" max="38" width="6.42578125" customWidth="1"/>
    <col min="39" max="39" width="7.42578125" customWidth="1"/>
    <col min="40" max="40" width="7.85546875" customWidth="1"/>
    <col min="41" max="41" width="7.42578125" customWidth="1"/>
    <col min="42" max="42" width="6.42578125" customWidth="1"/>
    <col min="43" max="43" width="7.42578125" customWidth="1"/>
    <col min="44" max="44" width="7.85546875" customWidth="1"/>
    <col min="45" max="46" width="7.42578125" customWidth="1"/>
    <col min="47" max="47" width="7.85546875" customWidth="1"/>
    <col min="48" max="48" width="7.42578125" customWidth="1"/>
    <col min="49" max="49" width="6.42578125" customWidth="1"/>
    <col min="50" max="50" width="7.42578125" customWidth="1"/>
    <col min="51" max="51" width="7.85546875" customWidth="1"/>
    <col min="52" max="53" width="7.42578125" customWidth="1"/>
    <col min="54" max="54" width="7.85546875" customWidth="1"/>
    <col min="55" max="55" width="6.85546875" customWidth="1"/>
    <col min="56" max="56" width="6.42578125" customWidth="1"/>
    <col min="57" max="57" width="7.42578125" customWidth="1"/>
    <col min="58" max="59" width="7.85546875" customWidth="1"/>
    <col min="60" max="60" width="6.42578125" customWidth="1"/>
    <col min="61" max="61" width="6.85546875" customWidth="1"/>
    <col min="62" max="62" width="7.42578125" customWidth="1"/>
    <col min="63" max="64" width="7.85546875" customWidth="1"/>
    <col min="65" max="65" width="6.42578125" customWidth="1"/>
    <col min="66" max="66" width="6.85546875" customWidth="1"/>
    <col min="67" max="67" width="7.42578125" customWidth="1"/>
    <col min="68" max="69" width="7.85546875" customWidth="1"/>
    <col min="70" max="70" width="6.42578125" customWidth="1"/>
    <col min="71" max="71" width="6.85546875" customWidth="1"/>
    <col min="72" max="72" width="7.42578125" customWidth="1"/>
    <col min="73" max="74" width="7.85546875" customWidth="1"/>
    <col min="75" max="75" width="6.42578125" customWidth="1"/>
    <col min="76" max="76" width="6.85546875" customWidth="1"/>
    <col min="77" max="77" width="7.42578125" customWidth="1"/>
    <col min="78" max="78" width="7.85546875" customWidth="1"/>
    <col min="79" max="79" width="6.42578125" customWidth="1"/>
    <col min="80" max="81" width="6.85546875" customWidth="1"/>
    <col min="82" max="82" width="6.42578125" customWidth="1"/>
    <col min="83" max="84" width="6.85546875" customWidth="1"/>
    <col min="85" max="86" width="6.42578125" customWidth="1"/>
    <col min="87" max="87" width="6.85546875" customWidth="1"/>
    <col min="88" max="88" width="6.42578125" customWidth="1"/>
    <col min="89" max="89" width="5.140625" customWidth="1"/>
  </cols>
  <sheetData>
    <row r="1" spans="1:89" ht="15.75" x14ac:dyDescent="0.25">
      <c r="A1" s="552" t="s">
        <v>246</v>
      </c>
      <c r="B1" s="552"/>
      <c r="C1" s="552"/>
      <c r="D1" s="552"/>
      <c r="E1" s="552"/>
      <c r="X1" t="s">
        <v>196</v>
      </c>
      <c r="AA1" t="s">
        <v>247</v>
      </c>
      <c r="AE1" t="s">
        <v>248</v>
      </c>
      <c r="AI1" t="s">
        <v>249</v>
      </c>
      <c r="AM1" t="s">
        <v>250</v>
      </c>
      <c r="AQ1" t="s">
        <v>251</v>
      </c>
      <c r="AX1" t="s">
        <v>252</v>
      </c>
      <c r="BE1" t="s">
        <v>253</v>
      </c>
      <c r="BJ1" t="s">
        <v>254</v>
      </c>
      <c r="BO1" t="s">
        <v>255</v>
      </c>
      <c r="BT1" t="s">
        <v>256</v>
      </c>
      <c r="BY1" t="s">
        <v>257</v>
      </c>
      <c r="CD1" t="s">
        <v>123</v>
      </c>
      <c r="CH1" t="s">
        <v>21</v>
      </c>
    </row>
    <row r="2" spans="1:89" x14ac:dyDescent="0.25">
      <c r="A2" s="142" t="s">
        <v>84</v>
      </c>
      <c r="B2" s="142" t="s">
        <v>188</v>
      </c>
      <c r="C2" s="142" t="s">
        <v>86</v>
      </c>
      <c r="D2" s="143" t="s">
        <v>187</v>
      </c>
      <c r="E2" s="142" t="s">
        <v>258</v>
      </c>
      <c r="F2" s="144" t="s">
        <v>259</v>
      </c>
      <c r="G2" s="144" t="s">
        <v>98</v>
      </c>
      <c r="H2" s="144" t="s">
        <v>99</v>
      </c>
      <c r="I2" s="145" t="s">
        <v>96</v>
      </c>
      <c r="J2" s="146" t="s">
        <v>260</v>
      </c>
      <c r="K2" s="146" t="s">
        <v>14</v>
      </c>
      <c r="L2" s="146" t="s">
        <v>37</v>
      </c>
      <c r="M2" s="146" t="s">
        <v>168</v>
      </c>
      <c r="N2" s="146" t="s">
        <v>30</v>
      </c>
      <c r="O2" s="146" t="s">
        <v>170</v>
      </c>
      <c r="P2" s="146" t="s">
        <v>171</v>
      </c>
      <c r="Q2" s="146" t="s">
        <v>172</v>
      </c>
      <c r="R2" s="147" t="s">
        <v>261</v>
      </c>
      <c r="S2" s="147" t="s">
        <v>114</v>
      </c>
      <c r="T2" s="147" t="s">
        <v>262</v>
      </c>
      <c r="U2" s="147" t="s">
        <v>263</v>
      </c>
      <c r="V2" s="147" t="s">
        <v>116</v>
      </c>
      <c r="W2" s="147" t="s">
        <v>117</v>
      </c>
      <c r="X2" s="148" t="s">
        <v>264</v>
      </c>
      <c r="Y2" s="148" t="s">
        <v>265</v>
      </c>
      <c r="Z2" s="148" t="s">
        <v>264</v>
      </c>
      <c r="AA2" s="149" t="s">
        <v>264</v>
      </c>
      <c r="AB2" s="149" t="s">
        <v>265</v>
      </c>
      <c r="AC2" s="149" t="s">
        <v>264</v>
      </c>
      <c r="AD2" s="149" t="s">
        <v>28</v>
      </c>
      <c r="AE2" s="149" t="s">
        <v>264</v>
      </c>
      <c r="AF2" s="149" t="s">
        <v>265</v>
      </c>
      <c r="AG2" s="149" t="s">
        <v>264</v>
      </c>
      <c r="AH2" s="149" t="s">
        <v>28</v>
      </c>
      <c r="AI2" s="148" t="s">
        <v>264</v>
      </c>
      <c r="AJ2" s="148" t="s">
        <v>265</v>
      </c>
      <c r="AK2" s="148" t="s">
        <v>28</v>
      </c>
      <c r="AL2" s="148" t="s">
        <v>266</v>
      </c>
      <c r="AM2" s="148" t="s">
        <v>264</v>
      </c>
      <c r="AN2" s="148" t="s">
        <v>265</v>
      </c>
      <c r="AO2" s="148" t="s">
        <v>28</v>
      </c>
      <c r="AP2" s="148" t="s">
        <v>266</v>
      </c>
      <c r="AQ2" s="148" t="s">
        <v>264</v>
      </c>
      <c r="AR2" s="148" t="s">
        <v>265</v>
      </c>
      <c r="AS2" s="148" t="s">
        <v>264</v>
      </c>
      <c r="AT2" s="148" t="s">
        <v>28</v>
      </c>
      <c r="AU2" s="148" t="s">
        <v>266</v>
      </c>
      <c r="AV2" s="148" t="s">
        <v>267</v>
      </c>
      <c r="AW2" s="148" t="s">
        <v>266</v>
      </c>
      <c r="AX2" s="148" t="s">
        <v>264</v>
      </c>
      <c r="AY2" s="148" t="s">
        <v>265</v>
      </c>
      <c r="AZ2" s="148" t="s">
        <v>264</v>
      </c>
      <c r="BA2" s="148" t="s">
        <v>28</v>
      </c>
      <c r="BB2" s="148" t="s">
        <v>266</v>
      </c>
      <c r="BC2" s="148" t="s">
        <v>267</v>
      </c>
      <c r="BD2" s="148" t="s">
        <v>266</v>
      </c>
      <c r="BE2" s="149" t="s">
        <v>264</v>
      </c>
      <c r="BF2" s="149" t="s">
        <v>265</v>
      </c>
      <c r="BG2" s="149" t="s">
        <v>28</v>
      </c>
      <c r="BH2" s="149" t="s">
        <v>266</v>
      </c>
      <c r="BI2" s="149" t="s">
        <v>267</v>
      </c>
      <c r="BJ2" s="149" t="s">
        <v>264</v>
      </c>
      <c r="BK2" s="149" t="s">
        <v>265</v>
      </c>
      <c r="BL2" s="149" t="s">
        <v>28</v>
      </c>
      <c r="BM2" s="149" t="s">
        <v>266</v>
      </c>
      <c r="BN2" s="149" t="s">
        <v>267</v>
      </c>
      <c r="BO2" s="148" t="s">
        <v>264</v>
      </c>
      <c r="BP2" s="148" t="s">
        <v>265</v>
      </c>
      <c r="BQ2" s="148" t="s">
        <v>28</v>
      </c>
      <c r="BR2" s="148" t="s">
        <v>266</v>
      </c>
      <c r="BS2" s="148" t="s">
        <v>267</v>
      </c>
      <c r="BT2" s="148" t="s">
        <v>264</v>
      </c>
      <c r="BU2" s="148" t="s">
        <v>265</v>
      </c>
      <c r="BV2" s="148" t="s">
        <v>28</v>
      </c>
      <c r="BW2" s="148" t="s">
        <v>266</v>
      </c>
      <c r="BX2" s="148" t="s">
        <v>267</v>
      </c>
      <c r="BY2" s="148" t="s">
        <v>264</v>
      </c>
      <c r="BZ2" s="148" t="s">
        <v>265</v>
      </c>
      <c r="CA2" s="148" t="s">
        <v>28</v>
      </c>
      <c r="CB2" s="148" t="s">
        <v>266</v>
      </c>
      <c r="CC2" s="148" t="s">
        <v>267</v>
      </c>
      <c r="CD2" s="149" t="s">
        <v>28</v>
      </c>
      <c r="CE2" s="149" t="s">
        <v>266</v>
      </c>
      <c r="CF2" s="149" t="s">
        <v>267</v>
      </c>
      <c r="CG2" s="149" t="s">
        <v>266</v>
      </c>
      <c r="CH2" s="148" t="s">
        <v>266</v>
      </c>
      <c r="CI2" s="148" t="s">
        <v>267</v>
      </c>
      <c r="CJ2" s="148" t="s">
        <v>266</v>
      </c>
      <c r="CK2" s="148" t="s">
        <v>28</v>
      </c>
    </row>
    <row r="3" spans="1:89" x14ac:dyDescent="0.25">
      <c r="A3" t="str">
        <f>PLANTILLA!D4</f>
        <v>D. Gehmacher</v>
      </c>
      <c r="B3" s="57">
        <f>PLANTILLA!E4</f>
        <v>41</v>
      </c>
      <c r="C3" s="95">
        <f ca="1">PLANTILLA!F4</f>
        <v>108</v>
      </c>
      <c r="D3" s="57">
        <f>PLANTILLA!G4</f>
        <v>0</v>
      </c>
      <c r="E3" s="204">
        <f>PLANTILLA!O4</f>
        <v>42468</v>
      </c>
      <c r="F3" s="95">
        <f>PLANTILLA!Q4</f>
        <v>5</v>
      </c>
      <c r="G3" s="115">
        <f t="shared" ref="G3:G4" si="0">(F3/7)^0.5</f>
        <v>0.84515425472851657</v>
      </c>
      <c r="H3" s="115">
        <f t="shared" ref="H3:H4" si="1">IF(F3=7,1,((F3+0.99)/7)^0.5)</f>
        <v>0.92504826128926143</v>
      </c>
      <c r="I3" s="150">
        <f ca="1">PLANTILLA!P4</f>
        <v>1</v>
      </c>
      <c r="J3" s="151">
        <f>PLANTILLA!I4</f>
        <v>26</v>
      </c>
      <c r="K3" s="48">
        <f>PLANTILLA!X4</f>
        <v>9.9499999999999993</v>
      </c>
      <c r="L3" s="48">
        <f>PLANTILLA!Y4</f>
        <v>3.95</v>
      </c>
      <c r="M3" s="48">
        <f>PLANTILLA!Z4</f>
        <v>0</v>
      </c>
      <c r="N3" s="48">
        <f>PLANTILLA!AA4</f>
        <v>0</v>
      </c>
      <c r="O3" s="48">
        <f>PLANTILLA!AB4</f>
        <v>0</v>
      </c>
      <c r="P3" s="48">
        <f>PLANTILLA!AC4</f>
        <v>0</v>
      </c>
      <c r="Q3" s="48">
        <f>PLANTILLA!AD4</f>
        <v>14.95</v>
      </c>
      <c r="R3" s="151">
        <f t="shared" ref="R3:R4" si="2">((2*(O3+1))+(L3+1))/8</f>
        <v>0.86875000000000002</v>
      </c>
      <c r="S3" s="151">
        <f t="shared" ref="S3:S4" ca="1" si="3">1.66*(P3+(LOG(J3)*4/3)+I3)+0.55*(Q3+(LOG(J3)*4/3)+I3)-7.6</f>
        <v>7.0019547986873434</v>
      </c>
      <c r="T3" s="48">
        <f t="shared" ref="T3:T4" si="4">(0.5*P3+0.3*Q3)/10</f>
        <v>0.44849999999999995</v>
      </c>
      <c r="U3" s="48">
        <f t="shared" ref="U3:U4" si="5">(0.4*L3+0.3*Q3)/10</f>
        <v>0.60649999999999993</v>
      </c>
      <c r="V3" s="151">
        <f t="shared" ref="V3:V4" ca="1" si="6">IF(TODAY()-E3&gt;335,(Q3+1+(LOG(J3)*4/3))*(F3/7)^0.5,(Q3+((TODAY()-E3)^0.5)/(336^0.5)+(LOG(J3)*4/3))*(F3/7)^0.5)</f>
        <v>15.07470469007316</v>
      </c>
      <c r="W3" s="151">
        <f t="shared" ref="W3:W4" ca="1" si="7">IF(F3=7,V3,IF(TODAY()-E3&gt;335,(Q3+1+(LOG(J3)*4/3))*((F3+0.99)/7)^0.5,(Q3+((TODAY()-E3)^0.5)/(336^0.5)+(LOG(J3)*4/3))*((F3+0.99)/7)^0.5))</f>
        <v>16.49974461464512</v>
      </c>
      <c r="X3" s="71">
        <f t="shared" ref="X3:X4" ca="1" si="8">((K3+I3+(LOG(J3)*4/3))*0.597)+((L3+I3+(LOG(J3)*4/3))*0.276)</f>
        <v>9.5503789770380312</v>
      </c>
      <c r="Y3" s="71">
        <f t="shared" ref="Y3:Y4" ca="1" si="9">((K3+I3+(LOG(J3)*4/3))*0.866)+((L3+I3+(LOG(J3)*4/3))*0.425)</f>
        <v>14.022090789640433</v>
      </c>
      <c r="Z3" s="71">
        <f t="shared" ref="Z3:Z4" ca="1" si="10">X3</f>
        <v>9.5503789770380312</v>
      </c>
      <c r="AA3" s="71">
        <f t="shared" ref="AA3:AA4" ca="1" si="11">((L3+I3+(LOG(J3)*4/3))*0.516)</f>
        <v>3.5277016634039229</v>
      </c>
      <c r="AB3" s="71">
        <f t="shared" ref="AB3:AB4" ca="1" si="12">(L3+I3+(LOG(J3)*4/3))*1</f>
        <v>6.8366311306277572</v>
      </c>
      <c r="AC3" s="71">
        <f t="shared" ref="AC3:AC4" ca="1" si="13">AA3/2</f>
        <v>1.7638508317019614</v>
      </c>
      <c r="AD3" s="71">
        <f t="shared" ref="AD3:AD4" ca="1" si="14">(M3+I3+(LOG(J3)*4/3))*0.238</f>
        <v>0.68701820908940614</v>
      </c>
      <c r="AE3" s="71">
        <f t="shared" ref="AE3:AE4" ca="1" si="15">((L3+I3+(LOG(J3)*4/3))*0.378)</f>
        <v>2.5842465673772921</v>
      </c>
      <c r="AF3" s="71">
        <f t="shared" ref="AF3:AF4" ca="1" si="16">(L3+I3+(LOG(J3)*4/3))*0.723</f>
        <v>4.942884307443868</v>
      </c>
      <c r="AG3" s="71">
        <f t="shared" ref="AG3:AG4" ca="1" si="17">AE3/2</f>
        <v>1.292123283688646</v>
      </c>
      <c r="AH3" s="71">
        <f t="shared" ref="AH3:AH4" ca="1" si="18">(M3+I3+(LOG(J3)*4/3))*0.385</f>
        <v>1.1113529852916866</v>
      </c>
      <c r="AI3" s="71">
        <f t="shared" ref="AI3:AI4" ca="1" si="19">((L3+I3+(LOG(J3)*4/3))*0.92)</f>
        <v>6.2897006401775366</v>
      </c>
      <c r="AJ3" s="71">
        <f t="shared" ref="AJ3:AJ4" ca="1" si="20">(L3+I3+(LOG(J3)*4/3))*0.414</f>
        <v>2.8303652880798915</v>
      </c>
      <c r="AK3" s="71">
        <f t="shared" ref="AK3:AK4" ca="1" si="21">((M3+I3+(LOG(J3)*4/3))*0.167)</f>
        <v>0.48206739881483546</v>
      </c>
      <c r="AL3" s="71">
        <f t="shared" ref="AL3:AL4" ca="1" si="22">(N3+I3+(LOG(J3)*4/3))*0.588</f>
        <v>1.6973391048091211</v>
      </c>
      <c r="AM3" s="71">
        <f t="shared" ref="AM3:AM4" ca="1" si="23">((L3+I3+(LOG(J3)*4/3))*0.754)</f>
        <v>5.154819872493329</v>
      </c>
      <c r="AN3" s="71">
        <f t="shared" ref="AN3:AN4" ca="1" si="24">((L3+I3+(LOG(J3)*4/3))*0.708)</f>
        <v>4.8403348404844522</v>
      </c>
      <c r="AO3" s="71">
        <f t="shared" ref="AO3:AO4" ca="1" si="25">((Q3+I3+(LOG(J3)*4/3))*0.167)</f>
        <v>2.9787173988148359</v>
      </c>
      <c r="AP3" s="71">
        <f t="shared" ref="AP3:AP4" ca="1" si="26">((R3+I3+(LOG(J3)*4/3))*0.288)</f>
        <v>1.081549765620794</v>
      </c>
      <c r="AQ3" s="71">
        <f t="shared" ref="AQ3:AQ4" ca="1" si="27">((L3+I3+(LOG(J3)*4/3))*0.27)</f>
        <v>1.8458904052694947</v>
      </c>
      <c r="AR3" s="71">
        <f t="shared" ref="AR3:AR4" ca="1" si="28">((L3+I3+(LOG(J3)*4/3))*0.594)</f>
        <v>4.0609588915928878</v>
      </c>
      <c r="AS3" s="71">
        <f t="shared" ref="AS3:AS4" ca="1" si="29">AQ3/2</f>
        <v>0.92294520263474733</v>
      </c>
      <c r="AT3" s="71">
        <f t="shared" ref="AT3:AT4" ca="1" si="30">((M3+I3+(LOG(J3)*4/3))*0.944)</f>
        <v>2.7249797873126025</v>
      </c>
      <c r="AU3" s="71">
        <f t="shared" ref="AU3:AU4" ca="1" si="31">((O3+I3+(LOG(J3)*4/3))*0.13)</f>
        <v>0.37526204698160842</v>
      </c>
      <c r="AV3" s="71">
        <f t="shared" ref="AV3:AV4" ca="1" si="32">((P3+I3+(LOG(J3)*4/3))*0.173)+((O3+I3+(LOG(J3)*4/3))*0.12)</f>
        <v>0.84578292127393273</v>
      </c>
      <c r="AW3" s="71">
        <f t="shared" ref="AW3:AW4" ca="1" si="33">AU3/2</f>
        <v>0.18763102349080421</v>
      </c>
      <c r="AX3" s="71">
        <f t="shared" ref="AX3:AX4" ca="1" si="34">((L3+I3+(LOG(J3)*4/3))*0.189)</f>
        <v>1.292123283688646</v>
      </c>
      <c r="AY3" s="71">
        <f t="shared" ref="AY3:AY4" ca="1" si="35">((L3+I3+(LOG(J3)*4/3))*0.4)</f>
        <v>2.7346524522511029</v>
      </c>
      <c r="AZ3" s="71">
        <f t="shared" ref="AZ3:AZ4" ca="1" si="36">AX3/2</f>
        <v>0.64606164184432302</v>
      </c>
      <c r="BA3" s="71">
        <f t="shared" ref="BA3:BA4" ca="1" si="37">((M3+I3+(LOG(J3)*4/3))*1)</f>
        <v>2.886631130627757</v>
      </c>
      <c r="BB3" s="71">
        <f t="shared" ref="BB3:BB4" ca="1" si="38">((O3+I3+(LOG(J3)*4/3))*0.253)</f>
        <v>0.73031767604882258</v>
      </c>
      <c r="BC3" s="71">
        <f t="shared" ref="BC3:BC4" ca="1" si="39">((P3+I3+(LOG(J3)*4/3))*0.21)+((O3+I3+(LOG(J3)*4/3))*0.341)</f>
        <v>1.5905337529758943</v>
      </c>
      <c r="BD3" s="71">
        <f t="shared" ref="BD3:BD4" ca="1" si="40">BB3/2</f>
        <v>0.36515883802441129</v>
      </c>
      <c r="BE3" s="71">
        <f t="shared" ref="BE3:BE4" ca="1" si="41">((L3+I3+(LOG(J3)*4/3))*0.291)</f>
        <v>1.9894596590126772</v>
      </c>
      <c r="BF3" s="71">
        <f t="shared" ref="BF3:BF4" ca="1" si="42">((L3+I3+(LOG(J3)*4/3))*0.348)</f>
        <v>2.3791476334584591</v>
      </c>
      <c r="BG3" s="71">
        <f t="shared" ref="BG3:BG4" ca="1" si="43">((M3+I3+(LOG(J3)*4/3))*0.881)</f>
        <v>2.5431220260830538</v>
      </c>
      <c r="BH3" s="71">
        <f t="shared" ref="BH3:BH4" ca="1" si="44">((N3+I3+(LOG(J3)*4/3))*0.574)+((O3+I3+(LOG(J3)*4/3))*0.315)</f>
        <v>2.5662150751280759</v>
      </c>
      <c r="BI3" s="71">
        <f t="shared" ref="BI3:BI4" ca="1" si="45">((O3+I3+(LOG(J3)*4/3))*0.241)</f>
        <v>0.69567810248128936</v>
      </c>
      <c r="BJ3" s="71">
        <f t="shared" ref="BJ3:BJ4" ca="1" si="46">((L3+I3+(LOG(J3)*4/3))*0.485)</f>
        <v>3.3157660983544623</v>
      </c>
      <c r="BK3" s="71">
        <f t="shared" ref="BK3:BK4" ca="1" si="47">((L3+I3+(LOG(J3)*4/3))*0.264)</f>
        <v>1.8048706184857279</v>
      </c>
      <c r="BL3" s="71">
        <f t="shared" ref="BL3:BL4" ca="1" si="48">((M3+I3+(LOG(J3)*4/3))*0.381)</f>
        <v>1.0998064607691755</v>
      </c>
      <c r="BM3" s="71">
        <f t="shared" ref="BM3:BM4" ca="1" si="49">((N3+I3+(LOG(J3)*4/3))*0.673)+((O3+I3+(LOG(J3)*4/3))*0.201)</f>
        <v>2.5229156081686597</v>
      </c>
      <c r="BN3" s="71">
        <f t="shared" ref="BN3:BN4" ca="1" si="50">((O3+I3+(LOG(J3)*4/3))*0.052)</f>
        <v>0.15010481879264337</v>
      </c>
      <c r="BO3" s="71">
        <f t="shared" ref="BO3:BO4" ca="1" si="51">((L3+I3+(LOG(J3)*4/3))*0.18)</f>
        <v>1.2305936035129963</v>
      </c>
      <c r="BP3" s="71">
        <f t="shared" ref="BP3:BP4" ca="1" si="52">(L3+I3+(LOG(J3)*4/3))*0.068</f>
        <v>0.46489091688268752</v>
      </c>
      <c r="BQ3" s="71">
        <f t="shared" ref="BQ3:BQ4" ca="1" si="53">((M3+I3+(LOG(J3)*4/3))*0.305)</f>
        <v>0.88042249484146584</v>
      </c>
      <c r="BR3" s="71">
        <f t="shared" ref="BR3:BR4" ca="1" si="54">((N3+I3+(LOG(J3)*4/3))*1)+((O3+I3+(LOG(J3)*4/3))*0.286)</f>
        <v>3.7122076339872954</v>
      </c>
      <c r="BS3" s="71">
        <f t="shared" ref="BS3:BS4" ca="1" si="55">((O3+I3+(LOG(J3)*4/3))*0.135)</f>
        <v>0.38969520263474722</v>
      </c>
      <c r="BT3" s="71">
        <f t="shared" ref="BT3:BT4" ca="1" si="56">((L3+I3+(LOG(J3)*4/3))*0.284)</f>
        <v>1.9416032410982829</v>
      </c>
      <c r="BU3" s="71">
        <f t="shared" ref="BU3:BU4" ca="1" si="57">(L3+I3+(LOG(J3)*4/3))*0.244</f>
        <v>1.6681379958731728</v>
      </c>
      <c r="BV3" s="71">
        <f t="shared" ref="BV3:BV4" ca="1" si="58">((M3+I3+(LOG(J3)*4/3))*0.455)</f>
        <v>1.3134171644356294</v>
      </c>
      <c r="BW3" s="71">
        <f t="shared" ref="BW3:BW4" ca="1" si="59">((N3+I3+(LOG(J3)*4/3))*0.864)+((O3+I3+(LOG(J3)*4/3))*0.244)</f>
        <v>3.1983872927355548</v>
      </c>
      <c r="BX3" s="71">
        <f t="shared" ref="BX3:BX4" ca="1" si="60">((O3+I3+(LOG(J3)*4/3))*0.121)</f>
        <v>0.34928236680595859</v>
      </c>
      <c r="BY3" s="71">
        <f t="shared" ref="BY3:BY4" ca="1" si="61">((L3+I3+(LOG(J3)*4/3))*0.284)</f>
        <v>1.9416032410982829</v>
      </c>
      <c r="BZ3" s="71">
        <f t="shared" ref="BZ3:BZ4" ca="1" si="62">((L3+I3+(LOG(J3)*4/3))*0.244)</f>
        <v>1.6681379958731728</v>
      </c>
      <c r="CA3" s="71">
        <f t="shared" ref="CA3:CA4" ca="1" si="63">((M3+I3+(LOG(J3)*4/3))*0.631)</f>
        <v>1.8214642434261148</v>
      </c>
      <c r="CB3" s="71">
        <f t="shared" ref="CB3:CB4" ca="1" si="64">((N3+I3+(LOG(J3)*4/3))*0.702)+((O3+I3+(LOG(J3)*4/3))*0.193)</f>
        <v>2.5835348619118426</v>
      </c>
      <c r="CC3" s="71">
        <f t="shared" ref="CC3:CC4" ca="1" si="65">((O3+I3+(LOG(J3)*4/3))*0.148)</f>
        <v>0.42722140733290803</v>
      </c>
      <c r="CD3" s="71">
        <f t="shared" ref="CD3:CD4" ca="1" si="66">((M3+I3+(LOG(J3)*4/3))*0.406)</f>
        <v>1.1719722390348695</v>
      </c>
      <c r="CE3" s="71">
        <f t="shared" ref="CE3:CE4" ca="1" si="67">IF(D3="TEC",((N3+I3+(LOG(J3)*4/3))*0.15)+((O3+I3+(LOG(J3)*4/3))*0.324)+((P3+I3+(LOG(J3)*4/3))*0.127),(((N3+I3+(LOG(J3)*4/3))*0.144)+((O3+I3+(LOG(J3)*4/3))*0.25)+((P3+I3+(LOG(J3)*4/3))*0.127)))</f>
        <v>1.5039348190570614</v>
      </c>
      <c r="CF3" s="71">
        <f t="shared" ref="CF3:CF4" ca="1" si="68">((O3+I3+(LOG(J3)*4/3))*0.543)+((P3+I3+(LOG(J3)*4/3))*0.583)</f>
        <v>3.2503466530868543</v>
      </c>
      <c r="CG3" s="71">
        <f t="shared" ref="CG3:CG4" ca="1" si="69">CE3</f>
        <v>1.5039348190570614</v>
      </c>
      <c r="CH3" s="71">
        <f t="shared" ref="CH3:CH4" ca="1" si="70">((P3+1+(LOG(J3)*4/3))*0.26)+((N3+I3+(LOG(J3)*4/3))*0.221)+((O3+I3+(LOG(J3)*4/3))*0.142)</f>
        <v>1.7983711943810925</v>
      </c>
      <c r="CI3" s="71">
        <f t="shared" ref="CI3:CI4" ca="1" si="71">((P3+I3+(LOG(J3)*4/3))*1)+((O3+I3+(LOG(J3)*4/3))*0.369)</f>
        <v>3.9517980178293994</v>
      </c>
      <c r="CJ3" s="71">
        <f t="shared" ref="CJ3:CJ4" ca="1" si="72">CH3</f>
        <v>1.7983711943810925</v>
      </c>
      <c r="CK3" s="71">
        <f t="shared" ref="CK3:CK4" ca="1" si="73">((M3+I3+(LOG(J3)*4/3))*0.25)</f>
        <v>0.72165778265693925</v>
      </c>
    </row>
    <row r="4" spans="1:89" x14ac:dyDescent="0.25">
      <c r="A4" t="str">
        <f>PLANTILLA!D5</f>
        <v>L. Guangwei</v>
      </c>
      <c r="B4" s="57">
        <f>PLANTILLA!E5</f>
        <v>26</v>
      </c>
      <c r="C4" s="95">
        <f ca="1">PLANTILLA!F5</f>
        <v>35</v>
      </c>
      <c r="D4" s="57" t="str">
        <f>PLANTILLA!G5</f>
        <v>IMP</v>
      </c>
      <c r="E4" s="204">
        <f>PLANTILLA!O5</f>
        <v>43878</v>
      </c>
      <c r="F4" s="95">
        <f>PLANTILLA!Q5</f>
        <v>7</v>
      </c>
      <c r="G4" s="115">
        <f t="shared" si="0"/>
        <v>1</v>
      </c>
      <c r="H4" s="115">
        <f t="shared" si="1"/>
        <v>1</v>
      </c>
      <c r="I4" s="150">
        <f ca="1">PLANTILLA!P5</f>
        <v>1</v>
      </c>
      <c r="J4" s="151">
        <f>PLANTILLA!I5</f>
        <v>6.5</v>
      </c>
      <c r="K4" s="48">
        <f>PLANTILLA!X5</f>
        <v>15</v>
      </c>
      <c r="L4" s="48">
        <f>PLANTILLA!Y5</f>
        <v>6.6</v>
      </c>
      <c r="M4" s="48">
        <f>PLANTILLA!Z5</f>
        <v>3</v>
      </c>
      <c r="N4" s="48">
        <f>PLANTILLA!AA5</f>
        <v>1</v>
      </c>
      <c r="O4" s="48">
        <f>PLANTILLA!AB5</f>
        <v>5</v>
      </c>
      <c r="P4" s="48">
        <f>PLANTILLA!AC5</f>
        <v>5</v>
      </c>
      <c r="Q4" s="48">
        <f>PLANTILLA!AD5</f>
        <v>21.5</v>
      </c>
      <c r="R4" s="151">
        <f t="shared" si="2"/>
        <v>2.4500000000000002</v>
      </c>
      <c r="S4" s="151">
        <f t="shared" ca="1" si="3"/>
        <v>17.130384690907611</v>
      </c>
      <c r="T4" s="48">
        <f t="shared" si="4"/>
        <v>0.89499999999999991</v>
      </c>
      <c r="U4" s="48">
        <f t="shared" si="5"/>
        <v>0.90900000000000003</v>
      </c>
      <c r="V4" s="151">
        <f t="shared" ca="1" si="6"/>
        <v>23.583884475523806</v>
      </c>
      <c r="W4" s="151">
        <f t="shared" ca="1" si="7"/>
        <v>23.583884475523806</v>
      </c>
      <c r="X4" s="71">
        <f t="shared" ca="1" si="8"/>
        <v>12.595831147132282</v>
      </c>
      <c r="Y4" s="71">
        <f t="shared" ca="1" si="9"/>
        <v>18.485294857901234</v>
      </c>
      <c r="Z4" s="71">
        <f t="shared" ca="1" si="10"/>
        <v>12.595831147132282</v>
      </c>
      <c r="AA4" s="71">
        <f t="shared" ca="1" si="11"/>
        <v>4.480884389370285</v>
      </c>
      <c r="AB4" s="71">
        <f t="shared" ca="1" si="12"/>
        <v>8.6838844755238078</v>
      </c>
      <c r="AC4" s="71">
        <f t="shared" ca="1" si="13"/>
        <v>2.2404421946851425</v>
      </c>
      <c r="AD4" s="71">
        <f t="shared" ca="1" si="14"/>
        <v>1.2099645051746661</v>
      </c>
      <c r="AE4" s="71">
        <f t="shared" ca="1" si="15"/>
        <v>3.2825083317479993</v>
      </c>
      <c r="AF4" s="71">
        <f t="shared" ca="1" si="16"/>
        <v>6.2784484758037129</v>
      </c>
      <c r="AG4" s="71">
        <f t="shared" ca="1" si="17"/>
        <v>1.6412541658739996</v>
      </c>
      <c r="AH4" s="71">
        <f t="shared" ca="1" si="18"/>
        <v>1.9572955230766658</v>
      </c>
      <c r="AI4" s="71">
        <f t="shared" ca="1" si="19"/>
        <v>7.9891737174819033</v>
      </c>
      <c r="AJ4" s="71">
        <f t="shared" ca="1" si="20"/>
        <v>3.5951281728668563</v>
      </c>
      <c r="AK4" s="71">
        <f t="shared" ca="1" si="21"/>
        <v>0.84900870741247592</v>
      </c>
      <c r="AL4" s="71">
        <f t="shared" ca="1" si="22"/>
        <v>1.8133240716079986</v>
      </c>
      <c r="AM4" s="71">
        <f t="shared" ca="1" si="23"/>
        <v>6.5476488945449507</v>
      </c>
      <c r="AN4" s="71">
        <f t="shared" ca="1" si="24"/>
        <v>6.1481902086708553</v>
      </c>
      <c r="AO4" s="71">
        <f t="shared" ca="1" si="25"/>
        <v>3.9385087074124758</v>
      </c>
      <c r="AP4" s="71">
        <f t="shared" ca="1" si="26"/>
        <v>1.3057587289508565</v>
      </c>
      <c r="AQ4" s="71">
        <f t="shared" ca="1" si="27"/>
        <v>2.3446488083914283</v>
      </c>
      <c r="AR4" s="71">
        <f t="shared" ca="1" si="28"/>
        <v>5.1582273784611417</v>
      </c>
      <c r="AS4" s="71">
        <f t="shared" ca="1" si="29"/>
        <v>1.1723244041957142</v>
      </c>
      <c r="AT4" s="71">
        <f t="shared" ca="1" si="30"/>
        <v>4.7991869448944735</v>
      </c>
      <c r="AU4" s="71">
        <f t="shared" ca="1" si="31"/>
        <v>0.92090498181809499</v>
      </c>
      <c r="AV4" s="71">
        <f t="shared" ca="1" si="32"/>
        <v>2.0755781513284752</v>
      </c>
      <c r="AW4" s="71">
        <f t="shared" ca="1" si="33"/>
        <v>0.4604524909090475</v>
      </c>
      <c r="AX4" s="71">
        <f t="shared" ca="1" si="34"/>
        <v>1.6412541658739996</v>
      </c>
      <c r="AY4" s="71">
        <f t="shared" ca="1" si="35"/>
        <v>3.4735537902095235</v>
      </c>
      <c r="AZ4" s="71">
        <f t="shared" ca="1" si="36"/>
        <v>0.82062708293699982</v>
      </c>
      <c r="BA4" s="71">
        <f t="shared" ca="1" si="37"/>
        <v>5.0838844755238073</v>
      </c>
      <c r="BB4" s="71">
        <f t="shared" ca="1" si="38"/>
        <v>1.7922227723075232</v>
      </c>
      <c r="BC4" s="71">
        <f t="shared" ca="1" si="39"/>
        <v>3.9032203460136179</v>
      </c>
      <c r="BD4" s="71">
        <f t="shared" ca="1" si="40"/>
        <v>0.89611138615376162</v>
      </c>
      <c r="BE4" s="71">
        <f t="shared" ca="1" si="41"/>
        <v>2.5270103823774277</v>
      </c>
      <c r="BF4" s="71">
        <f t="shared" ca="1" si="42"/>
        <v>3.021991797482285</v>
      </c>
      <c r="BG4" s="71">
        <f t="shared" ca="1" si="43"/>
        <v>4.4789022229364743</v>
      </c>
      <c r="BH4" s="71">
        <f t="shared" ca="1" si="44"/>
        <v>4.0015732987406647</v>
      </c>
      <c r="BI4" s="71">
        <f t="shared" ca="1" si="45"/>
        <v>1.7072161586012375</v>
      </c>
      <c r="BJ4" s="71">
        <f t="shared" ca="1" si="46"/>
        <v>4.2116839706290463</v>
      </c>
      <c r="BK4" s="71">
        <f t="shared" ca="1" si="47"/>
        <v>2.2925455015382852</v>
      </c>
      <c r="BL4" s="71">
        <f t="shared" ca="1" si="48"/>
        <v>1.9369599851745707</v>
      </c>
      <c r="BM4" s="71">
        <f t="shared" ca="1" si="49"/>
        <v>3.4993150316078081</v>
      </c>
      <c r="BN4" s="71">
        <f t="shared" ca="1" si="50"/>
        <v>0.36836199272723796</v>
      </c>
      <c r="BO4" s="71">
        <f t="shared" ca="1" si="51"/>
        <v>1.5630992055942854</v>
      </c>
      <c r="BP4" s="71">
        <f t="shared" ca="1" si="52"/>
        <v>0.59050414433561893</v>
      </c>
      <c r="BQ4" s="71">
        <f t="shared" ca="1" si="53"/>
        <v>1.5505847650347613</v>
      </c>
      <c r="BR4" s="71">
        <f t="shared" ca="1" si="54"/>
        <v>5.109875435523616</v>
      </c>
      <c r="BS4" s="71">
        <f t="shared" ca="1" si="55"/>
        <v>0.95632440419571407</v>
      </c>
      <c r="BT4" s="71">
        <f t="shared" ca="1" si="56"/>
        <v>2.4662231910487611</v>
      </c>
      <c r="BU4" s="71">
        <f t="shared" ca="1" si="57"/>
        <v>2.1188678120278093</v>
      </c>
      <c r="BV4" s="71">
        <f t="shared" ca="1" si="58"/>
        <v>2.3131674363633326</v>
      </c>
      <c r="BW4" s="71">
        <f t="shared" ca="1" si="59"/>
        <v>4.3929439988803782</v>
      </c>
      <c r="BX4" s="71">
        <f t="shared" ca="1" si="60"/>
        <v>0.8571500215383806</v>
      </c>
      <c r="BY4" s="71">
        <f t="shared" ca="1" si="61"/>
        <v>2.4662231910487611</v>
      </c>
      <c r="BZ4" s="71">
        <f t="shared" ca="1" si="62"/>
        <v>2.1188678120278093</v>
      </c>
      <c r="CA4" s="71">
        <f t="shared" ca="1" si="63"/>
        <v>3.2079311040555223</v>
      </c>
      <c r="CB4" s="71">
        <f t="shared" ca="1" si="64"/>
        <v>3.5320766055938075</v>
      </c>
      <c r="CC4" s="71">
        <f t="shared" ca="1" si="65"/>
        <v>1.0484149023775233</v>
      </c>
      <c r="CD4" s="71">
        <f t="shared" ca="1" si="66"/>
        <v>2.0640570970626659</v>
      </c>
      <c r="CE4" s="71">
        <f t="shared" ca="1" si="67"/>
        <v>3.1147038117479036</v>
      </c>
      <c r="CF4" s="71">
        <f t="shared" ca="1" si="68"/>
        <v>7.9764539194398072</v>
      </c>
      <c r="CG4" s="71">
        <f t="shared" ca="1" si="69"/>
        <v>3.1147038117479036</v>
      </c>
      <c r="CH4" s="71">
        <f t="shared" ca="1" si="70"/>
        <v>3.5292600282513318</v>
      </c>
      <c r="CI4" s="71">
        <f t="shared" ca="1" si="71"/>
        <v>9.6978378469920923</v>
      </c>
      <c r="CJ4" s="71">
        <f t="shared" ca="1" si="72"/>
        <v>3.5292600282513318</v>
      </c>
      <c r="CK4" s="71">
        <f t="shared" ca="1" si="73"/>
        <v>1.2709711188809518</v>
      </c>
    </row>
    <row r="5" spans="1:89" x14ac:dyDescent="0.25">
      <c r="A5" t="str">
        <f>PLANTILLA!D6</f>
        <v>V. Gardner</v>
      </c>
      <c r="B5" s="451">
        <f>PLANTILLA!E6</f>
        <v>25</v>
      </c>
      <c r="C5" s="95">
        <f ca="1">PLANTILLA!F6</f>
        <v>76</v>
      </c>
      <c r="D5" s="451">
        <f>PLANTILLA!G6</f>
        <v>0</v>
      </c>
      <c r="E5" s="204">
        <f>PLANTILLA!O6</f>
        <v>43756</v>
      </c>
      <c r="F5" s="95">
        <f>PLANTILLA!Q6</f>
        <v>6</v>
      </c>
      <c r="G5" s="115">
        <f t="shared" ref="G5:G19" si="74">(F5/7)^0.5</f>
        <v>0.92582009977255142</v>
      </c>
      <c r="H5" s="115">
        <f t="shared" ref="H5:H19" si="75">IF(F5=7,1,((F5+0.99)/7)^0.5)</f>
        <v>0.99928545900129484</v>
      </c>
      <c r="I5" s="150">
        <f ca="1">PLANTILLA!P6</f>
        <v>1</v>
      </c>
      <c r="J5" s="151">
        <f>PLANTILLA!I6</f>
        <v>6</v>
      </c>
      <c r="K5" s="48">
        <f>PLANTILLA!X6</f>
        <v>0</v>
      </c>
      <c r="L5" s="48">
        <f>PLANTILLA!Y6</f>
        <v>13.583333333333334</v>
      </c>
      <c r="M5" s="48">
        <f>PLANTILLA!Z6</f>
        <v>7.8</v>
      </c>
      <c r="N5" s="48">
        <f>PLANTILLA!AA6</f>
        <v>3</v>
      </c>
      <c r="O5" s="48">
        <f>PLANTILLA!AB6</f>
        <v>5</v>
      </c>
      <c r="P5" s="48">
        <f>PLANTILLA!AC6</f>
        <v>7.166666666666667</v>
      </c>
      <c r="Q5" s="48">
        <f>PLANTILLA!AD6</f>
        <v>18.75</v>
      </c>
      <c r="R5" s="151">
        <f t="shared" ref="R5:R19" si="76">((2*(O5+1))+(L5+1))/8</f>
        <v>3.322916666666667</v>
      </c>
      <c r="S5" s="151">
        <f t="shared" ref="S5:S19" ca="1" si="77">1.66*(P5+(LOG(J5)*4/3)+I5)+0.55*(Q5+(LOG(J5)*4/3)+I5)-7.6</f>
        <v>19.112119017797134</v>
      </c>
      <c r="T5" s="48">
        <f t="shared" ref="T5:T19" si="78">(0.5*P5+0.3*Q5)/10</f>
        <v>0.92083333333333339</v>
      </c>
      <c r="U5" s="48">
        <f t="shared" ref="U5:U19" si="79">(0.4*L5+0.3*Q5)/10</f>
        <v>1.1058333333333334</v>
      </c>
      <c r="V5" s="151">
        <f t="shared" ref="V5:V19" ca="1" si="80">IF(TODAY()-E5&gt;335,(Q5+1+(LOG(J5)*4/3))*(F5/7)^0.5,(Q5+((TODAY()-E5)^0.5)/(336^0.5)+(LOG(J5)*4/3))*(F5/7)^0.5)</f>
        <v>19.245517728198983</v>
      </c>
      <c r="W5" s="151">
        <f t="shared" ref="W5:W19" ca="1" si="81">IF(F5=7,V5,IF(TODAY()-E5&gt;335,(Q5+1+(LOG(J5)*4/3))*((F5+0.99)/7)^0.5,(Q5+((TODAY()-E5)^0.5)/(336^0.5)+(LOG(J5)*4/3))*((F5+0.99)/7)^0.5))</f>
        <v>20.772681454491643</v>
      </c>
      <c r="X5" s="71">
        <f t="shared" ref="X5:X19" ca="1" si="82">((K5+I5+(LOG(J5)*4/3))*0.597)+((L5+I5+(LOG(J5)*4/3))*0.276)</f>
        <v>5.5277680554465611</v>
      </c>
      <c r="Y5" s="71">
        <f t="shared" ref="Y5:Y19" ca="1" si="83">((K5+I5+(LOG(J5)*4/3))*0.866)+((L5+I5+(LOG(J5)*4/3))*0.425)</f>
        <v>8.4033743523270452</v>
      </c>
      <c r="Z5" s="71">
        <f t="shared" ref="Z5:Z19" ca="1" si="84">X5</f>
        <v>5.5277680554465611</v>
      </c>
      <c r="AA5" s="71">
        <f t="shared" ref="AA5:AA19" ca="1" si="85">((L5+I5+(LOG(J5)*4/3))*0.516)</f>
        <v>8.0603680602639471</v>
      </c>
      <c r="AB5" s="71">
        <f t="shared" ref="AB5:AB19" ca="1" si="86">(L5+I5+(LOG(J5)*4/3))*1</f>
        <v>15.620868333844859</v>
      </c>
      <c r="AC5" s="71">
        <f t="shared" ref="AC5:AC19" ca="1" si="87">AA5/2</f>
        <v>4.0301840301319736</v>
      </c>
      <c r="AD5" s="71">
        <f t="shared" ref="AD5:AD19" ca="1" si="88">(M5+I5+(LOG(J5)*4/3))*0.238</f>
        <v>2.3413333301217429</v>
      </c>
      <c r="AE5" s="71">
        <f t="shared" ref="AE5:AE19" ca="1" si="89">((L5+I5+(LOG(J5)*4/3))*0.378)</f>
        <v>5.904688230193357</v>
      </c>
      <c r="AF5" s="71">
        <f t="shared" ref="AF5:AF19" ca="1" si="90">(L5+I5+(LOG(J5)*4/3))*0.723</f>
        <v>11.293887805369833</v>
      </c>
      <c r="AG5" s="71">
        <f t="shared" ref="AG5:AG19" ca="1" si="91">AE5/2</f>
        <v>2.9523441150966785</v>
      </c>
      <c r="AH5" s="71">
        <f t="shared" ref="AH5:AH19" ca="1" si="92">(M5+I5+(LOG(J5)*4/3))*0.385</f>
        <v>3.7874509751969376</v>
      </c>
      <c r="AI5" s="71">
        <f t="shared" ref="AI5:AI19" ca="1" si="93">((L5+I5+(LOG(J5)*4/3))*0.92)</f>
        <v>14.37119886713727</v>
      </c>
      <c r="AJ5" s="71">
        <f t="shared" ref="AJ5:AJ19" ca="1" si="94">(L5+I5+(LOG(J5)*4/3))*0.414</f>
        <v>6.4670394902117714</v>
      </c>
      <c r="AK5" s="71">
        <f t="shared" ref="AK5:AK19" ca="1" si="95">((M5+I5+(LOG(J5)*4/3))*0.167)</f>
        <v>1.6428683450854249</v>
      </c>
      <c r="AL5" s="71">
        <f t="shared" ref="AL5:AL19" ca="1" si="96">(N5+I5+(LOG(J5)*4/3))*0.588</f>
        <v>2.9620705803007765</v>
      </c>
      <c r="AM5" s="71">
        <f t="shared" ref="AM5:AM19" ca="1" si="97">((L5+I5+(LOG(J5)*4/3))*0.754)</f>
        <v>11.778134723719024</v>
      </c>
      <c r="AN5" s="71">
        <f t="shared" ref="AN5:AN19" ca="1" si="98">((L5+I5+(LOG(J5)*4/3))*0.708)</f>
        <v>11.05957478036216</v>
      </c>
      <c r="AO5" s="71">
        <f t="shared" ref="AO5:AO19" ca="1" si="99">((Q5+I5+(LOG(J5)*4/3))*0.167)</f>
        <v>3.4715183450854248</v>
      </c>
      <c r="AP5" s="71">
        <f t="shared" ref="AP5:AP19" ca="1" si="100">((R5+I5+(LOG(J5)*4/3))*0.288)</f>
        <v>1.5438100801473191</v>
      </c>
      <c r="AQ5" s="71">
        <f t="shared" ref="AQ5:AQ19" ca="1" si="101">((L5+I5+(LOG(J5)*4/3))*0.27)</f>
        <v>4.217634450138112</v>
      </c>
      <c r="AR5" s="71">
        <f t="shared" ref="AR5:AR19" ca="1" si="102">((L5+I5+(LOG(J5)*4/3))*0.594)</f>
        <v>9.278795790303846</v>
      </c>
      <c r="AS5" s="71">
        <f t="shared" ref="AS5:AS19" ca="1" si="103">AQ5/2</f>
        <v>2.108817225069056</v>
      </c>
      <c r="AT5" s="71">
        <f t="shared" ref="AT5:AT19" ca="1" si="104">((M5+I5+(LOG(J5)*4/3))*0.944)</f>
        <v>9.2866330404828794</v>
      </c>
      <c r="AU5" s="71">
        <f t="shared" ref="AU5:AU19" ca="1" si="105">((O5+I5+(LOG(J5)*4/3))*0.13)</f>
        <v>0.91487955006649835</v>
      </c>
      <c r="AV5" s="71">
        <f t="shared" ref="AV5:AV19" ca="1" si="106">((P5+I5+(LOG(J5)*4/3))*0.173)+((O5+I5+(LOG(J5)*4/3))*0.12)</f>
        <v>2.4368310884832103</v>
      </c>
      <c r="AW5" s="71">
        <f t="shared" ref="AW5:AW19" ca="1" si="107">AU5/2</f>
        <v>0.45743977503324917</v>
      </c>
      <c r="AX5" s="71">
        <f t="shared" ref="AX5:AX19" ca="1" si="108">((L5+I5+(LOG(J5)*4/3))*0.189)</f>
        <v>2.9523441150966785</v>
      </c>
      <c r="AY5" s="71">
        <f t="shared" ref="AY5:AY19" ca="1" si="109">((L5+I5+(LOG(J5)*4/3))*0.4)</f>
        <v>6.2483473335379438</v>
      </c>
      <c r="AZ5" s="71">
        <f t="shared" ref="AZ5:AZ19" ca="1" si="110">AX5/2</f>
        <v>1.4761720575483392</v>
      </c>
      <c r="BA5" s="71">
        <f t="shared" ref="BA5:BA19" ca="1" si="111">((M5+I5+(LOG(J5)*4/3))*1)</f>
        <v>9.8375350005115259</v>
      </c>
      <c r="BB5" s="71">
        <f t="shared" ref="BB5:BB19" ca="1" si="112">((O5+I5+(LOG(J5)*4/3))*0.253)</f>
        <v>1.780496355129416</v>
      </c>
      <c r="BC5" s="71">
        <f t="shared" ref="BC5:BC19" ca="1" si="113">((P5+I5+(LOG(J5)*4/3))*0.21)+((O5+I5+(LOG(J5)*4/3))*0.341)</f>
        <v>4.3326817852818502</v>
      </c>
      <c r="BD5" s="71">
        <f t="shared" ref="BD5:BD19" ca="1" si="114">BB5/2</f>
        <v>0.89024817756470798</v>
      </c>
      <c r="BE5" s="71">
        <f t="shared" ref="BE5:BE19" ca="1" si="115">((L5+I5+(LOG(J5)*4/3))*0.291)</f>
        <v>4.5456726851488538</v>
      </c>
      <c r="BF5" s="71">
        <f t="shared" ref="BF5:BF19" ca="1" si="116">((L5+I5+(LOG(J5)*4/3))*0.348)</f>
        <v>5.4360621801780109</v>
      </c>
      <c r="BG5" s="71">
        <f t="shared" ref="BG5:BG19" ca="1" si="117">((M5+I5+(LOG(J5)*4/3))*0.881)</f>
        <v>8.6668683354506548</v>
      </c>
      <c r="BH5" s="71">
        <f t="shared" ref="BH5:BH19" ca="1" si="118">((N5+I5+(LOG(J5)*4/3))*0.574)+((O5+I5+(LOG(J5)*4/3))*0.315)</f>
        <v>5.1083686154547454</v>
      </c>
      <c r="BI5" s="71">
        <f t="shared" ref="BI5:BI19" ca="1" si="119">((O5+I5+(LOG(J5)*4/3))*0.241)</f>
        <v>1.6960459351232775</v>
      </c>
      <c r="BJ5" s="71">
        <f t="shared" ref="BJ5:BJ19" ca="1" si="120">((L5+I5+(LOG(J5)*4/3))*0.485)</f>
        <v>7.5761211419147561</v>
      </c>
      <c r="BK5" s="71">
        <f t="shared" ref="BK5:BK19" ca="1" si="121">((L5+I5+(LOG(J5)*4/3))*0.264)</f>
        <v>4.1239092401350428</v>
      </c>
      <c r="BL5" s="71">
        <f t="shared" ref="BL5:BL19" ca="1" si="122">((M5+I5+(LOG(J5)*4/3))*0.381)</f>
        <v>3.7481008351948915</v>
      </c>
      <c r="BM5" s="71">
        <f t="shared" ref="BM5:BM19" ca="1" si="123">((N5+I5+(LOG(J5)*4/3))*0.673)+((O5+I5+(LOG(J5)*4/3))*0.201)</f>
        <v>4.8048055904470734</v>
      </c>
      <c r="BN5" s="71">
        <f t="shared" ref="BN5:BN19" ca="1" si="124">((O5+I5+(LOG(J5)*4/3))*0.052)</f>
        <v>0.36595182002659932</v>
      </c>
      <c r="BO5" s="71">
        <f t="shared" ref="BO5:BO19" ca="1" si="125">((L5+I5+(LOG(J5)*4/3))*0.18)</f>
        <v>2.8117563000920747</v>
      </c>
      <c r="BP5" s="71">
        <f t="shared" ref="BP5:BP19" ca="1" si="126">(L5+I5+(LOG(J5)*4/3))*0.068</f>
        <v>1.0622190467014505</v>
      </c>
      <c r="BQ5" s="71">
        <f t="shared" ref="BQ5:BQ19" ca="1" si="127">((M5+I5+(LOG(J5)*4/3))*0.305)</f>
        <v>3.0004481751560155</v>
      </c>
      <c r="BR5" s="71">
        <f t="shared" ref="BR5:BR19" ca="1" si="128">((N5+I5+(LOG(J5)*4/3))*1)+((O5+I5+(LOG(J5)*4/3))*0.286)</f>
        <v>7.0502700106578207</v>
      </c>
      <c r="BS5" s="71">
        <f t="shared" ref="BS5:BS19" ca="1" si="129">((O5+I5+(LOG(J5)*4/3))*0.135)</f>
        <v>0.95006722506905594</v>
      </c>
      <c r="BT5" s="71">
        <f t="shared" ref="BT5:BT19" ca="1" si="130">((L5+I5+(LOG(J5)*4/3))*0.284)</f>
        <v>4.4363266068119396</v>
      </c>
      <c r="BU5" s="71">
        <f t="shared" ref="BU5:BU19" ca="1" si="131">(L5+I5+(LOG(J5)*4/3))*0.244</f>
        <v>3.8114918734581456</v>
      </c>
      <c r="BV5" s="71">
        <f t="shared" ref="BV5:BV19" ca="1" si="132">((M5+I5+(LOG(J5)*4/3))*0.455)</f>
        <v>4.4760784252327444</v>
      </c>
      <c r="BW5" s="71">
        <f t="shared" ref="BW5:BW19" ca="1" si="133">((N5+I5+(LOG(J5)*4/3))*0.864)+((O5+I5+(LOG(J5)*4/3))*0.244)</f>
        <v>6.0695887805667699</v>
      </c>
      <c r="BX5" s="71">
        <f t="shared" ref="BX5:BX19" ca="1" si="134">((O5+I5+(LOG(J5)*4/3))*0.121)</f>
        <v>0.85154173506189457</v>
      </c>
      <c r="BY5" s="71">
        <f t="shared" ref="BY5:BY19" ca="1" si="135">((L5+I5+(LOG(J5)*4/3))*0.284)</f>
        <v>4.4363266068119396</v>
      </c>
      <c r="BZ5" s="71">
        <f t="shared" ref="BZ5:BZ19" ca="1" si="136">((L5+I5+(LOG(J5)*4/3))*0.244)</f>
        <v>3.8114918734581456</v>
      </c>
      <c r="CA5" s="71">
        <f t="shared" ref="CA5:CA19" ca="1" si="137">((M5+I5+(LOG(J5)*4/3))*0.631)</f>
        <v>6.2074845853227725</v>
      </c>
      <c r="CB5" s="71">
        <f t="shared" ref="CB5:CB19" ca="1" si="138">((N5+I5+(LOG(J5)*4/3))*0.702)+((O5+I5+(LOG(J5)*4/3))*0.193)</f>
        <v>4.8945938254578145</v>
      </c>
      <c r="CC5" s="71">
        <f t="shared" ref="CC5:CC19" ca="1" si="139">((O5+I5+(LOG(J5)*4/3))*0.148)</f>
        <v>1.0415551800757057</v>
      </c>
      <c r="CD5" s="71">
        <f t="shared" ref="CD5:CD19" ca="1" si="140">((M5+I5+(LOG(J5)*4/3))*0.406)</f>
        <v>3.9940392102076796</v>
      </c>
      <c r="CE5" s="71">
        <f t="shared" ref="CE5:CE19" ca="1" si="141">IF(D5="TEC",((N5+I5+(LOG(J5)*4/3))*0.15)+((O5+I5+(LOG(J5)*4/3))*0.324)+((P5+I5+(LOG(J5)*4/3))*0.127),(((N5+I5+(LOG(J5)*4/3))*0.144)+((O5+I5+(LOG(J5)*4/3))*0.25)+((P5+I5+(LOG(J5)*4/3))*0.127)))</f>
        <v>3.6537224019331713</v>
      </c>
      <c r="CF5" s="71">
        <f t="shared" ref="CF5:CF19" ca="1" si="142">((O5+I5+(LOG(J5)*4/3))*0.543)+((P5+I5+(LOG(J5)*4/3))*0.583)</f>
        <v>9.1874310772426444</v>
      </c>
      <c r="CG5" s="71">
        <f t="shared" ref="CG5:CG19" ca="1" si="143">CE5</f>
        <v>3.6537224019331713</v>
      </c>
      <c r="CH5" s="71">
        <f t="shared" ref="CH5:CH19" ca="1" si="144">((P5+1+(LOG(J5)*4/3))*0.26)+((N5+I5+(LOG(J5)*4/3))*0.221)+((O5+I5+(LOG(J5)*4/3))*0.142)</f>
        <v>4.5057176386520137</v>
      </c>
      <c r="CI5" s="71">
        <f t="shared" ref="CI5:CI19" ca="1" si="145">((P5+I5+(LOG(J5)*4/3))*1)+((O5+I5+(LOG(J5)*4/3))*0.369)</f>
        <v>11.801052082366946</v>
      </c>
      <c r="CJ5" s="71">
        <f t="shared" ref="CJ5:CJ19" ca="1" si="146">CH5</f>
        <v>4.5057176386520137</v>
      </c>
      <c r="CK5" s="71">
        <f t="shared" ref="CK5:CK19" ca="1" si="147">((M5+I5+(LOG(J5)*4/3))*0.25)</f>
        <v>2.4593837501278815</v>
      </c>
    </row>
    <row r="6" spans="1:89" x14ac:dyDescent="0.25">
      <c r="A6" t="str">
        <f>PLANTILLA!D7</f>
        <v>S. Embe</v>
      </c>
      <c r="B6" s="451">
        <f>PLANTILLA!E7</f>
        <v>26</v>
      </c>
      <c r="C6" s="95">
        <f ca="1">PLANTILLA!F7</f>
        <v>20</v>
      </c>
      <c r="D6" s="451">
        <f>PLANTILLA!G7</f>
        <v>0</v>
      </c>
      <c r="E6" s="204">
        <f>PLANTILLA!O7</f>
        <v>43920</v>
      </c>
      <c r="F6" s="95">
        <f>PLANTILLA!Q7</f>
        <v>6</v>
      </c>
      <c r="G6" s="115">
        <f t="shared" si="74"/>
        <v>0.92582009977255142</v>
      </c>
      <c r="H6" s="115">
        <f t="shared" si="75"/>
        <v>0.99928545900129484</v>
      </c>
      <c r="I6" s="150">
        <f ca="1">PLANTILLA!P7</f>
        <v>1</v>
      </c>
      <c r="J6" s="151">
        <f>PLANTILLA!I7</f>
        <v>5</v>
      </c>
      <c r="K6" s="48">
        <f>PLANTILLA!X7</f>
        <v>0</v>
      </c>
      <c r="L6" s="48">
        <f>PLANTILLA!Y7</f>
        <v>12.416666666666666</v>
      </c>
      <c r="M6" s="48">
        <f>PLANTILLA!Z7</f>
        <v>6.2</v>
      </c>
      <c r="N6" s="48">
        <f>PLANTILLA!AA7</f>
        <v>1</v>
      </c>
      <c r="O6" s="48">
        <f>PLANTILLA!AB7</f>
        <v>5</v>
      </c>
      <c r="P6" s="48">
        <f>PLANTILLA!AC7</f>
        <v>7</v>
      </c>
      <c r="Q6" s="48">
        <f>PLANTILLA!AD7</f>
        <v>19.8</v>
      </c>
      <c r="R6" s="151">
        <f t="shared" si="76"/>
        <v>3.177083333333333</v>
      </c>
      <c r="S6" s="151">
        <f t="shared" ca="1" si="77"/>
        <v>19.179631612776802</v>
      </c>
      <c r="T6" s="48">
        <f t="shared" si="78"/>
        <v>0.94400000000000017</v>
      </c>
      <c r="U6" s="48">
        <f t="shared" si="79"/>
        <v>1.0906666666666667</v>
      </c>
      <c r="V6" s="151">
        <f t="shared" ca="1" si="80"/>
        <v>20.119885380805595</v>
      </c>
      <c r="W6" s="151">
        <f t="shared" ca="1" si="81"/>
        <v>21.716431629375009</v>
      </c>
      <c r="X6" s="71">
        <f t="shared" ca="1" si="82"/>
        <v>5.1136010850471258</v>
      </c>
      <c r="Y6" s="71">
        <f t="shared" ca="1" si="83"/>
        <v>7.7712437007970667</v>
      </c>
      <c r="Z6" s="71">
        <f t="shared" ca="1" si="84"/>
        <v>5.1136010850471258</v>
      </c>
      <c r="AA6" s="71">
        <f t="shared" ca="1" si="85"/>
        <v>7.4038913629831802</v>
      </c>
      <c r="AB6" s="71">
        <f t="shared" ca="1" si="86"/>
        <v>14.348626672448024</v>
      </c>
      <c r="AC6" s="71">
        <f t="shared" ca="1" si="87"/>
        <v>3.7019456814915901</v>
      </c>
      <c r="AD6" s="71">
        <f t="shared" ca="1" si="88"/>
        <v>1.9354064813759633</v>
      </c>
      <c r="AE6" s="71">
        <f t="shared" ca="1" si="89"/>
        <v>5.423780882185353</v>
      </c>
      <c r="AF6" s="71">
        <f t="shared" ca="1" si="90"/>
        <v>10.37405708417992</v>
      </c>
      <c r="AG6" s="71">
        <f t="shared" ca="1" si="91"/>
        <v>2.7118904410926765</v>
      </c>
      <c r="AH6" s="71">
        <f t="shared" ca="1" si="92"/>
        <v>3.1308046022258234</v>
      </c>
      <c r="AI6" s="71">
        <f t="shared" ca="1" si="93"/>
        <v>13.200736538652183</v>
      </c>
      <c r="AJ6" s="71">
        <f t="shared" ca="1" si="94"/>
        <v>5.9403314423934814</v>
      </c>
      <c r="AK6" s="71">
        <f t="shared" ca="1" si="95"/>
        <v>1.358037320965487</v>
      </c>
      <c r="AL6" s="71">
        <f t="shared" ca="1" si="96"/>
        <v>1.7239924833994387</v>
      </c>
      <c r="AM6" s="71">
        <f t="shared" ca="1" si="97"/>
        <v>10.81886451102581</v>
      </c>
      <c r="AN6" s="71">
        <f t="shared" ca="1" si="98"/>
        <v>10.1588276840932</v>
      </c>
      <c r="AO6" s="71">
        <f t="shared" ca="1" si="99"/>
        <v>3.6292373209654873</v>
      </c>
      <c r="AP6" s="71">
        <f t="shared" ca="1" si="100"/>
        <v>1.4714044816650311</v>
      </c>
      <c r="AQ6" s="71">
        <f t="shared" ca="1" si="101"/>
        <v>3.8741292015609665</v>
      </c>
      <c r="AR6" s="71">
        <f t="shared" ca="1" si="102"/>
        <v>8.5230842434341252</v>
      </c>
      <c r="AS6" s="71">
        <f t="shared" ca="1" si="103"/>
        <v>1.9370646007804833</v>
      </c>
      <c r="AT6" s="71">
        <f t="shared" ca="1" si="104"/>
        <v>7.6765702454576026</v>
      </c>
      <c r="AU6" s="71">
        <f t="shared" ca="1" si="105"/>
        <v>0.90115480075157661</v>
      </c>
      <c r="AV6" s="71">
        <f t="shared" ca="1" si="106"/>
        <v>2.3770642816939378</v>
      </c>
      <c r="AW6" s="71">
        <f t="shared" ca="1" si="107"/>
        <v>0.45057740037578831</v>
      </c>
      <c r="AX6" s="71">
        <f t="shared" ca="1" si="108"/>
        <v>2.7118904410926765</v>
      </c>
      <c r="AY6" s="71">
        <f t="shared" ca="1" si="109"/>
        <v>5.7394506689792095</v>
      </c>
      <c r="AZ6" s="71">
        <f t="shared" ca="1" si="110"/>
        <v>1.3559452205463383</v>
      </c>
      <c r="BA6" s="71">
        <f t="shared" ca="1" si="111"/>
        <v>8.1319600057813588</v>
      </c>
      <c r="BB6" s="71">
        <f t="shared" ca="1" si="112"/>
        <v>1.7537858814626837</v>
      </c>
      <c r="BC6" s="71">
        <f t="shared" ca="1" si="113"/>
        <v>4.2395099631855286</v>
      </c>
      <c r="BD6" s="71">
        <f t="shared" ca="1" si="114"/>
        <v>0.87689294073134183</v>
      </c>
      <c r="BE6" s="71">
        <f t="shared" ca="1" si="115"/>
        <v>4.1754503616823744</v>
      </c>
      <c r="BF6" s="71">
        <f t="shared" ca="1" si="116"/>
        <v>4.993322082011912</v>
      </c>
      <c r="BG6" s="71">
        <f t="shared" ca="1" si="117"/>
        <v>7.1642567650933771</v>
      </c>
      <c r="BH6" s="71">
        <f t="shared" ca="1" si="118"/>
        <v>3.8665124451396276</v>
      </c>
      <c r="BI6" s="71">
        <f t="shared" ca="1" si="119"/>
        <v>1.6706023613933074</v>
      </c>
      <c r="BJ6" s="71">
        <f t="shared" ca="1" si="120"/>
        <v>6.9590839361372909</v>
      </c>
      <c r="BK6" s="71">
        <f t="shared" ca="1" si="121"/>
        <v>3.7880374415262783</v>
      </c>
      <c r="BL6" s="71">
        <f t="shared" ca="1" si="122"/>
        <v>3.0982767622026977</v>
      </c>
      <c r="BM6" s="71">
        <f t="shared" ca="1" si="123"/>
        <v>3.3665330450529076</v>
      </c>
      <c r="BN6" s="71">
        <f t="shared" ca="1" si="124"/>
        <v>0.36046192030063062</v>
      </c>
      <c r="BO6" s="71">
        <f t="shared" ca="1" si="125"/>
        <v>2.5827528010406442</v>
      </c>
      <c r="BP6" s="71">
        <f t="shared" ca="1" si="126"/>
        <v>0.97570661372646572</v>
      </c>
      <c r="BQ6" s="71">
        <f t="shared" ca="1" si="127"/>
        <v>2.4802478017633143</v>
      </c>
      <c r="BR6" s="71">
        <f t="shared" ca="1" si="128"/>
        <v>4.9145005674348266</v>
      </c>
      <c r="BS6" s="71">
        <f t="shared" ca="1" si="129"/>
        <v>0.93581460078048351</v>
      </c>
      <c r="BT6" s="71">
        <f t="shared" ca="1" si="130"/>
        <v>4.075009974975238</v>
      </c>
      <c r="BU6" s="71">
        <f t="shared" ca="1" si="131"/>
        <v>3.5010649080773177</v>
      </c>
      <c r="BV6" s="71">
        <f t="shared" ca="1" si="132"/>
        <v>3.7000418026305182</v>
      </c>
      <c r="BW6" s="71">
        <f t="shared" ca="1" si="133"/>
        <v>4.2246116864057459</v>
      </c>
      <c r="BX6" s="71">
        <f t="shared" ca="1" si="134"/>
        <v>0.83876716069954438</v>
      </c>
      <c r="BY6" s="71">
        <f t="shared" ca="1" si="135"/>
        <v>4.075009974975238</v>
      </c>
      <c r="BZ6" s="71">
        <f t="shared" ca="1" si="136"/>
        <v>3.5010649080773177</v>
      </c>
      <c r="CA6" s="71">
        <f t="shared" ca="1" si="137"/>
        <v>5.1312667636480374</v>
      </c>
      <c r="CB6" s="71">
        <f t="shared" ca="1" si="138"/>
        <v>3.396104205174316</v>
      </c>
      <c r="CC6" s="71">
        <f t="shared" ca="1" si="139"/>
        <v>1.0259300808556411</v>
      </c>
      <c r="CD6" s="71">
        <f t="shared" ca="1" si="140"/>
        <v>3.3015757623472317</v>
      </c>
      <c r="CE6" s="71">
        <f t="shared" ca="1" si="141"/>
        <v>3.2895511630120877</v>
      </c>
      <c r="CF6" s="71">
        <f t="shared" ca="1" si="142"/>
        <v>8.971386966509808</v>
      </c>
      <c r="CG6" s="71">
        <f t="shared" ca="1" si="143"/>
        <v>3.2895511630120877</v>
      </c>
      <c r="CH6" s="71">
        <f t="shared" ca="1" si="144"/>
        <v>3.9546110836017867</v>
      </c>
      <c r="CI6" s="71">
        <f t="shared" ca="1" si="145"/>
        <v>11.489853247914679</v>
      </c>
      <c r="CJ6" s="71">
        <f t="shared" ca="1" si="146"/>
        <v>3.9546110836017867</v>
      </c>
      <c r="CK6" s="71">
        <f t="shared" ca="1" si="147"/>
        <v>2.0329900014453397</v>
      </c>
    </row>
    <row r="7" spans="1:89" x14ac:dyDescent="0.25">
      <c r="A7" t="str">
        <f>PLANTILLA!D8</f>
        <v>S. Swärdborn</v>
      </c>
      <c r="B7" s="451">
        <f>PLANTILLA!E8</f>
        <v>25</v>
      </c>
      <c r="C7" s="95">
        <f ca="1">PLANTILLA!F8</f>
        <v>64</v>
      </c>
      <c r="D7" s="451" t="str">
        <f>PLANTILLA!G8</f>
        <v>IMP</v>
      </c>
      <c r="E7" s="204">
        <f>PLANTILLA!O8</f>
        <v>43884</v>
      </c>
      <c r="F7" s="95">
        <f>PLANTILLA!Q8</f>
        <v>5</v>
      </c>
      <c r="G7" s="115">
        <f t="shared" si="74"/>
        <v>0.84515425472851657</v>
      </c>
      <c r="H7" s="115">
        <f t="shared" si="75"/>
        <v>0.92504826128926143</v>
      </c>
      <c r="I7" s="150">
        <f ca="1">PLANTILLA!P8</f>
        <v>1</v>
      </c>
      <c r="J7" s="151">
        <f>PLANTILLA!I8</f>
        <v>6.5</v>
      </c>
      <c r="K7" s="48">
        <f>PLANTILLA!X8</f>
        <v>0</v>
      </c>
      <c r="L7" s="48">
        <f>PLANTILLA!Y8</f>
        <v>13.23076923076923</v>
      </c>
      <c r="M7" s="48">
        <f>PLANTILLA!Z8</f>
        <v>9.3333333333333339</v>
      </c>
      <c r="N7" s="48">
        <f>PLANTILLA!AA8</f>
        <v>1</v>
      </c>
      <c r="O7" s="48">
        <f>PLANTILLA!AB8</f>
        <v>3</v>
      </c>
      <c r="P7" s="48">
        <f>PLANTILLA!AC8</f>
        <v>7.25</v>
      </c>
      <c r="Q7" s="48">
        <f>PLANTILLA!AD8</f>
        <v>18.25</v>
      </c>
      <c r="R7" s="151">
        <f t="shared" si="76"/>
        <v>2.7788461538461537</v>
      </c>
      <c r="S7" s="151">
        <f t="shared" ca="1" si="77"/>
        <v>19.077884690907617</v>
      </c>
      <c r="T7" s="48">
        <f t="shared" si="78"/>
        <v>0.90999999999999992</v>
      </c>
      <c r="U7" s="48">
        <f t="shared" si="79"/>
        <v>1.0767307692307693</v>
      </c>
      <c r="V7" s="151">
        <f t="shared" ca="1" si="80"/>
        <v>17.185268979647077</v>
      </c>
      <c r="W7" s="151">
        <f t="shared" ca="1" si="81"/>
        <v>18.809824479340001</v>
      </c>
      <c r="X7" s="71">
        <f t="shared" ca="1" si="82"/>
        <v>5.4709234548245922</v>
      </c>
      <c r="Y7" s="71">
        <f t="shared" ca="1" si="83"/>
        <v>8.3133717809781587</v>
      </c>
      <c r="Z7" s="71">
        <f t="shared" ca="1" si="84"/>
        <v>5.4709234548245922</v>
      </c>
      <c r="AA7" s="71">
        <f t="shared" ca="1" si="85"/>
        <v>7.9023613124472076</v>
      </c>
      <c r="AB7" s="71">
        <f t="shared" ca="1" si="86"/>
        <v>15.314653706293038</v>
      </c>
      <c r="AC7" s="71">
        <f t="shared" ca="1" si="87"/>
        <v>3.9511806562236038</v>
      </c>
      <c r="AD7" s="71">
        <f t="shared" ca="1" si="88"/>
        <v>2.7172978385079998</v>
      </c>
      <c r="AE7" s="71">
        <f t="shared" ca="1" si="89"/>
        <v>5.7889391009787685</v>
      </c>
      <c r="AF7" s="71">
        <f t="shared" ca="1" si="90"/>
        <v>11.072494629649865</v>
      </c>
      <c r="AG7" s="71">
        <f t="shared" ca="1" si="91"/>
        <v>2.8944695504893843</v>
      </c>
      <c r="AH7" s="71">
        <f t="shared" ca="1" si="92"/>
        <v>4.3956288564100001</v>
      </c>
      <c r="AI7" s="71">
        <f t="shared" ca="1" si="93"/>
        <v>14.089481409789595</v>
      </c>
      <c r="AJ7" s="71">
        <f t="shared" ca="1" si="94"/>
        <v>6.3402666344053173</v>
      </c>
      <c r="AK7" s="71">
        <f t="shared" ca="1" si="95"/>
        <v>1.9066753740791429</v>
      </c>
      <c r="AL7" s="71">
        <f t="shared" ca="1" si="96"/>
        <v>1.8133240716079986</v>
      </c>
      <c r="AM7" s="71">
        <f t="shared" ca="1" si="97"/>
        <v>11.547248894544952</v>
      </c>
      <c r="AN7" s="71">
        <f t="shared" ca="1" si="98"/>
        <v>10.84277482405547</v>
      </c>
      <c r="AO7" s="71">
        <f t="shared" ca="1" si="99"/>
        <v>3.395758707412476</v>
      </c>
      <c r="AP7" s="71">
        <f t="shared" ca="1" si="100"/>
        <v>1.4004664212585487</v>
      </c>
      <c r="AQ7" s="71">
        <f t="shared" ca="1" si="101"/>
        <v>4.1349565006991202</v>
      </c>
      <c r="AR7" s="71">
        <f t="shared" ca="1" si="102"/>
        <v>9.0969043015380642</v>
      </c>
      <c r="AS7" s="71">
        <f t="shared" ca="1" si="103"/>
        <v>2.0674782503495601</v>
      </c>
      <c r="AT7" s="71">
        <f t="shared" ca="1" si="104"/>
        <v>10.777853611561142</v>
      </c>
      <c r="AU7" s="71">
        <f t="shared" ca="1" si="105"/>
        <v>0.66090498181809498</v>
      </c>
      <c r="AV7" s="71">
        <f t="shared" ca="1" si="106"/>
        <v>2.2248281513284756</v>
      </c>
      <c r="AW7" s="71">
        <f t="shared" ca="1" si="107"/>
        <v>0.33045249090904749</v>
      </c>
      <c r="AX7" s="71">
        <f t="shared" ca="1" si="108"/>
        <v>2.8944695504893843</v>
      </c>
      <c r="AY7" s="71">
        <f t="shared" ca="1" si="109"/>
        <v>6.125861482517216</v>
      </c>
      <c r="AZ7" s="71">
        <f t="shared" ca="1" si="110"/>
        <v>1.4472347752446921</v>
      </c>
      <c r="BA7" s="71">
        <f t="shared" ca="1" si="111"/>
        <v>11.417217808857142</v>
      </c>
      <c r="BB7" s="71">
        <f t="shared" ca="1" si="112"/>
        <v>1.2862227723075232</v>
      </c>
      <c r="BC7" s="71">
        <f t="shared" ca="1" si="113"/>
        <v>3.6937203460136177</v>
      </c>
      <c r="BD7" s="71">
        <f t="shared" ca="1" si="114"/>
        <v>0.64311138615376162</v>
      </c>
      <c r="BE7" s="71">
        <f t="shared" ca="1" si="115"/>
        <v>4.4565642285312741</v>
      </c>
      <c r="BF7" s="71">
        <f t="shared" ca="1" si="116"/>
        <v>5.3294994897899768</v>
      </c>
      <c r="BG7" s="71">
        <f t="shared" ca="1" si="117"/>
        <v>10.058568889603142</v>
      </c>
      <c r="BH7" s="71">
        <f t="shared" ca="1" si="118"/>
        <v>3.3715732987406644</v>
      </c>
      <c r="BI7" s="71">
        <f t="shared" ca="1" si="119"/>
        <v>1.2252161586012376</v>
      </c>
      <c r="BJ7" s="71">
        <f t="shared" ca="1" si="120"/>
        <v>7.4276070475521232</v>
      </c>
      <c r="BK7" s="71">
        <f t="shared" ca="1" si="121"/>
        <v>4.0430685784613623</v>
      </c>
      <c r="BL7" s="71">
        <f t="shared" ca="1" si="122"/>
        <v>4.3499599851745714</v>
      </c>
      <c r="BM7" s="71">
        <f t="shared" ca="1" si="123"/>
        <v>3.097315031607808</v>
      </c>
      <c r="BN7" s="71">
        <f t="shared" ca="1" si="124"/>
        <v>0.26436199272723798</v>
      </c>
      <c r="BO7" s="71">
        <f t="shared" ca="1" si="125"/>
        <v>2.7566376671327468</v>
      </c>
      <c r="BP7" s="71">
        <f t="shared" ca="1" si="126"/>
        <v>1.0413964520279266</v>
      </c>
      <c r="BQ7" s="71">
        <f t="shared" ca="1" si="127"/>
        <v>3.4822514317014281</v>
      </c>
      <c r="BR7" s="71">
        <f t="shared" ca="1" si="128"/>
        <v>4.5378754355236159</v>
      </c>
      <c r="BS7" s="71">
        <f t="shared" ca="1" si="129"/>
        <v>0.68632440419571406</v>
      </c>
      <c r="BT7" s="71">
        <f t="shared" ca="1" si="130"/>
        <v>4.3493616525872225</v>
      </c>
      <c r="BU7" s="71">
        <f t="shared" ca="1" si="131"/>
        <v>3.7367755043355011</v>
      </c>
      <c r="BV7" s="71">
        <f t="shared" ca="1" si="132"/>
        <v>5.1948341030299998</v>
      </c>
      <c r="BW7" s="71">
        <f t="shared" ca="1" si="133"/>
        <v>3.9049439988803787</v>
      </c>
      <c r="BX7" s="71">
        <f t="shared" ca="1" si="134"/>
        <v>0.61515002153838061</v>
      </c>
      <c r="BY7" s="71">
        <f t="shared" ca="1" si="135"/>
        <v>4.3493616525872225</v>
      </c>
      <c r="BZ7" s="71">
        <f t="shared" ca="1" si="136"/>
        <v>3.7367755043355011</v>
      </c>
      <c r="CA7" s="71">
        <f t="shared" ca="1" si="137"/>
        <v>7.2042644373888569</v>
      </c>
      <c r="CB7" s="71">
        <f t="shared" ca="1" si="138"/>
        <v>3.1460766055938074</v>
      </c>
      <c r="CC7" s="71">
        <f t="shared" ca="1" si="139"/>
        <v>0.7524149023775234</v>
      </c>
      <c r="CD7" s="71">
        <f t="shared" ca="1" si="140"/>
        <v>4.6353904303959999</v>
      </c>
      <c r="CE7" s="71">
        <f t="shared" ca="1" si="141"/>
        <v>2.9004538117479037</v>
      </c>
      <c r="CF7" s="71">
        <f t="shared" ca="1" si="142"/>
        <v>8.2022039194398069</v>
      </c>
      <c r="CG7" s="71">
        <f t="shared" ca="1" si="143"/>
        <v>2.9004538117479037</v>
      </c>
      <c r="CH7" s="71">
        <f t="shared" ca="1" si="144"/>
        <v>3.8302600282513324</v>
      </c>
      <c r="CI7" s="71">
        <f t="shared" ca="1" si="145"/>
        <v>11.209837846992093</v>
      </c>
      <c r="CJ7" s="71">
        <f t="shared" ca="1" si="146"/>
        <v>3.8302600282513324</v>
      </c>
      <c r="CK7" s="71">
        <f t="shared" ca="1" si="147"/>
        <v>2.8543044522142855</v>
      </c>
    </row>
    <row r="8" spans="1:89" x14ac:dyDescent="0.25">
      <c r="A8" t="str">
        <f>PLANTILLA!D9</f>
        <v>A. Grimaud</v>
      </c>
      <c r="B8" s="451">
        <f>PLANTILLA!E9</f>
        <v>25</v>
      </c>
      <c r="C8" s="95">
        <f ca="1">PLANTILLA!F9</f>
        <v>87</v>
      </c>
      <c r="D8" s="451" t="str">
        <f>PLANTILLA!G9</f>
        <v>RAP</v>
      </c>
      <c r="E8" s="204">
        <f>PLANTILLA!O9</f>
        <v>43739</v>
      </c>
      <c r="F8" s="95">
        <f>PLANTILLA!Q9</f>
        <v>5</v>
      </c>
      <c r="G8" s="115">
        <f t="shared" si="74"/>
        <v>0.84515425472851657</v>
      </c>
      <c r="H8" s="115">
        <f t="shared" si="75"/>
        <v>0.92504826128926143</v>
      </c>
      <c r="I8" s="150">
        <f ca="1">PLANTILLA!P9</f>
        <v>1</v>
      </c>
      <c r="J8" s="151">
        <f>PLANTILLA!I9</f>
        <v>6.9</v>
      </c>
      <c r="K8" s="48">
        <f>PLANTILLA!X9</f>
        <v>0</v>
      </c>
      <c r="L8" s="48">
        <f>PLANTILLA!Y9</f>
        <v>13.23076923076923</v>
      </c>
      <c r="M8" s="48">
        <f>PLANTILLA!Z9</f>
        <v>9.5</v>
      </c>
      <c r="N8" s="48">
        <f>PLANTILLA!AA9</f>
        <v>3</v>
      </c>
      <c r="O8" s="48">
        <f>PLANTILLA!AB9</f>
        <v>3</v>
      </c>
      <c r="P8" s="48">
        <f>PLANTILLA!AC9</f>
        <v>6.125</v>
      </c>
      <c r="Q8" s="48">
        <f>PLANTILLA!AD9</f>
        <v>17.75</v>
      </c>
      <c r="R8" s="151">
        <f t="shared" si="76"/>
        <v>2.7788461538461537</v>
      </c>
      <c r="S8" s="151">
        <f t="shared" ca="1" si="77"/>
        <v>17.011808654039108</v>
      </c>
      <c r="T8" s="48">
        <f t="shared" si="78"/>
        <v>0.83874999999999988</v>
      </c>
      <c r="U8" s="48">
        <f t="shared" si="79"/>
        <v>1.0617307692307691</v>
      </c>
      <c r="V8" s="151">
        <f t="shared" ca="1" si="80"/>
        <v>16.791918113642005</v>
      </c>
      <c r="W8" s="151">
        <f t="shared" ca="1" si="81"/>
        <v>18.379289423001087</v>
      </c>
      <c r="X8" s="71">
        <f t="shared" ca="1" si="82"/>
        <v>5.5011126493104729</v>
      </c>
      <c r="Y8" s="71">
        <f t="shared" ca="1" si="83"/>
        <v>8.3580158245993186</v>
      </c>
      <c r="Z8" s="71">
        <f t="shared" ca="1" si="84"/>
        <v>5.5011126493104729</v>
      </c>
      <c r="AA8" s="71">
        <f t="shared" ca="1" si="85"/>
        <v>7.9202050975041542</v>
      </c>
      <c r="AB8" s="71">
        <f t="shared" ca="1" si="86"/>
        <v>15.34923468508557</v>
      </c>
      <c r="AC8" s="71">
        <f t="shared" ca="1" si="87"/>
        <v>3.9601025487520771</v>
      </c>
      <c r="AD8" s="71">
        <f t="shared" ca="1" si="88"/>
        <v>2.7651947781272885</v>
      </c>
      <c r="AE8" s="71">
        <f t="shared" ca="1" si="89"/>
        <v>5.8020107109623451</v>
      </c>
      <c r="AF8" s="71">
        <f t="shared" ca="1" si="90"/>
        <v>11.097496677316867</v>
      </c>
      <c r="AG8" s="71">
        <f t="shared" ca="1" si="91"/>
        <v>2.9010053554811726</v>
      </c>
      <c r="AH8" s="71">
        <f t="shared" ca="1" si="92"/>
        <v>4.4731091999117911</v>
      </c>
      <c r="AI8" s="71">
        <f t="shared" ca="1" si="93"/>
        <v>14.121295910278725</v>
      </c>
      <c r="AJ8" s="71">
        <f t="shared" ca="1" si="94"/>
        <v>6.3545831596254256</v>
      </c>
      <c r="AK8" s="71">
        <f t="shared" ca="1" si="95"/>
        <v>1.9402837308708289</v>
      </c>
      <c r="AL8" s="71">
        <f t="shared" ca="1" si="96"/>
        <v>3.0096576871380081</v>
      </c>
      <c r="AM8" s="71">
        <f t="shared" ca="1" si="97"/>
        <v>11.57332295255452</v>
      </c>
      <c r="AN8" s="71">
        <f t="shared" ca="1" si="98"/>
        <v>10.867258157040583</v>
      </c>
      <c r="AO8" s="71">
        <f t="shared" ca="1" si="99"/>
        <v>3.318033730870829</v>
      </c>
      <c r="AP8" s="71">
        <f t="shared" ca="1" si="100"/>
        <v>1.4104257431507981</v>
      </c>
      <c r="AQ8" s="71">
        <f t="shared" ca="1" si="101"/>
        <v>4.1442933649731044</v>
      </c>
      <c r="AR8" s="71">
        <f t="shared" ca="1" si="102"/>
        <v>9.1174454029408274</v>
      </c>
      <c r="AS8" s="71">
        <f t="shared" ca="1" si="103"/>
        <v>2.0721466824865522</v>
      </c>
      <c r="AT8" s="71">
        <f t="shared" ca="1" si="104"/>
        <v>10.967831388874623</v>
      </c>
      <c r="AU8" s="71">
        <f t="shared" ca="1" si="105"/>
        <v>0.66540050906112425</v>
      </c>
      <c r="AV8" s="71">
        <f t="shared" ca="1" si="106"/>
        <v>2.0403353781146873</v>
      </c>
      <c r="AW8" s="71">
        <f t="shared" ca="1" si="107"/>
        <v>0.33270025453056212</v>
      </c>
      <c r="AX8" s="71">
        <f t="shared" ca="1" si="108"/>
        <v>2.9010053554811726</v>
      </c>
      <c r="AY8" s="71">
        <f t="shared" ca="1" si="109"/>
        <v>6.1396938740342284</v>
      </c>
      <c r="AZ8" s="71">
        <f t="shared" ca="1" si="110"/>
        <v>1.4505026777405863</v>
      </c>
      <c r="BA8" s="71">
        <f t="shared" ca="1" si="111"/>
        <v>11.61846545431634</v>
      </c>
      <c r="BB8" s="71">
        <f t="shared" ca="1" si="112"/>
        <v>1.2949717599420343</v>
      </c>
      <c r="BC8" s="71">
        <f t="shared" ca="1" si="113"/>
        <v>3.4765244653283034</v>
      </c>
      <c r="BD8" s="71">
        <f t="shared" ca="1" si="114"/>
        <v>0.64748587997101714</v>
      </c>
      <c r="BE8" s="71">
        <f t="shared" ca="1" si="115"/>
        <v>4.4666272933599007</v>
      </c>
      <c r="BF8" s="71">
        <f t="shared" ca="1" si="116"/>
        <v>5.3415336704097776</v>
      </c>
      <c r="BG8" s="71">
        <f t="shared" ca="1" si="117"/>
        <v>10.235868065252696</v>
      </c>
      <c r="BH8" s="71">
        <f t="shared" ca="1" si="118"/>
        <v>4.550315788887227</v>
      </c>
      <c r="BI8" s="71">
        <f t="shared" ca="1" si="119"/>
        <v>1.233550174490238</v>
      </c>
      <c r="BJ8" s="71">
        <f t="shared" ca="1" si="120"/>
        <v>7.4443788222665015</v>
      </c>
      <c r="BK8" s="71">
        <f t="shared" ca="1" si="121"/>
        <v>4.0521979568625905</v>
      </c>
      <c r="BL8" s="71">
        <f t="shared" ca="1" si="122"/>
        <v>4.4266353380945258</v>
      </c>
      <c r="BM8" s="71">
        <f t="shared" ca="1" si="123"/>
        <v>4.4735388070724822</v>
      </c>
      <c r="BN8" s="71">
        <f t="shared" ca="1" si="124"/>
        <v>0.2661602036244497</v>
      </c>
      <c r="BO8" s="71">
        <f t="shared" ca="1" si="125"/>
        <v>2.7628622433154026</v>
      </c>
      <c r="BP8" s="71">
        <f t="shared" ca="1" si="126"/>
        <v>1.0437479585858187</v>
      </c>
      <c r="BQ8" s="71">
        <f t="shared" ca="1" si="127"/>
        <v>3.5436319635664835</v>
      </c>
      <c r="BR8" s="71">
        <f t="shared" ca="1" si="128"/>
        <v>6.5823465742508134</v>
      </c>
      <c r="BS8" s="71">
        <f t="shared" ca="1" si="129"/>
        <v>0.69099283633270603</v>
      </c>
      <c r="BT8" s="71">
        <f t="shared" ca="1" si="130"/>
        <v>4.3591826505643017</v>
      </c>
      <c r="BU8" s="71">
        <f t="shared" ca="1" si="131"/>
        <v>3.745213263160879</v>
      </c>
      <c r="BV8" s="71">
        <f t="shared" ca="1" si="132"/>
        <v>5.286401781713935</v>
      </c>
      <c r="BW8" s="71">
        <f t="shared" ca="1" si="133"/>
        <v>5.6712597233825051</v>
      </c>
      <c r="BX8" s="71">
        <f t="shared" ca="1" si="134"/>
        <v>0.61933431997227717</v>
      </c>
      <c r="BY8" s="71">
        <f t="shared" ca="1" si="135"/>
        <v>4.3591826505643017</v>
      </c>
      <c r="BZ8" s="71">
        <f t="shared" ca="1" si="136"/>
        <v>3.745213263160879</v>
      </c>
      <c r="CA8" s="71">
        <f t="shared" ca="1" si="137"/>
        <v>7.3312517016736107</v>
      </c>
      <c r="CB8" s="71">
        <f t="shared" ca="1" si="138"/>
        <v>4.5810265816131244</v>
      </c>
      <c r="CC8" s="71">
        <f t="shared" ca="1" si="139"/>
        <v>0.7575328872388184</v>
      </c>
      <c r="CD8" s="71">
        <f t="shared" ca="1" si="140"/>
        <v>4.717096974452434</v>
      </c>
      <c r="CE8" s="71">
        <f t="shared" ca="1" si="141"/>
        <v>3.0635955016988135</v>
      </c>
      <c r="CF8" s="71">
        <f t="shared" ca="1" si="142"/>
        <v>7.5852671015601993</v>
      </c>
      <c r="CG8" s="71">
        <f t="shared" ca="1" si="143"/>
        <v>3.0635955016988135</v>
      </c>
      <c r="CH8" s="71">
        <f t="shared" ca="1" si="144"/>
        <v>4.00130397803908</v>
      </c>
      <c r="CI8" s="71">
        <f t="shared" ca="1" si="145"/>
        <v>10.132179206959069</v>
      </c>
      <c r="CJ8" s="71">
        <f t="shared" ca="1" si="146"/>
        <v>4.00130397803908</v>
      </c>
      <c r="CK8" s="71">
        <f t="shared" ca="1" si="147"/>
        <v>2.9046163635790849</v>
      </c>
    </row>
    <row r="9" spans="1:89" x14ac:dyDescent="0.25">
      <c r="A9" t="str">
        <f>PLANTILLA!D10</f>
        <v>E. Deus</v>
      </c>
      <c r="B9" s="451">
        <f>PLANTILLA!E10</f>
        <v>25</v>
      </c>
      <c r="C9" s="95">
        <f ca="1">PLANTILLA!F10</f>
        <v>3</v>
      </c>
      <c r="D9" s="451" t="str">
        <f>PLANTILLA!G10</f>
        <v>IMP</v>
      </c>
      <c r="E9" s="204">
        <f>PLANTILLA!O10</f>
        <v>43898</v>
      </c>
      <c r="F9" s="95">
        <f>PLANTILLA!Q10</f>
        <v>4</v>
      </c>
      <c r="G9" s="115">
        <f t="shared" si="74"/>
        <v>0.7559289460184544</v>
      </c>
      <c r="H9" s="115">
        <f t="shared" si="75"/>
        <v>0.84430867747355465</v>
      </c>
      <c r="I9" s="150">
        <f ca="1">PLANTILLA!P10</f>
        <v>1</v>
      </c>
      <c r="J9" s="151">
        <f>PLANTILLA!I10</f>
        <v>5.6</v>
      </c>
      <c r="K9" s="48">
        <f>PLANTILLA!X10</f>
        <v>0</v>
      </c>
      <c r="L9" s="48">
        <f>PLANTILLA!Y10</f>
        <v>12.333333333333334</v>
      </c>
      <c r="M9" s="48">
        <f>PLANTILLA!Z10</f>
        <v>8.8000000000000007</v>
      </c>
      <c r="N9" s="48">
        <f>PLANTILLA!AA10</f>
        <v>1</v>
      </c>
      <c r="O9" s="48">
        <f>PLANTILLA!AB10</f>
        <v>6</v>
      </c>
      <c r="P9" s="48">
        <f>PLANTILLA!AC10</f>
        <v>6</v>
      </c>
      <c r="Q9" s="48">
        <f>PLANTILLA!AD10</f>
        <v>18.5</v>
      </c>
      <c r="R9" s="151">
        <f t="shared" si="76"/>
        <v>3.416666666666667</v>
      </c>
      <c r="S9" s="151">
        <f t="shared" ca="1" si="77"/>
        <v>16.949660719578269</v>
      </c>
      <c r="T9" s="48">
        <f t="shared" si="78"/>
        <v>0.85500000000000009</v>
      </c>
      <c r="U9" s="48">
        <f t="shared" si="79"/>
        <v>1.0483333333333333</v>
      </c>
      <c r="V9" s="151">
        <f t="shared" ca="1" si="80"/>
        <v>15.494717096264425</v>
      </c>
      <c r="W9" s="151">
        <f t="shared" ca="1" si="81"/>
        <v>17.306288068845188</v>
      </c>
      <c r="X9" s="71">
        <f t="shared" ca="1" si="82"/>
        <v>5.147890863435217</v>
      </c>
      <c r="Y9" s="71">
        <f t="shared" ca="1" si="83"/>
        <v>7.8205476571533392</v>
      </c>
      <c r="Z9" s="71">
        <f t="shared" ca="1" si="84"/>
        <v>5.147890863435217</v>
      </c>
      <c r="AA9" s="71">
        <f t="shared" ca="1" si="85"/>
        <v>7.3947533625802659</v>
      </c>
      <c r="AB9" s="71">
        <f t="shared" ca="1" si="86"/>
        <v>14.3309173693416</v>
      </c>
      <c r="AC9" s="71">
        <f t="shared" ca="1" si="87"/>
        <v>3.697376681290133</v>
      </c>
      <c r="AD9" s="71">
        <f t="shared" ca="1" si="88"/>
        <v>2.5698250005699674</v>
      </c>
      <c r="AE9" s="71">
        <f t="shared" ca="1" si="89"/>
        <v>5.417086765611125</v>
      </c>
      <c r="AF9" s="71">
        <f t="shared" ca="1" si="90"/>
        <v>10.361253258033976</v>
      </c>
      <c r="AG9" s="71">
        <f t="shared" ca="1" si="91"/>
        <v>2.7085433828055625</v>
      </c>
      <c r="AH9" s="71">
        <f t="shared" ca="1" si="92"/>
        <v>4.1570698538631827</v>
      </c>
      <c r="AI9" s="71">
        <f t="shared" ca="1" si="93"/>
        <v>13.184443979794272</v>
      </c>
      <c r="AJ9" s="71">
        <f t="shared" ca="1" si="94"/>
        <v>5.9329997909074219</v>
      </c>
      <c r="AK9" s="71">
        <f t="shared" ca="1" si="95"/>
        <v>1.8031965340133806</v>
      </c>
      <c r="AL9" s="71">
        <f t="shared" ca="1" si="96"/>
        <v>1.7625794131728612</v>
      </c>
      <c r="AM9" s="71">
        <f t="shared" ca="1" si="97"/>
        <v>10.805511696483567</v>
      </c>
      <c r="AN9" s="71">
        <f t="shared" ca="1" si="98"/>
        <v>10.146289497493852</v>
      </c>
      <c r="AO9" s="71">
        <f t="shared" ca="1" si="99"/>
        <v>3.4230965340133808</v>
      </c>
      <c r="AP9" s="71">
        <f t="shared" ca="1" si="100"/>
        <v>1.5593042023703809</v>
      </c>
      <c r="AQ9" s="71">
        <f t="shared" ca="1" si="101"/>
        <v>3.8693476897222325</v>
      </c>
      <c r="AR9" s="71">
        <f t="shared" ca="1" si="102"/>
        <v>8.5125649173889109</v>
      </c>
      <c r="AS9" s="71">
        <f t="shared" ca="1" si="103"/>
        <v>1.9346738448611163</v>
      </c>
      <c r="AT9" s="71">
        <f t="shared" ca="1" si="104"/>
        <v>10.192919329991804</v>
      </c>
      <c r="AU9" s="71">
        <f t="shared" ca="1" si="105"/>
        <v>1.0396859246810748</v>
      </c>
      <c r="AV9" s="71">
        <f t="shared" ca="1" si="106"/>
        <v>2.3432921225504222</v>
      </c>
      <c r="AW9" s="71">
        <f t="shared" ca="1" si="107"/>
        <v>0.5198429623405374</v>
      </c>
      <c r="AX9" s="71">
        <f t="shared" ca="1" si="108"/>
        <v>2.7085433828055625</v>
      </c>
      <c r="AY9" s="71">
        <f t="shared" ca="1" si="109"/>
        <v>5.7323669477366401</v>
      </c>
      <c r="AZ9" s="71">
        <f t="shared" ca="1" si="110"/>
        <v>1.3542716914027813</v>
      </c>
      <c r="BA9" s="71">
        <f t="shared" ca="1" si="111"/>
        <v>10.797584036008267</v>
      </c>
      <c r="BB9" s="71">
        <f t="shared" ca="1" si="112"/>
        <v>2.0233887611100916</v>
      </c>
      <c r="BC9" s="71">
        <f t="shared" ca="1" si="113"/>
        <v>4.4066688038405548</v>
      </c>
      <c r="BD9" s="71">
        <f t="shared" ca="1" si="114"/>
        <v>1.0116943805550458</v>
      </c>
      <c r="BE9" s="71">
        <f t="shared" ca="1" si="115"/>
        <v>4.1702969544784052</v>
      </c>
      <c r="BF9" s="71">
        <f t="shared" ca="1" si="116"/>
        <v>4.9871592445308766</v>
      </c>
      <c r="BG9" s="71">
        <f t="shared" ca="1" si="117"/>
        <v>9.5126715357232836</v>
      </c>
      <c r="BH9" s="71">
        <f t="shared" ca="1" si="118"/>
        <v>4.2398522080113494</v>
      </c>
      <c r="BI9" s="71">
        <f t="shared" ca="1" si="119"/>
        <v>1.9274177526779923</v>
      </c>
      <c r="BJ9" s="71">
        <f t="shared" ca="1" si="120"/>
        <v>6.9504949241306759</v>
      </c>
      <c r="BK9" s="71">
        <f t="shared" ca="1" si="121"/>
        <v>3.7833621855061828</v>
      </c>
      <c r="BL9" s="71">
        <f t="shared" ca="1" si="122"/>
        <v>4.1138795177191501</v>
      </c>
      <c r="BM9" s="71">
        <f t="shared" ca="1" si="123"/>
        <v>3.6248884474712257</v>
      </c>
      <c r="BN9" s="71">
        <f t="shared" ca="1" si="124"/>
        <v>0.41587436987242987</v>
      </c>
      <c r="BO9" s="71">
        <f t="shared" ca="1" si="125"/>
        <v>2.5795651264814881</v>
      </c>
      <c r="BP9" s="71">
        <f t="shared" ca="1" si="126"/>
        <v>0.97450238111522891</v>
      </c>
      <c r="BQ9" s="71">
        <f t="shared" ca="1" si="127"/>
        <v>3.2932631309825213</v>
      </c>
      <c r="BR9" s="71">
        <f t="shared" ca="1" si="128"/>
        <v>5.2848930703066319</v>
      </c>
      <c r="BS9" s="71">
        <f t="shared" ca="1" si="129"/>
        <v>1.0796738448611161</v>
      </c>
      <c r="BT9" s="71">
        <f t="shared" ca="1" si="130"/>
        <v>4.0699805328930143</v>
      </c>
      <c r="BU9" s="71">
        <f t="shared" ca="1" si="131"/>
        <v>3.4967438381193503</v>
      </c>
      <c r="BV9" s="71">
        <f t="shared" ca="1" si="132"/>
        <v>4.9129007363837616</v>
      </c>
      <c r="BW9" s="71">
        <f t="shared" ca="1" si="133"/>
        <v>4.5413231118971602</v>
      </c>
      <c r="BX9" s="71">
        <f t="shared" ca="1" si="134"/>
        <v>0.96770766835700028</v>
      </c>
      <c r="BY9" s="71">
        <f t="shared" ca="1" si="135"/>
        <v>4.0699805328930143</v>
      </c>
      <c r="BZ9" s="71">
        <f t="shared" ca="1" si="136"/>
        <v>3.4967438381193503</v>
      </c>
      <c r="CA9" s="71">
        <f t="shared" ca="1" si="137"/>
        <v>6.8132755267212168</v>
      </c>
      <c r="CB9" s="71">
        <f t="shared" ca="1" si="138"/>
        <v>3.6478377122273988</v>
      </c>
      <c r="CC9" s="71">
        <f t="shared" ca="1" si="139"/>
        <v>1.1836424373292236</v>
      </c>
      <c r="CD9" s="71">
        <f t="shared" ca="1" si="140"/>
        <v>4.3838191186193569</v>
      </c>
      <c r="CE9" s="71">
        <f t="shared" ca="1" si="141"/>
        <v>3.446741282760307</v>
      </c>
      <c r="CF9" s="71">
        <f t="shared" ca="1" si="142"/>
        <v>9.0052796245453095</v>
      </c>
      <c r="CG9" s="71">
        <f t="shared" ca="1" si="143"/>
        <v>3.446741282760307</v>
      </c>
      <c r="CH9" s="71">
        <f t="shared" ca="1" si="144"/>
        <v>3.8774948544331505</v>
      </c>
      <c r="CI9" s="71">
        <f t="shared" ca="1" si="145"/>
        <v>10.948692545295318</v>
      </c>
      <c r="CJ9" s="71">
        <f t="shared" ca="1" si="146"/>
        <v>3.8774948544331505</v>
      </c>
      <c r="CK9" s="71">
        <f t="shared" ca="1" si="147"/>
        <v>2.6993960090020668</v>
      </c>
    </row>
    <row r="10" spans="1:89" x14ac:dyDescent="0.25">
      <c r="A10" t="str">
        <f>PLANTILLA!D11</f>
        <v>M.A. Balbinot</v>
      </c>
      <c r="B10" s="451">
        <f>PLANTILLA!E11</f>
        <v>29</v>
      </c>
      <c r="C10" s="95">
        <f ca="1">PLANTILLA!F11</f>
        <v>53</v>
      </c>
      <c r="D10" s="451" t="str">
        <f>PLANTILLA!G11</f>
        <v>RAP</v>
      </c>
      <c r="E10" s="204">
        <f>PLANTILLA!O11</f>
        <v>44307</v>
      </c>
      <c r="F10" s="95">
        <f>PLANTILLA!Q11</f>
        <v>6</v>
      </c>
      <c r="G10" s="115">
        <f t="shared" si="74"/>
        <v>0.92582009977255142</v>
      </c>
      <c r="H10" s="115">
        <f t="shared" si="75"/>
        <v>0.99928545900129484</v>
      </c>
      <c r="I10" s="150">
        <f ca="1">PLANTILLA!P11</f>
        <v>0.49220902087256579</v>
      </c>
      <c r="J10" s="151">
        <f>PLANTILLA!I11</f>
        <v>8.9</v>
      </c>
      <c r="K10" s="48">
        <f>PLANTILLA!X11</f>
        <v>0</v>
      </c>
      <c r="L10" s="48">
        <f>PLANTILLA!Y11</f>
        <v>8</v>
      </c>
      <c r="M10" s="48">
        <f>PLANTILLA!Z11</f>
        <v>14</v>
      </c>
      <c r="N10" s="48">
        <f>PLANTILLA!AA11</f>
        <v>7</v>
      </c>
      <c r="O10" s="48">
        <f>PLANTILLA!AB11</f>
        <v>8</v>
      </c>
      <c r="P10" s="48">
        <f>PLANTILLA!AC11</f>
        <v>9.0625</v>
      </c>
      <c r="Q10" s="48">
        <f>PLANTILLA!AD11</f>
        <v>15.5</v>
      </c>
      <c r="R10" s="151">
        <f t="shared" si="76"/>
        <v>3.375</v>
      </c>
      <c r="S10" s="151">
        <f t="shared" ca="1" si="77"/>
        <v>19.854067822375377</v>
      </c>
      <c r="T10" s="48">
        <f t="shared" si="78"/>
        <v>0.91812499999999986</v>
      </c>
      <c r="U10" s="48">
        <f t="shared" si="79"/>
        <v>0.78499999999999992</v>
      </c>
      <c r="V10" s="151">
        <f t="shared" ca="1" si="80"/>
        <v>16.054294886389552</v>
      </c>
      <c r="W10" s="151">
        <f t="shared" ca="1" si="81"/>
        <v>17.328229791542878</v>
      </c>
      <c r="X10" s="71">
        <f t="shared" ca="1" si="82"/>
        <v>3.7427884429564284</v>
      </c>
      <c r="Y10" s="71">
        <f t="shared" ca="1" si="83"/>
        <v>5.6696585107179249</v>
      </c>
      <c r="Z10" s="71">
        <f t="shared" ca="1" si="84"/>
        <v>3.7427884429564284</v>
      </c>
      <c r="AA10" s="71">
        <f t="shared" ca="1" si="85"/>
        <v>5.0351601793419443</v>
      </c>
      <c r="AB10" s="71">
        <f t="shared" ca="1" si="86"/>
        <v>9.7580623630657826</v>
      </c>
      <c r="AC10" s="71">
        <f t="shared" ca="1" si="87"/>
        <v>2.5175800896709721</v>
      </c>
      <c r="AD10" s="71">
        <f t="shared" ca="1" si="88"/>
        <v>3.7504188424096561</v>
      </c>
      <c r="AE10" s="71">
        <f t="shared" ca="1" si="89"/>
        <v>3.688547573238866</v>
      </c>
      <c r="AF10" s="71">
        <f t="shared" ca="1" si="90"/>
        <v>7.0550790884965604</v>
      </c>
      <c r="AG10" s="71">
        <f t="shared" ca="1" si="91"/>
        <v>1.844273786619433</v>
      </c>
      <c r="AH10" s="71">
        <f t="shared" ca="1" si="92"/>
        <v>6.0668540097803261</v>
      </c>
      <c r="AI10" s="71">
        <f t="shared" ca="1" si="93"/>
        <v>8.9774173740205203</v>
      </c>
      <c r="AJ10" s="71">
        <f t="shared" ca="1" si="94"/>
        <v>4.0398378183092341</v>
      </c>
      <c r="AK10" s="71">
        <f t="shared" ca="1" si="95"/>
        <v>2.6315964146319857</v>
      </c>
      <c r="AL10" s="71">
        <f t="shared" ca="1" si="96"/>
        <v>5.1497406694826795</v>
      </c>
      <c r="AM10" s="71">
        <f t="shared" ca="1" si="97"/>
        <v>7.3575790217515999</v>
      </c>
      <c r="AN10" s="71">
        <f t="shared" ca="1" si="98"/>
        <v>6.9087081530505738</v>
      </c>
      <c r="AO10" s="71">
        <f t="shared" ca="1" si="99"/>
        <v>2.8820964146319858</v>
      </c>
      <c r="AP10" s="71">
        <f t="shared" ca="1" si="100"/>
        <v>1.4783219605629452</v>
      </c>
      <c r="AQ10" s="71">
        <f t="shared" ca="1" si="101"/>
        <v>2.6346768380277616</v>
      </c>
      <c r="AR10" s="71">
        <f t="shared" ca="1" si="102"/>
        <v>5.7962890436610746</v>
      </c>
      <c r="AS10" s="71">
        <f t="shared" ca="1" si="103"/>
        <v>1.3173384190138808</v>
      </c>
      <c r="AT10" s="71">
        <f t="shared" ca="1" si="104"/>
        <v>14.875610870734098</v>
      </c>
      <c r="AU10" s="71">
        <f t="shared" ca="1" si="105"/>
        <v>1.2685481071985518</v>
      </c>
      <c r="AV10" s="71">
        <f t="shared" ca="1" si="106"/>
        <v>3.042924772378274</v>
      </c>
      <c r="AW10" s="71">
        <f t="shared" ca="1" si="107"/>
        <v>0.63427405359927591</v>
      </c>
      <c r="AX10" s="71">
        <f t="shared" ca="1" si="108"/>
        <v>1.844273786619433</v>
      </c>
      <c r="AY10" s="71">
        <f t="shared" ca="1" si="109"/>
        <v>3.903224945226313</v>
      </c>
      <c r="AZ10" s="71">
        <f t="shared" ca="1" si="110"/>
        <v>0.92213689330971649</v>
      </c>
      <c r="BA10" s="71">
        <f t="shared" ca="1" si="111"/>
        <v>15.758062363065783</v>
      </c>
      <c r="BB10" s="71">
        <f t="shared" ca="1" si="112"/>
        <v>2.4687897778556431</v>
      </c>
      <c r="BC10" s="71">
        <f t="shared" ca="1" si="113"/>
        <v>5.5998173620492464</v>
      </c>
      <c r="BD10" s="71">
        <f t="shared" ca="1" si="114"/>
        <v>1.2343948889278216</v>
      </c>
      <c r="BE10" s="71">
        <f t="shared" ca="1" si="115"/>
        <v>2.8395961476521427</v>
      </c>
      <c r="BF10" s="71">
        <f t="shared" ca="1" si="116"/>
        <v>3.3958057023468919</v>
      </c>
      <c r="BG10" s="71">
        <f t="shared" ca="1" si="117"/>
        <v>13.882852941860955</v>
      </c>
      <c r="BH10" s="71">
        <f t="shared" ca="1" si="118"/>
        <v>8.10091744076548</v>
      </c>
      <c r="BI10" s="71">
        <f t="shared" ca="1" si="119"/>
        <v>2.3516930294988536</v>
      </c>
      <c r="BJ10" s="71">
        <f t="shared" ca="1" si="120"/>
        <v>4.7326602460869047</v>
      </c>
      <c r="BK10" s="71">
        <f t="shared" ca="1" si="121"/>
        <v>2.5761284638493667</v>
      </c>
      <c r="BL10" s="71">
        <f t="shared" ca="1" si="122"/>
        <v>6.003821760328063</v>
      </c>
      <c r="BM10" s="71">
        <f t="shared" ca="1" si="123"/>
        <v>7.8555465053194951</v>
      </c>
      <c r="BN10" s="71">
        <f t="shared" ca="1" si="124"/>
        <v>0.50741924287942064</v>
      </c>
      <c r="BO10" s="71">
        <f t="shared" ca="1" si="125"/>
        <v>1.7564512253518407</v>
      </c>
      <c r="BP10" s="71">
        <f t="shared" ca="1" si="126"/>
        <v>0.66354824068847329</v>
      </c>
      <c r="BQ10" s="71">
        <f t="shared" ca="1" si="127"/>
        <v>4.8062090207350634</v>
      </c>
      <c r="BR10" s="71">
        <f t="shared" ca="1" si="128"/>
        <v>11.548868198902596</v>
      </c>
      <c r="BS10" s="71">
        <f t="shared" ca="1" si="129"/>
        <v>1.3173384190138808</v>
      </c>
      <c r="BT10" s="71">
        <f t="shared" ca="1" si="130"/>
        <v>2.7712897111106818</v>
      </c>
      <c r="BU10" s="71">
        <f t="shared" ca="1" si="131"/>
        <v>2.3809672165880511</v>
      </c>
      <c r="BV10" s="71">
        <f t="shared" ca="1" si="132"/>
        <v>7.1699183751949311</v>
      </c>
      <c r="BW10" s="71">
        <f t="shared" ca="1" si="133"/>
        <v>9.9479330982768879</v>
      </c>
      <c r="BX10" s="71">
        <f t="shared" ca="1" si="134"/>
        <v>1.1807255459309596</v>
      </c>
      <c r="BY10" s="71">
        <f t="shared" ca="1" si="135"/>
        <v>2.7712897111106818</v>
      </c>
      <c r="BZ10" s="71">
        <f t="shared" ca="1" si="136"/>
        <v>2.3809672165880511</v>
      </c>
      <c r="CA10" s="71">
        <f t="shared" ca="1" si="137"/>
        <v>9.9433373510945096</v>
      </c>
      <c r="CB10" s="71">
        <f t="shared" ca="1" si="138"/>
        <v>8.0314658149438749</v>
      </c>
      <c r="CC10" s="71">
        <f t="shared" ca="1" si="139"/>
        <v>1.4441932297337357</v>
      </c>
      <c r="CD10" s="71">
        <f t="shared" ca="1" si="140"/>
        <v>6.3977733194047079</v>
      </c>
      <c r="CE10" s="71">
        <f t="shared" ca="1" si="141"/>
        <v>5.0748879911572722</v>
      </c>
      <c r="CF10" s="71">
        <f t="shared" ca="1" si="142"/>
        <v>11.607015720812072</v>
      </c>
      <c r="CG10" s="71">
        <f t="shared" ca="1" si="143"/>
        <v>5.0748879911572722</v>
      </c>
      <c r="CH10" s="71">
        <f t="shared" ca="1" si="144"/>
        <v>6.2665485067631153</v>
      </c>
      <c r="CI10" s="71">
        <f t="shared" ca="1" si="145"/>
        <v>14.421287375037057</v>
      </c>
      <c r="CJ10" s="71">
        <f t="shared" ca="1" si="146"/>
        <v>6.2665485067631153</v>
      </c>
      <c r="CK10" s="71">
        <f t="shared" ca="1" si="147"/>
        <v>3.9395155907664456</v>
      </c>
    </row>
    <row r="11" spans="1:89" x14ac:dyDescent="0.25">
      <c r="A11" t="str">
        <f>PLANTILLA!D12</f>
        <v>P. Tuderek</v>
      </c>
      <c r="B11" s="451">
        <f>PLANTILLA!E12</f>
        <v>25</v>
      </c>
      <c r="C11" s="95">
        <f ca="1">PLANTILLA!F12</f>
        <v>65</v>
      </c>
      <c r="D11" s="451" t="str">
        <f>PLANTILLA!G12</f>
        <v>CAB</v>
      </c>
      <c r="E11" s="204">
        <f>PLANTILLA!O12</f>
        <v>43626</v>
      </c>
      <c r="F11" s="95">
        <f>PLANTILLA!Q12</f>
        <v>7</v>
      </c>
      <c r="G11" s="115">
        <f t="shared" si="74"/>
        <v>1</v>
      </c>
      <c r="H11" s="115">
        <f t="shared" si="75"/>
        <v>1</v>
      </c>
      <c r="I11" s="150">
        <f ca="1">PLANTILLA!P12</f>
        <v>1</v>
      </c>
      <c r="J11" s="151">
        <f>PLANTILLA!I12</f>
        <v>5.2</v>
      </c>
      <c r="K11" s="48">
        <f>PLANTILLA!X12</f>
        <v>0</v>
      </c>
      <c r="L11" s="48">
        <f>PLANTILLA!Y12</f>
        <v>8.8333333333333339</v>
      </c>
      <c r="M11" s="48">
        <f>PLANTILLA!Z12</f>
        <v>13.909090909090908</v>
      </c>
      <c r="N11" s="48">
        <f>PLANTILLA!AA12</f>
        <v>2</v>
      </c>
      <c r="O11" s="48">
        <f>PLANTILLA!AB12</f>
        <v>3</v>
      </c>
      <c r="P11" s="48">
        <f>PLANTILLA!AC12</f>
        <v>7.416666666666667</v>
      </c>
      <c r="Q11" s="48">
        <f>PLANTILLA!AD12</f>
        <v>19.600000000000001</v>
      </c>
      <c r="R11" s="151">
        <f t="shared" si="76"/>
        <v>2.229166666666667</v>
      </c>
      <c r="S11" s="151">
        <f t="shared" ca="1" si="77"/>
        <v>19.811489852577211</v>
      </c>
      <c r="T11" s="48">
        <f t="shared" si="78"/>
        <v>0.95883333333333332</v>
      </c>
      <c r="U11" s="48">
        <f t="shared" si="79"/>
        <v>0.94133333333333336</v>
      </c>
      <c r="V11" s="151">
        <f t="shared" ca="1" si="80"/>
        <v>21.554671124846401</v>
      </c>
      <c r="W11" s="151">
        <f t="shared" ca="1" si="81"/>
        <v>21.554671124846401</v>
      </c>
      <c r="X11" s="71">
        <f t="shared" ca="1" si="82"/>
        <v>4.1444278919909063</v>
      </c>
      <c r="Y11" s="71">
        <f t="shared" ca="1" si="83"/>
        <v>6.2776470888433682</v>
      </c>
      <c r="Z11" s="71">
        <f t="shared" ca="1" si="84"/>
        <v>4.1444278919909063</v>
      </c>
      <c r="AA11" s="71">
        <f t="shared" ca="1" si="85"/>
        <v>5.5666103004207423</v>
      </c>
      <c r="AB11" s="71">
        <f t="shared" ca="1" si="86"/>
        <v>10.788004458179733</v>
      </c>
      <c r="AC11" s="71">
        <f t="shared" ca="1" si="87"/>
        <v>2.7833051502103712</v>
      </c>
      <c r="AD11" s="71">
        <f t="shared" ca="1" si="88"/>
        <v>3.7755753640770791</v>
      </c>
      <c r="AE11" s="71">
        <f t="shared" ca="1" si="89"/>
        <v>4.0778656851919388</v>
      </c>
      <c r="AF11" s="71">
        <f t="shared" ca="1" si="90"/>
        <v>7.7997272232639467</v>
      </c>
      <c r="AG11" s="71">
        <f t="shared" ca="1" si="91"/>
        <v>2.0389328425959694</v>
      </c>
      <c r="AH11" s="71">
        <f t="shared" ca="1" si="92"/>
        <v>6.1075483830658639</v>
      </c>
      <c r="AI11" s="71">
        <f t="shared" ca="1" si="93"/>
        <v>9.9249641015253545</v>
      </c>
      <c r="AJ11" s="71">
        <f t="shared" ca="1" si="94"/>
        <v>4.4662338456864097</v>
      </c>
      <c r="AK11" s="71">
        <f t="shared" ca="1" si="95"/>
        <v>2.6492482596675306</v>
      </c>
      <c r="AL11" s="71">
        <f t="shared" ca="1" si="96"/>
        <v>2.3253466214096825</v>
      </c>
      <c r="AM11" s="71">
        <f t="shared" ca="1" si="97"/>
        <v>8.1341553614675188</v>
      </c>
      <c r="AN11" s="71">
        <f t="shared" ca="1" si="98"/>
        <v>7.6379071563912504</v>
      </c>
      <c r="AO11" s="71">
        <f t="shared" ca="1" si="99"/>
        <v>3.5996300778493491</v>
      </c>
      <c r="AP11" s="71">
        <f t="shared" ca="1" si="100"/>
        <v>1.2049452839557631</v>
      </c>
      <c r="AQ11" s="71">
        <f t="shared" ca="1" si="101"/>
        <v>2.912761203708528</v>
      </c>
      <c r="AR11" s="71">
        <f t="shared" ca="1" si="102"/>
        <v>6.4080746481587614</v>
      </c>
      <c r="AS11" s="71">
        <f t="shared" ca="1" si="103"/>
        <v>1.456380601854264</v>
      </c>
      <c r="AT11" s="71">
        <f t="shared" ca="1" si="104"/>
        <v>14.975391360036818</v>
      </c>
      <c r="AU11" s="71">
        <f t="shared" ca="1" si="105"/>
        <v>0.6441072462300319</v>
      </c>
      <c r="AV11" s="71">
        <f t="shared" ca="1" si="106"/>
        <v>2.2158019729133285</v>
      </c>
      <c r="AW11" s="71">
        <f t="shared" ca="1" si="107"/>
        <v>0.32205362311501595</v>
      </c>
      <c r="AX11" s="71">
        <f t="shared" ca="1" si="108"/>
        <v>2.0389328425959694</v>
      </c>
      <c r="AY11" s="71">
        <f t="shared" ca="1" si="109"/>
        <v>4.3152017832718936</v>
      </c>
      <c r="AZ11" s="71">
        <f t="shared" ca="1" si="110"/>
        <v>1.0194664212979847</v>
      </c>
      <c r="BA11" s="71">
        <f t="shared" ca="1" si="111"/>
        <v>15.863762033937308</v>
      </c>
      <c r="BB11" s="71">
        <f t="shared" ca="1" si="112"/>
        <v>1.2535317945861391</v>
      </c>
      <c r="BC11" s="71">
        <f t="shared" ca="1" si="113"/>
        <v>3.6575237897903663</v>
      </c>
      <c r="BD11" s="71">
        <f t="shared" ca="1" si="114"/>
        <v>0.62676589729306953</v>
      </c>
      <c r="BE11" s="71">
        <f t="shared" ca="1" si="115"/>
        <v>3.1393092973303021</v>
      </c>
      <c r="BF11" s="71">
        <f t="shared" ca="1" si="116"/>
        <v>3.754225551446547</v>
      </c>
      <c r="BG11" s="71">
        <f t="shared" ca="1" si="117"/>
        <v>13.975974351898769</v>
      </c>
      <c r="BH11" s="71">
        <f t="shared" ca="1" si="118"/>
        <v>3.8307026299884486</v>
      </c>
      <c r="BI11" s="71">
        <f t="shared" ca="1" si="119"/>
        <v>1.1940757410879821</v>
      </c>
      <c r="BJ11" s="71">
        <f t="shared" ca="1" si="120"/>
        <v>5.2321821622171703</v>
      </c>
      <c r="BK11" s="71">
        <f t="shared" ca="1" si="121"/>
        <v>2.8480331769594498</v>
      </c>
      <c r="BL11" s="71">
        <f t="shared" ca="1" si="122"/>
        <v>6.044093334930114</v>
      </c>
      <c r="BM11" s="71">
        <f t="shared" ca="1" si="123"/>
        <v>3.6573825631157528</v>
      </c>
      <c r="BN11" s="71">
        <f t="shared" ca="1" si="124"/>
        <v>0.25764289849201277</v>
      </c>
      <c r="BO11" s="71">
        <f t="shared" ca="1" si="125"/>
        <v>1.9418408024723519</v>
      </c>
      <c r="BP11" s="71">
        <f t="shared" ca="1" si="126"/>
        <v>0.73358430315622192</v>
      </c>
      <c r="BQ11" s="71">
        <f t="shared" ca="1" si="127"/>
        <v>4.8384474203508789</v>
      </c>
      <c r="BR11" s="71">
        <f t="shared" ca="1" si="128"/>
        <v>5.3717070665524691</v>
      </c>
      <c r="BS11" s="71">
        <f t="shared" ca="1" si="129"/>
        <v>0.6688806018542639</v>
      </c>
      <c r="BT11" s="71">
        <f t="shared" ca="1" si="130"/>
        <v>3.063793266123044</v>
      </c>
      <c r="BU11" s="71">
        <f t="shared" ca="1" si="131"/>
        <v>2.6322730877958547</v>
      </c>
      <c r="BV11" s="71">
        <f t="shared" ca="1" si="132"/>
        <v>7.2180117254414755</v>
      </c>
      <c r="BW11" s="71">
        <f t="shared" ca="1" si="133"/>
        <v>4.6257756063298103</v>
      </c>
      <c r="BX11" s="71">
        <f t="shared" ca="1" si="134"/>
        <v>0.59951520610641429</v>
      </c>
      <c r="BY11" s="71">
        <f t="shared" ca="1" si="135"/>
        <v>3.063793266123044</v>
      </c>
      <c r="BZ11" s="71">
        <f t="shared" ca="1" si="136"/>
        <v>2.6322730877958547</v>
      </c>
      <c r="CA11" s="71">
        <f t="shared" ca="1" si="137"/>
        <v>10.01003384341444</v>
      </c>
      <c r="CB11" s="71">
        <f t="shared" ca="1" si="138"/>
        <v>3.7324306567375265</v>
      </c>
      <c r="CC11" s="71">
        <f t="shared" ca="1" si="139"/>
        <v>0.73329132647726702</v>
      </c>
      <c r="CD11" s="71">
        <f t="shared" ca="1" si="140"/>
        <v>6.4406873857785474</v>
      </c>
      <c r="CE11" s="71">
        <f t="shared" ca="1" si="141"/>
        <v>2.9983003227116409</v>
      </c>
      <c r="CF11" s="71">
        <f t="shared" ca="1" si="142"/>
        <v>8.153876353243712</v>
      </c>
      <c r="CG11" s="71">
        <f t="shared" ca="1" si="143"/>
        <v>2.9983003227116409</v>
      </c>
      <c r="CH11" s="71">
        <f t="shared" ca="1" si="144"/>
        <v>4.0140934441126408</v>
      </c>
      <c r="CI11" s="71">
        <f t="shared" ca="1" si="145"/>
        <v>11.199611436581389</v>
      </c>
      <c r="CJ11" s="71">
        <f t="shared" ca="1" si="146"/>
        <v>4.0140934441126408</v>
      </c>
      <c r="CK11" s="71">
        <f t="shared" ca="1" si="147"/>
        <v>3.9659405084843269</v>
      </c>
    </row>
    <row r="12" spans="1:89" x14ac:dyDescent="0.25">
      <c r="A12" t="str">
        <f>PLANTILLA!D13</f>
        <v>R. Forsyth</v>
      </c>
      <c r="B12" s="451">
        <f>PLANTILLA!E13</f>
        <v>26</v>
      </c>
      <c r="C12" s="95">
        <f ca="1">PLANTILLA!F13</f>
        <v>8</v>
      </c>
      <c r="D12" s="451" t="str">
        <f>PLANTILLA!G13</f>
        <v>POT</v>
      </c>
      <c r="E12" s="204">
        <f>PLANTILLA!O13</f>
        <v>43626</v>
      </c>
      <c r="F12" s="95">
        <f>PLANTILLA!Q13</f>
        <v>5</v>
      </c>
      <c r="G12" s="115">
        <f t="shared" si="74"/>
        <v>0.84515425472851657</v>
      </c>
      <c r="H12" s="115">
        <f t="shared" si="75"/>
        <v>0.92504826128926143</v>
      </c>
      <c r="I12" s="150">
        <f ca="1">PLANTILLA!P13</f>
        <v>1</v>
      </c>
      <c r="J12" s="151">
        <f>PLANTILLA!I13</f>
        <v>6.2</v>
      </c>
      <c r="K12" s="48">
        <f>PLANTILLA!X13</f>
        <v>0</v>
      </c>
      <c r="L12" s="48">
        <f>PLANTILLA!Y13</f>
        <v>9.75</v>
      </c>
      <c r="M12" s="48">
        <f>PLANTILLA!Z13</f>
        <v>14.538461538461538</v>
      </c>
      <c r="N12" s="48">
        <f>PLANTILLA!AA13</f>
        <v>3</v>
      </c>
      <c r="O12" s="48">
        <f>PLANTILLA!AB13</f>
        <v>4</v>
      </c>
      <c r="P12" s="48">
        <f>PLANTILLA!AC13</f>
        <v>7</v>
      </c>
      <c r="Q12" s="48">
        <f>PLANTILLA!AD13</f>
        <v>18.25</v>
      </c>
      <c r="R12" s="151">
        <f t="shared" si="76"/>
        <v>2.59375</v>
      </c>
      <c r="S12" s="151">
        <f t="shared" ca="1" si="77"/>
        <v>18.602414178388187</v>
      </c>
      <c r="T12" s="48">
        <f t="shared" si="78"/>
        <v>0.89749999999999996</v>
      </c>
      <c r="U12" s="48">
        <f t="shared" si="79"/>
        <v>0.9375</v>
      </c>
      <c r="V12" s="151">
        <f t="shared" ca="1" si="80"/>
        <v>17.162143680578566</v>
      </c>
      <c r="W12" s="151">
        <f t="shared" ca="1" si="81"/>
        <v>18.784513102658842</v>
      </c>
      <c r="X12" s="71">
        <f t="shared" ca="1" si="82"/>
        <v>4.4863439265759677</v>
      </c>
      <c r="Y12" s="71">
        <f t="shared" ca="1" si="83"/>
        <v>6.7987202281896613</v>
      </c>
      <c r="Z12" s="71">
        <f t="shared" ca="1" si="84"/>
        <v>4.4863439265759677</v>
      </c>
      <c r="AA12" s="71">
        <f t="shared" ca="1" si="85"/>
        <v>6.0921654823747993</v>
      </c>
      <c r="AB12" s="71">
        <f t="shared" ca="1" si="86"/>
        <v>11.806522252664339</v>
      </c>
      <c r="AC12" s="71">
        <f t="shared" ca="1" si="87"/>
        <v>3.0460827411873996</v>
      </c>
      <c r="AD12" s="71">
        <f t="shared" ca="1" si="88"/>
        <v>3.9496061422879585</v>
      </c>
      <c r="AE12" s="71">
        <f t="shared" ca="1" si="89"/>
        <v>4.4628654115071198</v>
      </c>
      <c r="AF12" s="71">
        <f t="shared" ca="1" si="90"/>
        <v>8.5361155886763171</v>
      </c>
      <c r="AG12" s="71">
        <f t="shared" ca="1" si="91"/>
        <v>2.2314327057535599</v>
      </c>
      <c r="AH12" s="71">
        <f t="shared" ca="1" si="92"/>
        <v>6.3890687595834628</v>
      </c>
      <c r="AI12" s="71">
        <f t="shared" ca="1" si="93"/>
        <v>10.862000472451191</v>
      </c>
      <c r="AJ12" s="71">
        <f t="shared" ca="1" si="94"/>
        <v>4.8879002126030358</v>
      </c>
      <c r="AK12" s="71">
        <f t="shared" ca="1" si="95"/>
        <v>2.7713622931180217</v>
      </c>
      <c r="AL12" s="71">
        <f t="shared" ca="1" si="96"/>
        <v>2.9732350845666309</v>
      </c>
      <c r="AM12" s="71">
        <f t="shared" ca="1" si="97"/>
        <v>8.9021177785089112</v>
      </c>
      <c r="AN12" s="71">
        <f t="shared" ca="1" si="98"/>
        <v>8.3590177548863505</v>
      </c>
      <c r="AO12" s="71">
        <f t="shared" ca="1" si="99"/>
        <v>3.3911892161949444</v>
      </c>
      <c r="AP12" s="71">
        <f t="shared" ca="1" si="100"/>
        <v>1.3392784087673293</v>
      </c>
      <c r="AQ12" s="71">
        <f t="shared" ca="1" si="101"/>
        <v>3.1877610082193715</v>
      </c>
      <c r="AR12" s="71">
        <f t="shared" ca="1" si="102"/>
        <v>7.0130742180826164</v>
      </c>
      <c r="AS12" s="71">
        <f t="shared" ca="1" si="103"/>
        <v>1.5938805041096857</v>
      </c>
      <c r="AT12" s="71">
        <f t="shared" ca="1" si="104"/>
        <v>15.665664698822827</v>
      </c>
      <c r="AU12" s="71">
        <f t="shared" ca="1" si="105"/>
        <v>0.78734789284636408</v>
      </c>
      <c r="AV12" s="71">
        <f t="shared" ca="1" si="106"/>
        <v>2.2935610200306509</v>
      </c>
      <c r="AW12" s="71">
        <f t="shared" ca="1" si="107"/>
        <v>0.39367394642318204</v>
      </c>
      <c r="AX12" s="71">
        <f t="shared" ca="1" si="108"/>
        <v>2.2314327057535599</v>
      </c>
      <c r="AY12" s="71">
        <f t="shared" ca="1" si="109"/>
        <v>4.7226089010657359</v>
      </c>
      <c r="AZ12" s="71">
        <f t="shared" ca="1" si="110"/>
        <v>1.1157163528767799</v>
      </c>
      <c r="BA12" s="71">
        <f t="shared" ca="1" si="111"/>
        <v>16.594983791125877</v>
      </c>
      <c r="BB12" s="71">
        <f t="shared" ca="1" si="112"/>
        <v>1.5323001299240777</v>
      </c>
      <c r="BC12" s="71">
        <f t="shared" ca="1" si="113"/>
        <v>3.9671437612180505</v>
      </c>
      <c r="BD12" s="71">
        <f t="shared" ca="1" si="114"/>
        <v>0.76615006496203886</v>
      </c>
      <c r="BE12" s="71">
        <f t="shared" ca="1" si="115"/>
        <v>3.4356979755253221</v>
      </c>
      <c r="BF12" s="71">
        <f t="shared" ca="1" si="116"/>
        <v>4.1086697439271891</v>
      </c>
      <c r="BG12" s="71">
        <f t="shared" ca="1" si="117"/>
        <v>14.620180719981898</v>
      </c>
      <c r="BH12" s="71">
        <f t="shared" ca="1" si="118"/>
        <v>4.8102482826185966</v>
      </c>
      <c r="BI12" s="71">
        <f t="shared" ca="1" si="119"/>
        <v>1.4596218628921056</v>
      </c>
      <c r="BJ12" s="71">
        <f t="shared" ca="1" si="120"/>
        <v>5.7261632925422044</v>
      </c>
      <c r="BK12" s="71">
        <f t="shared" ca="1" si="121"/>
        <v>3.1169218747033853</v>
      </c>
      <c r="BL12" s="71">
        <f t="shared" ca="1" si="122"/>
        <v>6.3226888244189592</v>
      </c>
      <c r="BM12" s="71">
        <f t="shared" ca="1" si="123"/>
        <v>4.6204004488286321</v>
      </c>
      <c r="BN12" s="71">
        <f t="shared" ca="1" si="124"/>
        <v>0.31493915713854559</v>
      </c>
      <c r="BO12" s="71">
        <f t="shared" ca="1" si="125"/>
        <v>2.1251740054795807</v>
      </c>
      <c r="BP12" s="71">
        <f t="shared" ca="1" si="126"/>
        <v>0.80284351318117508</v>
      </c>
      <c r="BQ12" s="71">
        <f t="shared" ca="1" si="127"/>
        <v>5.0614700562933921</v>
      </c>
      <c r="BR12" s="71">
        <f t="shared" ca="1" si="128"/>
        <v>6.7886876169263388</v>
      </c>
      <c r="BS12" s="71">
        <f t="shared" ca="1" si="129"/>
        <v>0.81763050410968574</v>
      </c>
      <c r="BT12" s="71">
        <f t="shared" ca="1" si="130"/>
        <v>3.3530523197566717</v>
      </c>
      <c r="BU12" s="71">
        <f t="shared" ca="1" si="131"/>
        <v>2.8807914296500985</v>
      </c>
      <c r="BV12" s="71">
        <f t="shared" ca="1" si="132"/>
        <v>7.5507176249622745</v>
      </c>
      <c r="BW12" s="71">
        <f t="shared" ca="1" si="133"/>
        <v>5.846626655952087</v>
      </c>
      <c r="BX12" s="71">
        <f t="shared" ca="1" si="134"/>
        <v>0.73283919257238495</v>
      </c>
      <c r="BY12" s="71">
        <f t="shared" ca="1" si="135"/>
        <v>3.3530523197566717</v>
      </c>
      <c r="BZ12" s="71">
        <f t="shared" ca="1" si="136"/>
        <v>2.8807914296500985</v>
      </c>
      <c r="CA12" s="71">
        <f t="shared" ca="1" si="137"/>
        <v>10.471434772200428</v>
      </c>
      <c r="CB12" s="71">
        <f t="shared" ca="1" si="138"/>
        <v>4.7185874161345831</v>
      </c>
      <c r="CC12" s="71">
        <f t="shared" ca="1" si="139"/>
        <v>0.89636529339432203</v>
      </c>
      <c r="CD12" s="71">
        <f t="shared" ca="1" si="140"/>
        <v>6.7375634191971061</v>
      </c>
      <c r="CE12" s="71">
        <f t="shared" ca="1" si="141"/>
        <v>3.3924480936381203</v>
      </c>
      <c r="CF12" s="71">
        <f t="shared" ca="1" si="142"/>
        <v>8.5686440565000446</v>
      </c>
      <c r="CG12" s="71">
        <f t="shared" ca="1" si="143"/>
        <v>3.3924480936381203</v>
      </c>
      <c r="CH12" s="71">
        <f t="shared" ca="1" si="144"/>
        <v>4.3322133634098829</v>
      </c>
      <c r="CI12" s="71">
        <f t="shared" ca="1" si="145"/>
        <v>11.291378963897479</v>
      </c>
      <c r="CJ12" s="71">
        <f t="shared" ca="1" si="146"/>
        <v>4.3322133634098829</v>
      </c>
      <c r="CK12" s="71">
        <f t="shared" ca="1" si="147"/>
        <v>4.1487459477814692</v>
      </c>
    </row>
    <row r="13" spans="1:89" x14ac:dyDescent="0.25">
      <c r="A13" t="str">
        <f>PLANTILLA!D14</f>
        <v>Dusty Ware</v>
      </c>
      <c r="B13" s="451">
        <f>PLANTILLA!E14</f>
        <v>26</v>
      </c>
      <c r="C13" s="95">
        <f ca="1">PLANTILLA!F14</f>
        <v>102</v>
      </c>
      <c r="D13" s="451" t="str">
        <f>PLANTILLA!G14</f>
        <v>POT</v>
      </c>
      <c r="E13" s="204">
        <f>PLANTILLA!O14</f>
        <v>44354</v>
      </c>
      <c r="F13" s="95">
        <f>PLANTILLA!Q14</f>
        <v>5</v>
      </c>
      <c r="G13" s="115">
        <f t="shared" si="74"/>
        <v>0.84515425472851657</v>
      </c>
      <c r="H13" s="115">
        <f t="shared" si="75"/>
        <v>0.92504826128926143</v>
      </c>
      <c r="I13" s="150">
        <f ca="1">PLANTILLA!P14</f>
        <v>0.34601748551657119</v>
      </c>
      <c r="J13" s="151">
        <f>PLANTILLA!I14</f>
        <v>6.6</v>
      </c>
      <c r="K13" s="48">
        <f>PLANTILLA!X14</f>
        <v>0</v>
      </c>
      <c r="L13" s="48">
        <f>PLANTILLA!Y14</f>
        <v>9.25</v>
      </c>
      <c r="M13" s="48">
        <f>PLANTILLA!Z14</f>
        <v>14.153846153846153</v>
      </c>
      <c r="N13" s="48">
        <f>PLANTILLA!AA14</f>
        <v>4</v>
      </c>
      <c r="O13" s="48">
        <f>PLANTILLA!AB14</f>
        <v>3</v>
      </c>
      <c r="P13" s="48">
        <f>PLANTILLA!AC14</f>
        <v>8</v>
      </c>
      <c r="Q13" s="48">
        <f>PLANTILLA!AD14</f>
        <v>17.25</v>
      </c>
      <c r="R13" s="151">
        <f t="shared" si="76"/>
        <v>2.28125</v>
      </c>
      <c r="S13" s="151">
        <f t="shared" ca="1" si="77"/>
        <v>18.347121439721661</v>
      </c>
      <c r="T13" s="48">
        <f t="shared" si="78"/>
        <v>0.91750000000000009</v>
      </c>
      <c r="U13" s="48">
        <f t="shared" si="79"/>
        <v>0.88749999999999996</v>
      </c>
      <c r="V13" s="151">
        <f t="shared" ca="1" si="80"/>
        <v>15.871287842928787</v>
      </c>
      <c r="W13" s="151">
        <f t="shared" ca="1" si="81"/>
        <v>17.371630257294012</v>
      </c>
      <c r="X13" s="71">
        <f t="shared" ca="1" si="82"/>
        <v>3.8090224058267017</v>
      </c>
      <c r="Y13" s="71">
        <f t="shared" ca="1" si="83"/>
        <v>5.7886668681812967</v>
      </c>
      <c r="Z13" s="71">
        <f t="shared" ca="1" si="84"/>
        <v>3.8090224058267017</v>
      </c>
      <c r="AA13" s="71">
        <f t="shared" ca="1" si="85"/>
        <v>5.5153912501793565</v>
      </c>
      <c r="AB13" s="71">
        <f t="shared" ca="1" si="86"/>
        <v>10.688742732905729</v>
      </c>
      <c r="AC13" s="71">
        <f t="shared" ca="1" si="87"/>
        <v>2.7576956250896782</v>
      </c>
      <c r="AD13" s="71">
        <f t="shared" ca="1" si="88"/>
        <v>3.7110361550469477</v>
      </c>
      <c r="AE13" s="71">
        <f t="shared" ca="1" si="89"/>
        <v>4.0403447530383652</v>
      </c>
      <c r="AF13" s="71">
        <f t="shared" ca="1" si="90"/>
        <v>7.7279609958908413</v>
      </c>
      <c r="AG13" s="71">
        <f t="shared" ca="1" si="91"/>
        <v>2.0201723765191826</v>
      </c>
      <c r="AH13" s="71">
        <f t="shared" ca="1" si="92"/>
        <v>6.0031467213994745</v>
      </c>
      <c r="AI13" s="71">
        <f t="shared" ca="1" si="93"/>
        <v>9.8336433142732709</v>
      </c>
      <c r="AJ13" s="71">
        <f t="shared" ca="1" si="94"/>
        <v>4.4251394914229714</v>
      </c>
      <c r="AK13" s="71">
        <f t="shared" ca="1" si="95"/>
        <v>2.6039623440875643</v>
      </c>
      <c r="AL13" s="71">
        <f t="shared" ca="1" si="96"/>
        <v>3.1979807269485683</v>
      </c>
      <c r="AM13" s="71">
        <f t="shared" ca="1" si="97"/>
        <v>8.0593120206109194</v>
      </c>
      <c r="AN13" s="71">
        <f t="shared" ca="1" si="98"/>
        <v>7.5676298548972554</v>
      </c>
      <c r="AO13" s="71">
        <f t="shared" ca="1" si="99"/>
        <v>3.1210200363952572</v>
      </c>
      <c r="AP13" s="71">
        <f t="shared" ca="1" si="100"/>
        <v>1.07135790707685</v>
      </c>
      <c r="AQ13" s="71">
        <f t="shared" ca="1" si="101"/>
        <v>2.885960537884547</v>
      </c>
      <c r="AR13" s="71">
        <f t="shared" ca="1" si="102"/>
        <v>6.3491131833460024</v>
      </c>
      <c r="AS13" s="71">
        <f t="shared" ca="1" si="103"/>
        <v>1.4429802689422735</v>
      </c>
      <c r="AT13" s="71">
        <f t="shared" ca="1" si="104"/>
        <v>14.719403909093776</v>
      </c>
      <c r="AU13" s="71">
        <f t="shared" ca="1" si="105"/>
        <v>0.57703655527774489</v>
      </c>
      <c r="AV13" s="71">
        <f t="shared" ca="1" si="106"/>
        <v>2.1655516207413785</v>
      </c>
      <c r="AW13" s="71">
        <f t="shared" ca="1" si="107"/>
        <v>0.28851827763887244</v>
      </c>
      <c r="AX13" s="71">
        <f t="shared" ca="1" si="108"/>
        <v>2.0201723765191826</v>
      </c>
      <c r="AY13" s="71">
        <f t="shared" ca="1" si="109"/>
        <v>4.2754970931622918</v>
      </c>
      <c r="AZ13" s="71">
        <f t="shared" ca="1" si="110"/>
        <v>1.0100861882595913</v>
      </c>
      <c r="BA13" s="71">
        <f t="shared" ca="1" si="111"/>
        <v>15.592588886751882</v>
      </c>
      <c r="BB13" s="71">
        <f t="shared" ca="1" si="112"/>
        <v>1.1230019114251495</v>
      </c>
      <c r="BC13" s="71">
        <f t="shared" ca="1" si="113"/>
        <v>3.4957472458310566</v>
      </c>
      <c r="BD13" s="71">
        <f t="shared" ca="1" si="114"/>
        <v>0.56150095571257475</v>
      </c>
      <c r="BE13" s="71">
        <f t="shared" ca="1" si="115"/>
        <v>3.1104241352755668</v>
      </c>
      <c r="BF13" s="71">
        <f t="shared" ca="1" si="116"/>
        <v>3.7196824710511933</v>
      </c>
      <c r="BG13" s="71">
        <f t="shared" ca="1" si="117"/>
        <v>13.737070809228408</v>
      </c>
      <c r="BH13" s="71">
        <f t="shared" ca="1" si="118"/>
        <v>4.5200422895531922</v>
      </c>
      <c r="BI13" s="71">
        <f t="shared" ca="1" si="119"/>
        <v>1.0697369986302807</v>
      </c>
      <c r="BJ13" s="71">
        <f t="shared" ca="1" si="120"/>
        <v>5.1840402254592783</v>
      </c>
      <c r="BK13" s="71">
        <f t="shared" ca="1" si="121"/>
        <v>2.8218280814871126</v>
      </c>
      <c r="BL13" s="71">
        <f t="shared" ca="1" si="122"/>
        <v>5.940776365852467</v>
      </c>
      <c r="BM13" s="71">
        <f t="shared" ca="1" si="123"/>
        <v>4.5524611485596074</v>
      </c>
      <c r="BN13" s="71">
        <f t="shared" ca="1" si="124"/>
        <v>0.23081462211109791</v>
      </c>
      <c r="BO13" s="71">
        <f t="shared" ca="1" si="125"/>
        <v>1.923973691923031</v>
      </c>
      <c r="BP13" s="71">
        <f t="shared" ca="1" si="126"/>
        <v>0.72683450583758957</v>
      </c>
      <c r="BQ13" s="71">
        <f t="shared" ca="1" si="127"/>
        <v>4.7557396104593241</v>
      </c>
      <c r="BR13" s="71">
        <f t="shared" ca="1" si="128"/>
        <v>6.7082231545167668</v>
      </c>
      <c r="BS13" s="71">
        <f t="shared" ca="1" si="129"/>
        <v>0.59923026894227349</v>
      </c>
      <c r="BT13" s="71">
        <f t="shared" ca="1" si="130"/>
        <v>3.0356029361452266</v>
      </c>
      <c r="BU13" s="71">
        <f t="shared" ca="1" si="131"/>
        <v>2.6080532268289978</v>
      </c>
      <c r="BV13" s="71">
        <f t="shared" ca="1" si="132"/>
        <v>7.0946279434721067</v>
      </c>
      <c r="BW13" s="71">
        <f t="shared" ca="1" si="133"/>
        <v>5.7821269480595472</v>
      </c>
      <c r="BX13" s="71">
        <f t="shared" ca="1" si="134"/>
        <v>0.53708787068159325</v>
      </c>
      <c r="BY13" s="71">
        <f t="shared" ca="1" si="135"/>
        <v>3.0356029361452266</v>
      </c>
      <c r="BZ13" s="71">
        <f t="shared" ca="1" si="136"/>
        <v>2.6080532268289978</v>
      </c>
      <c r="CA13" s="71">
        <f t="shared" ca="1" si="137"/>
        <v>9.8389235875404371</v>
      </c>
      <c r="CB13" s="71">
        <f t="shared" ca="1" si="138"/>
        <v>4.674674745950627</v>
      </c>
      <c r="CC13" s="71">
        <f t="shared" ca="1" si="139"/>
        <v>0.65693392447004795</v>
      </c>
      <c r="CD13" s="71">
        <f t="shared" ca="1" si="140"/>
        <v>6.3305910880212641</v>
      </c>
      <c r="CE13" s="71">
        <f t="shared" ca="1" si="141"/>
        <v>3.0915849638438848</v>
      </c>
      <c r="CF13" s="71">
        <f t="shared" ca="1" si="142"/>
        <v>7.9130243172518506</v>
      </c>
      <c r="CG13" s="71">
        <f t="shared" ca="1" si="143"/>
        <v>3.0915849638438848</v>
      </c>
      <c r="CH13" s="71">
        <f t="shared" ca="1" si="144"/>
        <v>4.4563721763659609</v>
      </c>
      <c r="CI13" s="71">
        <f t="shared" ca="1" si="145"/>
        <v>11.076638801347944</v>
      </c>
      <c r="CJ13" s="71">
        <f t="shared" ca="1" si="146"/>
        <v>4.4563721763659609</v>
      </c>
      <c r="CK13" s="71">
        <f t="shared" ca="1" si="147"/>
        <v>3.8981472216879705</v>
      </c>
    </row>
    <row r="14" spans="1:89" x14ac:dyDescent="0.25">
      <c r="A14" t="str">
        <f>PLANTILLA!D15</f>
        <v>S. Gencel</v>
      </c>
      <c r="B14" s="451">
        <f>PLANTILLA!E15</f>
        <v>29</v>
      </c>
      <c r="C14" s="95">
        <f ca="1">PLANTILLA!F15</f>
        <v>72</v>
      </c>
      <c r="D14" s="451" t="str">
        <f>PLANTILLA!G15</f>
        <v>CAB</v>
      </c>
      <c r="E14" s="204">
        <f>PLANTILLA!O15</f>
        <v>44273</v>
      </c>
      <c r="F14" s="95">
        <f>PLANTILLA!Q15</f>
        <v>6</v>
      </c>
      <c r="G14" s="115">
        <f t="shared" si="74"/>
        <v>0.92582009977255142</v>
      </c>
      <c r="H14" s="115">
        <f t="shared" si="75"/>
        <v>0.99928545900129484</v>
      </c>
      <c r="I14" s="150">
        <f ca="1">PLANTILLA!P15</f>
        <v>0.58400744542061045</v>
      </c>
      <c r="J14" s="151">
        <f>PLANTILLA!I15</f>
        <v>7</v>
      </c>
      <c r="K14" s="48">
        <f>PLANTILLA!X15</f>
        <v>0</v>
      </c>
      <c r="L14" s="48">
        <f>PLANTILLA!Y15</f>
        <v>9</v>
      </c>
      <c r="M14" s="48">
        <f>PLANTILLA!Z15</f>
        <v>14</v>
      </c>
      <c r="N14" s="48">
        <f>PLANTILLA!AA15</f>
        <v>0</v>
      </c>
      <c r="O14" s="48">
        <f>PLANTILLA!AB15</f>
        <v>2</v>
      </c>
      <c r="P14" s="48">
        <f>PLANTILLA!AC15</f>
        <v>7.1785714285714288</v>
      </c>
      <c r="Q14" s="48">
        <f>PLANTILLA!AD15</f>
        <v>16</v>
      </c>
      <c r="R14" s="151">
        <f t="shared" si="76"/>
        <v>2</v>
      </c>
      <c r="S14" s="151">
        <f t="shared" ca="1" si="77"/>
        <v>16.897307250383463</v>
      </c>
      <c r="T14" s="48">
        <f t="shared" si="78"/>
        <v>0.83892857142857147</v>
      </c>
      <c r="U14" s="48">
        <f t="shared" si="79"/>
        <v>0.84000000000000008</v>
      </c>
      <c r="V14" s="151">
        <f t="shared" ca="1" si="80"/>
        <v>16.464525635537264</v>
      </c>
      <c r="W14" s="151">
        <f t="shared" ca="1" si="81"/>
        <v>17.771013030488788</v>
      </c>
      <c r="X14" s="71">
        <f t="shared" ca="1" si="82"/>
        <v>3.9775326184287878</v>
      </c>
      <c r="Y14" s="71">
        <f t="shared" ca="1" si="83"/>
        <v>6.0336490382492149</v>
      </c>
      <c r="Z14" s="71">
        <f t="shared" ca="1" si="84"/>
        <v>3.9775326184287878</v>
      </c>
      <c r="AA14" s="71">
        <f t="shared" ca="1" si="85"/>
        <v>5.5267752933668435</v>
      </c>
      <c r="AB14" s="71">
        <f t="shared" ca="1" si="86"/>
        <v>10.710804832106286</v>
      </c>
      <c r="AC14" s="71">
        <f t="shared" ca="1" si="87"/>
        <v>2.7633876466834217</v>
      </c>
      <c r="AD14" s="71">
        <f t="shared" ca="1" si="88"/>
        <v>3.7391715500412959</v>
      </c>
      <c r="AE14" s="71">
        <f t="shared" ca="1" si="89"/>
        <v>4.0486842265361762</v>
      </c>
      <c r="AF14" s="71">
        <f t="shared" ca="1" si="90"/>
        <v>7.7439118936128439</v>
      </c>
      <c r="AG14" s="71">
        <f t="shared" ca="1" si="91"/>
        <v>2.0243421132680881</v>
      </c>
      <c r="AH14" s="71">
        <f t="shared" ca="1" si="92"/>
        <v>6.0486598603609201</v>
      </c>
      <c r="AI14" s="71">
        <f t="shared" ca="1" si="93"/>
        <v>9.8539404455377824</v>
      </c>
      <c r="AJ14" s="71">
        <f t="shared" ca="1" si="94"/>
        <v>4.4342732004920018</v>
      </c>
      <c r="AK14" s="71">
        <f t="shared" ca="1" si="95"/>
        <v>2.6237044069617497</v>
      </c>
      <c r="AL14" s="71">
        <f t="shared" ca="1" si="96"/>
        <v>1.0059532412784962</v>
      </c>
      <c r="AM14" s="71">
        <f t="shared" ca="1" si="97"/>
        <v>8.0759468434081398</v>
      </c>
      <c r="AN14" s="71">
        <f t="shared" ca="1" si="98"/>
        <v>7.5832498211312496</v>
      </c>
      <c r="AO14" s="71">
        <f t="shared" ca="1" si="99"/>
        <v>2.9577044069617502</v>
      </c>
      <c r="AP14" s="71">
        <f t="shared" ca="1" si="100"/>
        <v>1.0687117916466102</v>
      </c>
      <c r="AQ14" s="71">
        <f t="shared" ca="1" si="101"/>
        <v>2.8919173046686972</v>
      </c>
      <c r="AR14" s="71">
        <f t="shared" ca="1" si="102"/>
        <v>6.3622180702711333</v>
      </c>
      <c r="AS14" s="71">
        <f t="shared" ca="1" si="103"/>
        <v>1.4459586523343486</v>
      </c>
      <c r="AT14" s="71">
        <f t="shared" ca="1" si="104"/>
        <v>14.830999761508332</v>
      </c>
      <c r="AU14" s="71">
        <f t="shared" ca="1" si="105"/>
        <v>0.48240462817381718</v>
      </c>
      <c r="AV14" s="71">
        <f t="shared" ca="1" si="106"/>
        <v>1.9831586729499988</v>
      </c>
      <c r="AW14" s="71">
        <f t="shared" ca="1" si="107"/>
        <v>0.24120231408690859</v>
      </c>
      <c r="AX14" s="71">
        <f t="shared" ca="1" si="108"/>
        <v>2.0243421132680881</v>
      </c>
      <c r="AY14" s="71">
        <f t="shared" ca="1" si="109"/>
        <v>4.2843219328425146</v>
      </c>
      <c r="AZ14" s="71">
        <f t="shared" ca="1" si="110"/>
        <v>1.0121710566340441</v>
      </c>
      <c r="BA14" s="71">
        <f t="shared" ca="1" si="111"/>
        <v>15.710804832106286</v>
      </c>
      <c r="BB14" s="71">
        <f t="shared" ca="1" si="112"/>
        <v>0.93883362252289038</v>
      </c>
      <c r="BC14" s="71">
        <f t="shared" ca="1" si="113"/>
        <v>3.1321534624905638</v>
      </c>
      <c r="BD14" s="71">
        <f t="shared" ca="1" si="114"/>
        <v>0.46941681126144519</v>
      </c>
      <c r="BE14" s="71">
        <f t="shared" ca="1" si="115"/>
        <v>3.1168442061429289</v>
      </c>
      <c r="BF14" s="71">
        <f t="shared" ca="1" si="116"/>
        <v>3.727360081572987</v>
      </c>
      <c r="BG14" s="71">
        <f t="shared" ca="1" si="117"/>
        <v>13.841219057085638</v>
      </c>
      <c r="BH14" s="71">
        <f t="shared" ca="1" si="118"/>
        <v>2.1509054957424882</v>
      </c>
      <c r="BI14" s="71">
        <f t="shared" ca="1" si="119"/>
        <v>0.89430396453761496</v>
      </c>
      <c r="BJ14" s="71">
        <f t="shared" ca="1" si="120"/>
        <v>5.1947403435715485</v>
      </c>
      <c r="BK14" s="71">
        <f t="shared" ca="1" si="121"/>
        <v>2.8276524756760595</v>
      </c>
      <c r="BL14" s="71">
        <f t="shared" ca="1" si="122"/>
        <v>5.9858166410324953</v>
      </c>
      <c r="BM14" s="71">
        <f t="shared" ca="1" si="123"/>
        <v>1.8972434232608941</v>
      </c>
      <c r="BN14" s="71">
        <f t="shared" ca="1" si="124"/>
        <v>0.19296185126952686</v>
      </c>
      <c r="BO14" s="71">
        <f t="shared" ca="1" si="125"/>
        <v>1.9279448697791313</v>
      </c>
      <c r="BP14" s="71">
        <f t="shared" ca="1" si="126"/>
        <v>0.72833472858322745</v>
      </c>
      <c r="BQ14" s="71">
        <f t="shared" ca="1" si="127"/>
        <v>4.7917954737924173</v>
      </c>
      <c r="BR14" s="71">
        <f t="shared" ca="1" si="128"/>
        <v>2.7720950140886838</v>
      </c>
      <c r="BS14" s="71">
        <f t="shared" ca="1" si="129"/>
        <v>0.50095865233434866</v>
      </c>
      <c r="BT14" s="71">
        <f t="shared" ca="1" si="130"/>
        <v>3.0418685723181849</v>
      </c>
      <c r="BU14" s="71">
        <f t="shared" ca="1" si="131"/>
        <v>2.6134363790339337</v>
      </c>
      <c r="BV14" s="71">
        <f t="shared" ca="1" si="132"/>
        <v>7.1484161986083601</v>
      </c>
      <c r="BW14" s="71">
        <f t="shared" ca="1" si="133"/>
        <v>2.3835717539737651</v>
      </c>
      <c r="BX14" s="71">
        <f t="shared" ca="1" si="134"/>
        <v>0.44900738468486062</v>
      </c>
      <c r="BY14" s="71">
        <f t="shared" ca="1" si="135"/>
        <v>3.0418685723181849</v>
      </c>
      <c r="BZ14" s="71">
        <f t="shared" ca="1" si="136"/>
        <v>2.6134363790339337</v>
      </c>
      <c r="CA14" s="71">
        <f t="shared" ca="1" si="137"/>
        <v>9.9135178490590672</v>
      </c>
      <c r="CB14" s="71">
        <f t="shared" ca="1" si="138"/>
        <v>1.9171703247351259</v>
      </c>
      <c r="CC14" s="71">
        <f t="shared" ca="1" si="139"/>
        <v>0.54919911515173037</v>
      </c>
      <c r="CD14" s="71">
        <f t="shared" ca="1" si="140"/>
        <v>6.3785867618351526</v>
      </c>
      <c r="CE14" s="71">
        <f t="shared" ca="1" si="141"/>
        <v>2.3030078889559462</v>
      </c>
      <c r="CF14" s="71">
        <f t="shared" ca="1" si="142"/>
        <v>7.1974733838088216</v>
      </c>
      <c r="CG14" s="71">
        <f t="shared" ca="1" si="143"/>
        <v>2.3030078889559462</v>
      </c>
      <c r="CH14" s="71">
        <f t="shared" ca="1" si="144"/>
        <v>3.324418046021429</v>
      </c>
      <c r="CI14" s="71">
        <f t="shared" ca="1" si="145"/>
        <v>10.258663243724934</v>
      </c>
      <c r="CJ14" s="71">
        <f t="shared" ca="1" si="146"/>
        <v>3.324418046021429</v>
      </c>
      <c r="CK14" s="71">
        <f t="shared" ca="1" si="147"/>
        <v>3.9277012080265714</v>
      </c>
    </row>
    <row r="15" spans="1:89" x14ac:dyDescent="0.25">
      <c r="A15" t="str">
        <f>PLANTILLA!D16</f>
        <v>I. Conteanu</v>
      </c>
      <c r="B15" s="451">
        <f>PLANTILLA!E16</f>
        <v>30</v>
      </c>
      <c r="C15" s="95">
        <f ca="1">PLANTILLA!F16</f>
        <v>96</v>
      </c>
      <c r="D15" s="451" t="str">
        <f>PLANTILLA!G16</f>
        <v>CAB</v>
      </c>
      <c r="E15" s="204">
        <f>PLANTILLA!O16</f>
        <v>43982</v>
      </c>
      <c r="F15" s="95">
        <f>PLANTILLA!Q16</f>
        <v>7</v>
      </c>
      <c r="G15" s="115">
        <f t="shared" si="74"/>
        <v>1</v>
      </c>
      <c r="H15" s="115">
        <f t="shared" si="75"/>
        <v>1</v>
      </c>
      <c r="I15" s="150">
        <f ca="1">PLANTILLA!P16</f>
        <v>1</v>
      </c>
      <c r="J15" s="151">
        <f>PLANTILLA!I16</f>
        <v>8.9</v>
      </c>
      <c r="K15" s="48">
        <f>PLANTILLA!X16</f>
        <v>0</v>
      </c>
      <c r="L15" s="48">
        <f>PLANTILLA!Y16</f>
        <v>10</v>
      </c>
      <c r="M15" s="48">
        <f>PLANTILLA!Z16</f>
        <v>14</v>
      </c>
      <c r="N15" s="48">
        <f>PLANTILLA!AA16</f>
        <v>3</v>
      </c>
      <c r="O15" s="48">
        <f>PLANTILLA!AB16</f>
        <v>3</v>
      </c>
      <c r="P15" s="48">
        <f>PLANTILLA!AC16</f>
        <v>7.25</v>
      </c>
      <c r="Q15" s="48">
        <f>PLANTILLA!AD16</f>
        <v>17.25</v>
      </c>
      <c r="R15" s="151">
        <f t="shared" si="76"/>
        <v>2.375</v>
      </c>
      <c r="S15" s="151">
        <f t="shared" ca="1" si="77"/>
        <v>18.930035886247012</v>
      </c>
      <c r="T15" s="48">
        <f t="shared" si="78"/>
        <v>0.88000000000000012</v>
      </c>
      <c r="U15" s="48">
        <f t="shared" si="79"/>
        <v>0.91750000000000009</v>
      </c>
      <c r="V15" s="151">
        <f t="shared" ca="1" si="80"/>
        <v>19.515853342193218</v>
      </c>
      <c r="W15" s="151">
        <f t="shared" ca="1" si="81"/>
        <v>19.515853342193218</v>
      </c>
      <c r="X15" s="71">
        <f t="shared" ca="1" si="82"/>
        <v>4.7380899677346786</v>
      </c>
      <c r="Y15" s="71">
        <f t="shared" ca="1" si="83"/>
        <v>7.1752166647714422</v>
      </c>
      <c r="Z15" s="71">
        <f t="shared" ca="1" si="84"/>
        <v>4.7380899677346786</v>
      </c>
      <c r="AA15" s="71">
        <f t="shared" ca="1" si="85"/>
        <v>6.3291803245717002</v>
      </c>
      <c r="AB15" s="71">
        <f t="shared" ca="1" si="86"/>
        <v>12.265853342193218</v>
      </c>
      <c r="AC15" s="71">
        <f t="shared" ca="1" si="87"/>
        <v>3.1645901622858501</v>
      </c>
      <c r="AD15" s="71">
        <f t="shared" ca="1" si="88"/>
        <v>3.8712730954419858</v>
      </c>
      <c r="AE15" s="71">
        <f t="shared" ca="1" si="89"/>
        <v>4.6364925633490364</v>
      </c>
      <c r="AF15" s="71">
        <f t="shared" ca="1" si="90"/>
        <v>8.8682119664056955</v>
      </c>
      <c r="AG15" s="71">
        <f t="shared" ca="1" si="91"/>
        <v>2.3182462816745182</v>
      </c>
      <c r="AH15" s="71">
        <f t="shared" ca="1" si="92"/>
        <v>6.2623535367443885</v>
      </c>
      <c r="AI15" s="71">
        <f t="shared" ca="1" si="93"/>
        <v>11.284585074817761</v>
      </c>
      <c r="AJ15" s="71">
        <f t="shared" ca="1" si="94"/>
        <v>5.0780632836679915</v>
      </c>
      <c r="AK15" s="71">
        <f t="shared" ca="1" si="95"/>
        <v>2.7163975081462675</v>
      </c>
      <c r="AL15" s="71">
        <f t="shared" ca="1" si="96"/>
        <v>3.0963217652096113</v>
      </c>
      <c r="AM15" s="71">
        <f t="shared" ca="1" si="97"/>
        <v>9.2484534200136856</v>
      </c>
      <c r="AN15" s="71">
        <f t="shared" ca="1" si="98"/>
        <v>8.6842241662727968</v>
      </c>
      <c r="AO15" s="71">
        <f t="shared" ca="1" si="99"/>
        <v>3.2591475081462677</v>
      </c>
      <c r="AP15" s="71">
        <f t="shared" ca="1" si="100"/>
        <v>1.3365657625516463</v>
      </c>
      <c r="AQ15" s="71">
        <f t="shared" ca="1" si="101"/>
        <v>3.3117804023921691</v>
      </c>
      <c r="AR15" s="71">
        <f t="shared" ca="1" si="102"/>
        <v>7.2859168852627709</v>
      </c>
      <c r="AS15" s="71">
        <f t="shared" ca="1" si="103"/>
        <v>1.6558902011960845</v>
      </c>
      <c r="AT15" s="71">
        <f t="shared" ca="1" si="104"/>
        <v>15.354965555030397</v>
      </c>
      <c r="AU15" s="71">
        <f t="shared" ca="1" si="105"/>
        <v>0.68456093448511823</v>
      </c>
      <c r="AV15" s="71">
        <f t="shared" ca="1" si="106"/>
        <v>2.2781450292626122</v>
      </c>
      <c r="AW15" s="71">
        <f t="shared" ca="1" si="107"/>
        <v>0.34228046724255912</v>
      </c>
      <c r="AX15" s="71">
        <f t="shared" ca="1" si="108"/>
        <v>2.3182462816745182</v>
      </c>
      <c r="AY15" s="71">
        <f t="shared" ca="1" si="109"/>
        <v>4.9063413368772872</v>
      </c>
      <c r="AZ15" s="71">
        <f t="shared" ca="1" si="110"/>
        <v>1.1591231408372591</v>
      </c>
      <c r="BA15" s="71">
        <f t="shared" ca="1" si="111"/>
        <v>16.265853342193218</v>
      </c>
      <c r="BB15" s="71">
        <f t="shared" ca="1" si="112"/>
        <v>1.3322608955748838</v>
      </c>
      <c r="BC15" s="71">
        <f t="shared" ca="1" si="113"/>
        <v>3.7939851915484626</v>
      </c>
      <c r="BD15" s="71">
        <f t="shared" ca="1" si="114"/>
        <v>0.6661304477874419</v>
      </c>
      <c r="BE15" s="71">
        <f t="shared" ca="1" si="115"/>
        <v>3.569363322578226</v>
      </c>
      <c r="BF15" s="71">
        <f t="shared" ca="1" si="116"/>
        <v>4.2685169630832398</v>
      </c>
      <c r="BG15" s="71">
        <f t="shared" ca="1" si="117"/>
        <v>14.330216794472225</v>
      </c>
      <c r="BH15" s="71">
        <f t="shared" ca="1" si="118"/>
        <v>4.681343621209769</v>
      </c>
      <c r="BI15" s="71">
        <f t="shared" ca="1" si="119"/>
        <v>1.2690706554685651</v>
      </c>
      <c r="BJ15" s="71">
        <f t="shared" ca="1" si="120"/>
        <v>5.9489388709637101</v>
      </c>
      <c r="BK15" s="71">
        <f t="shared" ca="1" si="121"/>
        <v>3.2381852823390096</v>
      </c>
      <c r="BL15" s="71">
        <f t="shared" ca="1" si="122"/>
        <v>6.1972901233756161</v>
      </c>
      <c r="BM15" s="71">
        <f t="shared" ca="1" si="123"/>
        <v>4.6023558210768716</v>
      </c>
      <c r="BN15" s="71">
        <f t="shared" ca="1" si="124"/>
        <v>0.27382437379404728</v>
      </c>
      <c r="BO15" s="71">
        <f t="shared" ca="1" si="125"/>
        <v>2.2078536015947789</v>
      </c>
      <c r="BP15" s="71">
        <f t="shared" ca="1" si="126"/>
        <v>0.83407802726913882</v>
      </c>
      <c r="BQ15" s="71">
        <f t="shared" ca="1" si="127"/>
        <v>4.9610852693689313</v>
      </c>
      <c r="BR15" s="71">
        <f t="shared" ca="1" si="128"/>
        <v>6.7718873980604766</v>
      </c>
      <c r="BS15" s="71">
        <f t="shared" ca="1" si="129"/>
        <v>0.71089020119608426</v>
      </c>
      <c r="BT15" s="71">
        <f t="shared" ca="1" si="130"/>
        <v>3.4835023491828734</v>
      </c>
      <c r="BU15" s="71">
        <f t="shared" ca="1" si="131"/>
        <v>2.9928682154951449</v>
      </c>
      <c r="BV15" s="71">
        <f t="shared" ca="1" si="132"/>
        <v>7.4009632706979147</v>
      </c>
      <c r="BW15" s="71">
        <f t="shared" ca="1" si="133"/>
        <v>5.8345655031500838</v>
      </c>
      <c r="BX15" s="71">
        <f t="shared" ca="1" si="134"/>
        <v>0.63716825440537916</v>
      </c>
      <c r="BY15" s="71">
        <f t="shared" ca="1" si="135"/>
        <v>3.4835023491828734</v>
      </c>
      <c r="BZ15" s="71">
        <f t="shared" ca="1" si="136"/>
        <v>2.9928682154951449</v>
      </c>
      <c r="CA15" s="71">
        <f t="shared" ca="1" si="137"/>
        <v>10.263753458923921</v>
      </c>
      <c r="CB15" s="71">
        <f t="shared" ca="1" si="138"/>
        <v>4.7129387412629287</v>
      </c>
      <c r="CC15" s="71">
        <f t="shared" ca="1" si="139"/>
        <v>0.77934629464459604</v>
      </c>
      <c r="CD15" s="71">
        <f t="shared" ca="1" si="140"/>
        <v>6.6039364569304464</v>
      </c>
      <c r="CE15" s="71">
        <f t="shared" ca="1" si="141"/>
        <v>3.2832595912826656</v>
      </c>
      <c r="CF15" s="71">
        <f t="shared" ca="1" si="142"/>
        <v>8.4071008633095623</v>
      </c>
      <c r="CG15" s="71">
        <f t="shared" ca="1" si="143"/>
        <v>3.2832595912826656</v>
      </c>
      <c r="CH15" s="71">
        <f t="shared" ca="1" si="144"/>
        <v>4.3856266321863746</v>
      </c>
      <c r="CI15" s="71">
        <f t="shared" ca="1" si="145"/>
        <v>11.458953225462515</v>
      </c>
      <c r="CJ15" s="71">
        <f t="shared" ca="1" si="146"/>
        <v>4.3856266321863746</v>
      </c>
      <c r="CK15" s="71">
        <f t="shared" ca="1" si="147"/>
        <v>4.0664633355483044</v>
      </c>
    </row>
    <row r="16" spans="1:89" x14ac:dyDescent="0.25">
      <c r="A16" t="str">
        <f>PLANTILLA!D17</f>
        <v>I. Vanags</v>
      </c>
      <c r="B16" s="451">
        <f>PLANTILLA!E17</f>
        <v>25</v>
      </c>
      <c r="C16" s="95">
        <f ca="1">PLANTILLA!F17</f>
        <v>63</v>
      </c>
      <c r="D16" s="451" t="str">
        <f>PLANTILLA!G17</f>
        <v>CAB</v>
      </c>
      <c r="E16" s="204">
        <f>PLANTILLA!O17</f>
        <v>43626</v>
      </c>
      <c r="F16" s="95">
        <f>PLANTILLA!Q17</f>
        <v>6</v>
      </c>
      <c r="G16" s="115">
        <f t="shared" si="74"/>
        <v>0.92582009977255142</v>
      </c>
      <c r="H16" s="115">
        <f t="shared" si="75"/>
        <v>0.99928545900129484</v>
      </c>
      <c r="I16" s="150">
        <f ca="1">PLANTILLA!P17</f>
        <v>1</v>
      </c>
      <c r="J16" s="151">
        <f>PLANTILLA!I17</f>
        <v>5.0999999999999996</v>
      </c>
      <c r="K16" s="48">
        <f>PLANTILLA!X17</f>
        <v>0</v>
      </c>
      <c r="L16" s="48">
        <f>PLANTILLA!Y17</f>
        <v>7.166666666666667</v>
      </c>
      <c r="M16" s="48">
        <f>PLANTILLA!Z17</f>
        <v>14.692307692307692</v>
      </c>
      <c r="N16" s="48">
        <f>PLANTILLA!AA17</f>
        <v>3</v>
      </c>
      <c r="O16" s="48">
        <f>PLANTILLA!AB17</f>
        <v>4</v>
      </c>
      <c r="P16" s="48">
        <f>PLANTILLA!AC17</f>
        <v>7.6818181818181817</v>
      </c>
      <c r="Q16" s="48">
        <f>PLANTILLA!AD17</f>
        <v>19</v>
      </c>
      <c r="R16" s="151">
        <f t="shared" si="76"/>
        <v>2.2708333333333335</v>
      </c>
      <c r="S16" s="151">
        <f t="shared" ca="1" si="77"/>
        <v>19.896791634053436</v>
      </c>
      <c r="T16" s="48">
        <f t="shared" si="78"/>
        <v>0.9540909090909091</v>
      </c>
      <c r="U16" s="48">
        <f t="shared" si="79"/>
        <v>0.85666666666666669</v>
      </c>
      <c r="V16" s="151">
        <f t="shared" ca="1" si="80"/>
        <v>19.389845583492459</v>
      </c>
      <c r="W16" s="151">
        <f t="shared" ca="1" si="81"/>
        <v>20.928461964289436</v>
      </c>
      <c r="X16" s="71">
        <f t="shared" ca="1" si="82"/>
        <v>3.6746116849779984</v>
      </c>
      <c r="Y16" s="71">
        <f t="shared" ca="1" si="83"/>
        <v>5.5547974631232488</v>
      </c>
      <c r="Z16" s="71">
        <f t="shared" ca="1" si="84"/>
        <v>3.6746116849779984</v>
      </c>
      <c r="AA16" s="71">
        <f t="shared" ca="1" si="85"/>
        <v>4.7008082811553811</v>
      </c>
      <c r="AB16" s="71">
        <f t="shared" ca="1" si="86"/>
        <v>9.1100935681305835</v>
      </c>
      <c r="AC16" s="71">
        <f t="shared" ca="1" si="87"/>
        <v>2.3504041405776905</v>
      </c>
      <c r="AD16" s="71">
        <f t="shared" ca="1" si="88"/>
        <v>3.9593048333176419</v>
      </c>
      <c r="AE16" s="71">
        <f t="shared" ca="1" si="89"/>
        <v>3.4436153687533606</v>
      </c>
      <c r="AF16" s="71">
        <f t="shared" ca="1" si="90"/>
        <v>6.5865976497584118</v>
      </c>
      <c r="AG16" s="71">
        <f t="shared" ca="1" si="91"/>
        <v>1.7218076843766803</v>
      </c>
      <c r="AH16" s="71">
        <f t="shared" ca="1" si="92"/>
        <v>6.4047578186020679</v>
      </c>
      <c r="AI16" s="71">
        <f t="shared" ca="1" si="93"/>
        <v>8.3812860826801376</v>
      </c>
      <c r="AJ16" s="71">
        <f t="shared" ca="1" si="94"/>
        <v>3.7715787372060614</v>
      </c>
      <c r="AK16" s="71">
        <f t="shared" ca="1" si="95"/>
        <v>2.7781676771598582</v>
      </c>
      <c r="AL16" s="71">
        <f t="shared" ca="1" si="96"/>
        <v>2.906735018060782</v>
      </c>
      <c r="AM16" s="71">
        <f t="shared" ca="1" si="97"/>
        <v>6.8690105503704597</v>
      </c>
      <c r="AN16" s="71">
        <f t="shared" ca="1" si="98"/>
        <v>6.4499462462364532</v>
      </c>
      <c r="AO16" s="71">
        <f t="shared" ca="1" si="99"/>
        <v>3.4975522925444742</v>
      </c>
      <c r="AP16" s="71">
        <f t="shared" ca="1" si="100"/>
        <v>1.2137069476216076</v>
      </c>
      <c r="AQ16" s="71">
        <f t="shared" ca="1" si="101"/>
        <v>2.4597252633952578</v>
      </c>
      <c r="AR16" s="71">
        <f t="shared" ca="1" si="102"/>
        <v>5.4113955794695663</v>
      </c>
      <c r="AS16" s="71">
        <f t="shared" ca="1" si="103"/>
        <v>1.2298626316976289</v>
      </c>
      <c r="AT16" s="71">
        <f t="shared" ca="1" si="104"/>
        <v>15.704133456520395</v>
      </c>
      <c r="AU16" s="71">
        <f t="shared" ca="1" si="105"/>
        <v>0.77264549719030906</v>
      </c>
      <c r="AV16" s="71">
        <f t="shared" ca="1" si="106"/>
        <v>2.3783786275834724</v>
      </c>
      <c r="AW16" s="71">
        <f t="shared" ca="1" si="107"/>
        <v>0.38632274859515453</v>
      </c>
      <c r="AX16" s="71">
        <f t="shared" ca="1" si="108"/>
        <v>1.7218076843766803</v>
      </c>
      <c r="AY16" s="71">
        <f t="shared" ca="1" si="109"/>
        <v>3.6440374272522336</v>
      </c>
      <c r="AZ16" s="71">
        <f t="shared" ca="1" si="110"/>
        <v>0.86090384218834015</v>
      </c>
      <c r="BA16" s="71">
        <f t="shared" ca="1" si="111"/>
        <v>16.635734593771605</v>
      </c>
      <c r="BB16" s="71">
        <f t="shared" ca="1" si="112"/>
        <v>1.5036870060703706</v>
      </c>
      <c r="BC16" s="71">
        <f t="shared" ca="1" si="113"/>
        <v>4.0480100408884354</v>
      </c>
      <c r="BD16" s="71">
        <f t="shared" ca="1" si="114"/>
        <v>0.75184350303518532</v>
      </c>
      <c r="BE16" s="71">
        <f t="shared" ca="1" si="115"/>
        <v>2.6510372283259995</v>
      </c>
      <c r="BF16" s="71">
        <f t="shared" ca="1" si="116"/>
        <v>3.170312561709443</v>
      </c>
      <c r="BG16" s="71">
        <f t="shared" ca="1" si="117"/>
        <v>14.656082177112784</v>
      </c>
      <c r="BH16" s="71">
        <f t="shared" ca="1" si="118"/>
        <v>4.7097065154014208</v>
      </c>
      <c r="BI16" s="71">
        <f t="shared" ca="1" si="119"/>
        <v>1.4323658832528037</v>
      </c>
      <c r="BJ16" s="71">
        <f t="shared" ca="1" si="120"/>
        <v>4.4183953805433331</v>
      </c>
      <c r="BK16" s="71">
        <f t="shared" ca="1" si="121"/>
        <v>2.4050647019864742</v>
      </c>
      <c r="BL16" s="71">
        <f t="shared" ca="1" si="122"/>
        <v>6.3382148802269818</v>
      </c>
      <c r="BM16" s="71">
        <f t="shared" ca="1" si="123"/>
        <v>4.5215551118794624</v>
      </c>
      <c r="BN16" s="71">
        <f t="shared" ca="1" si="124"/>
        <v>0.30905819887612362</v>
      </c>
      <c r="BO16" s="71">
        <f t="shared" ca="1" si="125"/>
        <v>1.6398168422635049</v>
      </c>
      <c r="BP16" s="71">
        <f t="shared" ca="1" si="126"/>
        <v>0.61948636263287971</v>
      </c>
      <c r="BQ16" s="71">
        <f t="shared" ca="1" si="127"/>
        <v>5.0738990511003399</v>
      </c>
      <c r="BR16" s="71">
        <f t="shared" ca="1" si="128"/>
        <v>6.6432469952825954</v>
      </c>
      <c r="BS16" s="71">
        <f t="shared" ca="1" si="129"/>
        <v>0.80236263169762867</v>
      </c>
      <c r="BT16" s="71">
        <f t="shared" ca="1" si="130"/>
        <v>2.5872665733490856</v>
      </c>
      <c r="BU16" s="71">
        <f t="shared" ca="1" si="131"/>
        <v>2.2228628306238623</v>
      </c>
      <c r="BV16" s="71">
        <f t="shared" ca="1" si="132"/>
        <v>7.5692592401660805</v>
      </c>
      <c r="BW16" s="71">
        <f t="shared" ca="1" si="133"/>
        <v>5.7213170068220185</v>
      </c>
      <c r="BX16" s="71">
        <f t="shared" ca="1" si="134"/>
        <v>0.71915465507713372</v>
      </c>
      <c r="BY16" s="71">
        <f t="shared" ca="1" si="135"/>
        <v>2.5872665733490856</v>
      </c>
      <c r="BZ16" s="71">
        <f t="shared" ca="1" si="136"/>
        <v>2.2228628306238623</v>
      </c>
      <c r="CA16" s="71">
        <f t="shared" ca="1" si="137"/>
        <v>10.497148528669884</v>
      </c>
      <c r="CB16" s="71">
        <f t="shared" ca="1" si="138"/>
        <v>4.6173670768102042</v>
      </c>
      <c r="CC16" s="71">
        <f t="shared" ca="1" si="139"/>
        <v>0.87962718141665952</v>
      </c>
      <c r="CD16" s="71">
        <f t="shared" ca="1" si="140"/>
        <v>6.7541082450712722</v>
      </c>
      <c r="CE16" s="71">
        <f t="shared" ca="1" si="141"/>
        <v>3.420116324753609</v>
      </c>
      <c r="CF16" s="71">
        <f t="shared" ca="1" si="142"/>
        <v>8.8387986910483693</v>
      </c>
      <c r="CG16" s="71">
        <f t="shared" ca="1" si="143"/>
        <v>3.420116324753609</v>
      </c>
      <c r="CH16" s="71">
        <f t="shared" ca="1" si="144"/>
        <v>4.4390276868847467</v>
      </c>
      <c r="CI16" s="71">
        <f t="shared" ca="1" si="145"/>
        <v>11.818369609922282</v>
      </c>
      <c r="CJ16" s="71">
        <f t="shared" ca="1" si="146"/>
        <v>4.4390276868847467</v>
      </c>
      <c r="CK16" s="71">
        <f t="shared" ca="1" si="147"/>
        <v>4.1589336484429014</v>
      </c>
    </row>
    <row r="17" spans="1:89" x14ac:dyDescent="0.25">
      <c r="A17" t="str">
        <f>PLANTILLA!D18</f>
        <v>I. Stone</v>
      </c>
      <c r="B17" s="451">
        <f>PLANTILLA!E18</f>
        <v>25</v>
      </c>
      <c r="C17" s="95">
        <f ca="1">PLANTILLA!F18</f>
        <v>6</v>
      </c>
      <c r="D17" s="451" t="str">
        <f>PLANTILLA!G18</f>
        <v>RAP</v>
      </c>
      <c r="E17" s="204">
        <f>PLANTILLA!O18</f>
        <v>43633</v>
      </c>
      <c r="F17" s="95">
        <f>PLANTILLA!Q18</f>
        <v>6</v>
      </c>
      <c r="G17" s="115">
        <f t="shared" si="74"/>
        <v>0.92582009977255142</v>
      </c>
      <c r="H17" s="115">
        <f t="shared" si="75"/>
        <v>0.99928545900129484</v>
      </c>
      <c r="I17" s="150">
        <f ca="1">PLANTILLA!P18</f>
        <v>1</v>
      </c>
      <c r="J17" s="151">
        <f>PLANTILLA!I18</f>
        <v>6.3</v>
      </c>
      <c r="K17" s="48">
        <f>PLANTILLA!X18</f>
        <v>0</v>
      </c>
      <c r="L17" s="48">
        <f>PLANTILLA!Y18</f>
        <v>6</v>
      </c>
      <c r="M17" s="48">
        <f>PLANTILLA!Z18</f>
        <v>13.727272727272727</v>
      </c>
      <c r="N17" s="48">
        <f>PLANTILLA!AA18</f>
        <v>2</v>
      </c>
      <c r="O17" s="48">
        <f>PLANTILLA!AB18</f>
        <v>6</v>
      </c>
      <c r="P17" s="48">
        <f>PLANTILLA!AC18</f>
        <v>9.5</v>
      </c>
      <c r="Q17" s="48">
        <f>PLANTILLA!AD18</f>
        <v>18.5</v>
      </c>
      <c r="R17" s="151">
        <f t="shared" si="76"/>
        <v>2.625</v>
      </c>
      <c r="S17" s="151">
        <f t="shared" ca="1" si="77"/>
        <v>22.910390152389887</v>
      </c>
      <c r="T17" s="48">
        <f t="shared" si="78"/>
        <v>1.03</v>
      </c>
      <c r="U17" s="48">
        <f t="shared" si="79"/>
        <v>0.79500000000000004</v>
      </c>
      <c r="V17" s="151">
        <f t="shared" ca="1" si="80"/>
        <v>19.040219341894566</v>
      </c>
      <c r="W17" s="151">
        <f t="shared" ca="1" si="81"/>
        <v>20.551092301004008</v>
      </c>
      <c r="X17" s="71">
        <f t="shared" ca="1" si="82"/>
        <v>3.4594323995639691</v>
      </c>
      <c r="Y17" s="71">
        <f t="shared" ca="1" si="83"/>
        <v>5.2169315324594319</v>
      </c>
      <c r="Z17" s="71">
        <f t="shared" ca="1" si="84"/>
        <v>3.4594323995639691</v>
      </c>
      <c r="AA17" s="71">
        <f t="shared" ca="1" si="85"/>
        <v>4.1619462980240645</v>
      </c>
      <c r="AB17" s="71">
        <f t="shared" ca="1" si="86"/>
        <v>8.0657873992714428</v>
      </c>
      <c r="AC17" s="71">
        <f t="shared" ca="1" si="87"/>
        <v>2.0809731490120322</v>
      </c>
      <c r="AD17" s="71">
        <f t="shared" ca="1" si="88"/>
        <v>3.7587483101175123</v>
      </c>
      <c r="AE17" s="71">
        <f t="shared" ca="1" si="89"/>
        <v>3.0488676369246055</v>
      </c>
      <c r="AF17" s="71">
        <f t="shared" ca="1" si="90"/>
        <v>5.8315642896732527</v>
      </c>
      <c r="AG17" s="71">
        <f t="shared" ca="1" si="91"/>
        <v>1.5244338184623027</v>
      </c>
      <c r="AH17" s="71">
        <f t="shared" ca="1" si="92"/>
        <v>6.0803281487195058</v>
      </c>
      <c r="AI17" s="71">
        <f t="shared" ca="1" si="93"/>
        <v>7.4205244073297276</v>
      </c>
      <c r="AJ17" s="71">
        <f t="shared" ca="1" si="94"/>
        <v>3.3392359832983773</v>
      </c>
      <c r="AK17" s="71">
        <f t="shared" ca="1" si="95"/>
        <v>2.6374410411328766</v>
      </c>
      <c r="AL17" s="71">
        <f t="shared" ca="1" si="96"/>
        <v>2.3906829907716078</v>
      </c>
      <c r="AM17" s="71">
        <f t="shared" ca="1" si="97"/>
        <v>6.0816036990506683</v>
      </c>
      <c r="AN17" s="71">
        <f t="shared" ca="1" si="98"/>
        <v>5.710577478684181</v>
      </c>
      <c r="AO17" s="71">
        <f t="shared" ca="1" si="99"/>
        <v>3.434486495678331</v>
      </c>
      <c r="AP17" s="71">
        <f t="shared" ca="1" si="100"/>
        <v>1.3509467709901752</v>
      </c>
      <c r="AQ17" s="71">
        <f t="shared" ca="1" si="101"/>
        <v>2.1777625978032895</v>
      </c>
      <c r="AR17" s="71">
        <f t="shared" ca="1" si="102"/>
        <v>4.791077715167237</v>
      </c>
      <c r="AS17" s="71">
        <f t="shared" ca="1" si="103"/>
        <v>1.0888812989016448</v>
      </c>
      <c r="AT17" s="71">
        <f t="shared" ca="1" si="104"/>
        <v>14.908648759457694</v>
      </c>
      <c r="AU17" s="71">
        <f t="shared" ca="1" si="105"/>
        <v>1.0485523619052877</v>
      </c>
      <c r="AV17" s="71">
        <f t="shared" ca="1" si="106"/>
        <v>2.9687757079865329</v>
      </c>
      <c r="AW17" s="71">
        <f t="shared" ca="1" si="107"/>
        <v>0.52427618095264383</v>
      </c>
      <c r="AX17" s="71">
        <f t="shared" ca="1" si="108"/>
        <v>1.5244338184623027</v>
      </c>
      <c r="AY17" s="71">
        <f t="shared" ca="1" si="109"/>
        <v>3.2263149597085774</v>
      </c>
      <c r="AZ17" s="71">
        <f t="shared" ca="1" si="110"/>
        <v>0.76221690923115137</v>
      </c>
      <c r="BA17" s="71">
        <f t="shared" ca="1" si="111"/>
        <v>15.793060126544169</v>
      </c>
      <c r="BB17" s="71">
        <f t="shared" ca="1" si="112"/>
        <v>2.0406442120156751</v>
      </c>
      <c r="BC17" s="71">
        <f t="shared" ca="1" si="113"/>
        <v>5.1792488569985657</v>
      </c>
      <c r="BD17" s="71">
        <f t="shared" ca="1" si="114"/>
        <v>1.0203221060078376</v>
      </c>
      <c r="BE17" s="71">
        <f t="shared" ca="1" si="115"/>
        <v>2.3471441331879896</v>
      </c>
      <c r="BF17" s="71">
        <f t="shared" ca="1" si="116"/>
        <v>2.8068940149464621</v>
      </c>
      <c r="BG17" s="71">
        <f t="shared" ca="1" si="117"/>
        <v>13.913685971485414</v>
      </c>
      <c r="BH17" s="71">
        <f t="shared" ca="1" si="118"/>
        <v>4.8744849979523117</v>
      </c>
      <c r="BI17" s="71">
        <f t="shared" ca="1" si="119"/>
        <v>1.9438547632244176</v>
      </c>
      <c r="BJ17" s="71">
        <f t="shared" ca="1" si="120"/>
        <v>3.9119068886466497</v>
      </c>
      <c r="BK17" s="71">
        <f t="shared" ca="1" si="121"/>
        <v>2.1293678734076611</v>
      </c>
      <c r="BL17" s="71">
        <f t="shared" ca="1" si="122"/>
        <v>6.0171559082133284</v>
      </c>
      <c r="BM17" s="71">
        <f t="shared" ca="1" si="123"/>
        <v>4.357498186963241</v>
      </c>
      <c r="BN17" s="71">
        <f t="shared" ca="1" si="124"/>
        <v>0.419420944762115</v>
      </c>
      <c r="BO17" s="71">
        <f t="shared" ca="1" si="125"/>
        <v>1.4518417318688597</v>
      </c>
      <c r="BP17" s="71">
        <f t="shared" ca="1" si="126"/>
        <v>0.54847354315045815</v>
      </c>
      <c r="BQ17" s="71">
        <f t="shared" ca="1" si="127"/>
        <v>4.8168833385959715</v>
      </c>
      <c r="BR17" s="71">
        <f t="shared" ca="1" si="128"/>
        <v>6.3726025954630749</v>
      </c>
      <c r="BS17" s="71">
        <f t="shared" ca="1" si="129"/>
        <v>1.0888812989016448</v>
      </c>
      <c r="BT17" s="71">
        <f t="shared" ca="1" si="130"/>
        <v>2.2906836213930895</v>
      </c>
      <c r="BU17" s="71">
        <f t="shared" ca="1" si="131"/>
        <v>1.9680521254222321</v>
      </c>
      <c r="BV17" s="71">
        <f t="shared" ca="1" si="132"/>
        <v>7.1858423575775969</v>
      </c>
      <c r="BW17" s="71">
        <f t="shared" ca="1" si="133"/>
        <v>5.4808924383927575</v>
      </c>
      <c r="BX17" s="71">
        <f t="shared" ca="1" si="134"/>
        <v>0.97596027531184459</v>
      </c>
      <c r="BY17" s="71">
        <f t="shared" ca="1" si="135"/>
        <v>2.2906836213930895</v>
      </c>
      <c r="BZ17" s="71">
        <f t="shared" ca="1" si="136"/>
        <v>1.9680521254222321</v>
      </c>
      <c r="CA17" s="71">
        <f t="shared" ca="1" si="137"/>
        <v>9.9654209398493716</v>
      </c>
      <c r="CB17" s="71">
        <f t="shared" ca="1" si="138"/>
        <v>4.410879722347941</v>
      </c>
      <c r="CC17" s="71">
        <f t="shared" ca="1" si="139"/>
        <v>1.1937365350921736</v>
      </c>
      <c r="CD17" s="71">
        <f t="shared" ca="1" si="140"/>
        <v>6.4119824113769335</v>
      </c>
      <c r="CE17" s="71">
        <f t="shared" ca="1" si="141"/>
        <v>4.070775235020422</v>
      </c>
      <c r="CF17" s="71">
        <f t="shared" ca="1" si="142"/>
        <v>11.122576611579644</v>
      </c>
      <c r="CG17" s="71">
        <f t="shared" ca="1" si="143"/>
        <v>4.070775235020422</v>
      </c>
      <c r="CH17" s="71">
        <f t="shared" ca="1" si="144"/>
        <v>5.0509855497461089</v>
      </c>
      <c r="CI17" s="71">
        <f t="shared" ca="1" si="145"/>
        <v>14.542062949602606</v>
      </c>
      <c r="CJ17" s="71">
        <f t="shared" ca="1" si="146"/>
        <v>5.0509855497461089</v>
      </c>
      <c r="CK17" s="71">
        <f t="shared" ca="1" si="147"/>
        <v>3.9482650316360424</v>
      </c>
    </row>
    <row r="18" spans="1:89" x14ac:dyDescent="0.25">
      <c r="A18" t="str">
        <f>PLANTILLA!D19</f>
        <v>G. Piscaer</v>
      </c>
      <c r="B18" s="451">
        <f>PLANTILLA!E19</f>
        <v>25</v>
      </c>
      <c r="C18" s="95">
        <f ca="1">PLANTILLA!F19</f>
        <v>79</v>
      </c>
      <c r="D18" s="451" t="str">
        <f>PLANTILLA!G19</f>
        <v>IMP</v>
      </c>
      <c r="E18" s="204">
        <f>PLANTILLA!O19</f>
        <v>43630</v>
      </c>
      <c r="F18" s="95">
        <f>PLANTILLA!Q19</f>
        <v>6</v>
      </c>
      <c r="G18" s="115">
        <f t="shared" si="74"/>
        <v>0.92582009977255142</v>
      </c>
      <c r="H18" s="115">
        <f t="shared" si="75"/>
        <v>0.99928545900129484</v>
      </c>
      <c r="I18" s="150">
        <f ca="1">PLANTILLA!P19</f>
        <v>1</v>
      </c>
      <c r="J18" s="151">
        <f>PLANTILLA!I19</f>
        <v>6.2</v>
      </c>
      <c r="K18" s="48">
        <f>PLANTILLA!X19</f>
        <v>0</v>
      </c>
      <c r="L18" s="48">
        <f>PLANTILLA!Y19</f>
        <v>6.4</v>
      </c>
      <c r="M18" s="48">
        <f>PLANTILLA!Z19</f>
        <v>14.846153846153847</v>
      </c>
      <c r="N18" s="48">
        <f>PLANTILLA!AA19</f>
        <v>3</v>
      </c>
      <c r="O18" s="48">
        <f>PLANTILLA!AB19</f>
        <v>2</v>
      </c>
      <c r="P18" s="48">
        <f>PLANTILLA!AC19</f>
        <v>8.5769230769230766</v>
      </c>
      <c r="Q18" s="48">
        <f>PLANTILLA!AD19</f>
        <v>17.75</v>
      </c>
      <c r="R18" s="151">
        <f t="shared" si="76"/>
        <v>1.675</v>
      </c>
      <c r="S18" s="151">
        <f t="shared" ca="1" si="77"/>
        <v>20.945106486080491</v>
      </c>
      <c r="T18" s="48">
        <f t="shared" si="78"/>
        <v>0.96134615384615396</v>
      </c>
      <c r="U18" s="48">
        <f t="shared" si="79"/>
        <v>0.78850000000000009</v>
      </c>
      <c r="V18" s="151">
        <f t="shared" ca="1" si="80"/>
        <v>18.337276408108956</v>
      </c>
      <c r="W18" s="151">
        <f t="shared" ca="1" si="81"/>
        <v>19.79236968047304</v>
      </c>
      <c r="X18" s="71">
        <f t="shared" ca="1" si="82"/>
        <v>3.5617439265759678</v>
      </c>
      <c r="Y18" s="71">
        <f t="shared" ca="1" si="83"/>
        <v>5.3749702281896612</v>
      </c>
      <c r="Z18" s="71">
        <f t="shared" ca="1" si="84"/>
        <v>3.5617439265759678</v>
      </c>
      <c r="AA18" s="71">
        <f t="shared" ca="1" si="85"/>
        <v>4.3635654823747991</v>
      </c>
      <c r="AB18" s="71">
        <f t="shared" ca="1" si="86"/>
        <v>8.4565222526643389</v>
      </c>
      <c r="AC18" s="71">
        <f t="shared" ca="1" si="87"/>
        <v>2.1817827411873996</v>
      </c>
      <c r="AD18" s="71">
        <f t="shared" ca="1" si="88"/>
        <v>4.0228369115187279</v>
      </c>
      <c r="AE18" s="71">
        <f t="shared" ca="1" si="89"/>
        <v>3.19656541150712</v>
      </c>
      <c r="AF18" s="71">
        <f t="shared" ca="1" si="90"/>
        <v>6.1140655886763167</v>
      </c>
      <c r="AG18" s="71">
        <f t="shared" ca="1" si="91"/>
        <v>1.59828270575356</v>
      </c>
      <c r="AH18" s="71">
        <f t="shared" ca="1" si="92"/>
        <v>6.5075302980450012</v>
      </c>
      <c r="AI18" s="71">
        <f t="shared" ca="1" si="93"/>
        <v>7.7800004724511922</v>
      </c>
      <c r="AJ18" s="71">
        <f t="shared" ca="1" si="94"/>
        <v>3.501000212603036</v>
      </c>
      <c r="AK18" s="71">
        <f t="shared" ca="1" si="95"/>
        <v>2.8227469085026367</v>
      </c>
      <c r="AL18" s="71">
        <f t="shared" ca="1" si="96"/>
        <v>2.9732350845666309</v>
      </c>
      <c r="AM18" s="71">
        <f t="shared" ca="1" si="97"/>
        <v>6.3762177785089111</v>
      </c>
      <c r="AN18" s="71">
        <f t="shared" ca="1" si="98"/>
        <v>5.9872177548863519</v>
      </c>
      <c r="AO18" s="71">
        <f t="shared" ca="1" si="99"/>
        <v>3.3076892161949445</v>
      </c>
      <c r="AP18" s="71">
        <f t="shared" ca="1" si="100"/>
        <v>1.0746784087673293</v>
      </c>
      <c r="AQ18" s="71">
        <f t="shared" ca="1" si="101"/>
        <v>2.2832610082193718</v>
      </c>
      <c r="AR18" s="71">
        <f t="shared" ca="1" si="102"/>
        <v>5.0231742180826169</v>
      </c>
      <c r="AS18" s="71">
        <f t="shared" ca="1" si="103"/>
        <v>1.1416305041096859</v>
      </c>
      <c r="AT18" s="71">
        <f t="shared" ca="1" si="104"/>
        <v>15.956126237284364</v>
      </c>
      <c r="AU18" s="71">
        <f t="shared" ca="1" si="105"/>
        <v>0.52734789284636407</v>
      </c>
      <c r="AV18" s="71">
        <f t="shared" ca="1" si="106"/>
        <v>2.3263687123383434</v>
      </c>
      <c r="AW18" s="71">
        <f t="shared" ca="1" si="107"/>
        <v>0.26367394642318204</v>
      </c>
      <c r="AX18" s="71">
        <f t="shared" ca="1" si="108"/>
        <v>1.59828270575356</v>
      </c>
      <c r="AY18" s="71">
        <f t="shared" ca="1" si="109"/>
        <v>3.3826089010657356</v>
      </c>
      <c r="AZ18" s="71">
        <f t="shared" ca="1" si="110"/>
        <v>0.79914135287678001</v>
      </c>
      <c r="BA18" s="71">
        <f t="shared" ca="1" si="111"/>
        <v>16.902676098818183</v>
      </c>
      <c r="BB18" s="71">
        <f t="shared" ca="1" si="112"/>
        <v>1.0263001299240777</v>
      </c>
      <c r="BC18" s="71">
        <f t="shared" ca="1" si="113"/>
        <v>3.6162976073718962</v>
      </c>
      <c r="BD18" s="71">
        <f t="shared" ca="1" si="114"/>
        <v>0.51315006496203885</v>
      </c>
      <c r="BE18" s="71">
        <f t="shared" ca="1" si="115"/>
        <v>2.4608479755253225</v>
      </c>
      <c r="BF18" s="71">
        <f t="shared" ca="1" si="116"/>
        <v>2.9428697439271896</v>
      </c>
      <c r="BG18" s="71">
        <f t="shared" ca="1" si="117"/>
        <v>14.89125764305882</v>
      </c>
      <c r="BH18" s="71">
        <f t="shared" ca="1" si="118"/>
        <v>4.1802482826185967</v>
      </c>
      <c r="BI18" s="71">
        <f t="shared" ca="1" si="119"/>
        <v>0.97762186289210551</v>
      </c>
      <c r="BJ18" s="71">
        <f t="shared" ca="1" si="120"/>
        <v>4.1014132925422047</v>
      </c>
      <c r="BK18" s="71">
        <f t="shared" ca="1" si="121"/>
        <v>2.2325218747033855</v>
      </c>
      <c r="BL18" s="71">
        <f t="shared" ca="1" si="122"/>
        <v>6.4399195936497282</v>
      </c>
      <c r="BM18" s="71">
        <f t="shared" ca="1" si="123"/>
        <v>4.218400448828632</v>
      </c>
      <c r="BN18" s="71">
        <f t="shared" ca="1" si="124"/>
        <v>0.21093915713854558</v>
      </c>
      <c r="BO18" s="71">
        <f t="shared" ca="1" si="125"/>
        <v>1.5221740054795809</v>
      </c>
      <c r="BP18" s="71">
        <f t="shared" ca="1" si="126"/>
        <v>0.57504351318117508</v>
      </c>
      <c r="BQ18" s="71">
        <f t="shared" ca="1" si="127"/>
        <v>5.1553162101395458</v>
      </c>
      <c r="BR18" s="71">
        <f t="shared" ca="1" si="128"/>
        <v>6.2166876169263396</v>
      </c>
      <c r="BS18" s="71">
        <f t="shared" ca="1" si="129"/>
        <v>0.54763050410968572</v>
      </c>
      <c r="BT18" s="71">
        <f t="shared" ca="1" si="130"/>
        <v>2.4016523197566721</v>
      </c>
      <c r="BU18" s="71">
        <f t="shared" ca="1" si="131"/>
        <v>2.0633914296500988</v>
      </c>
      <c r="BV18" s="71">
        <f t="shared" ca="1" si="132"/>
        <v>7.6907176249622733</v>
      </c>
      <c r="BW18" s="71">
        <f t="shared" ca="1" si="133"/>
        <v>5.3586266559520874</v>
      </c>
      <c r="BX18" s="71">
        <f t="shared" ca="1" si="134"/>
        <v>0.49083919257238495</v>
      </c>
      <c r="BY18" s="71">
        <f t="shared" ca="1" si="135"/>
        <v>2.4016523197566721</v>
      </c>
      <c r="BZ18" s="71">
        <f t="shared" ca="1" si="136"/>
        <v>2.0633914296500988</v>
      </c>
      <c r="CA18" s="71">
        <f t="shared" ca="1" si="137"/>
        <v>10.665588618354274</v>
      </c>
      <c r="CB18" s="71">
        <f t="shared" ca="1" si="138"/>
        <v>4.332587416134583</v>
      </c>
      <c r="CC18" s="71">
        <f t="shared" ca="1" si="139"/>
        <v>0.6003652933943221</v>
      </c>
      <c r="CD18" s="71">
        <f t="shared" ca="1" si="140"/>
        <v>6.8624864961201828</v>
      </c>
      <c r="CE18" s="71">
        <f t="shared" ca="1" si="141"/>
        <v>3.0927173244073511</v>
      </c>
      <c r="CF18" s="71">
        <f t="shared" ca="1" si="142"/>
        <v>8.4019902103461988</v>
      </c>
      <c r="CG18" s="71">
        <f t="shared" ca="1" si="143"/>
        <v>3.0927173244073511</v>
      </c>
      <c r="CH18" s="71">
        <f t="shared" ca="1" si="144"/>
        <v>4.4582133634098824</v>
      </c>
      <c r="CI18" s="71">
        <f t="shared" ca="1" si="145"/>
        <v>12.130302040820556</v>
      </c>
      <c r="CJ18" s="71">
        <f t="shared" ca="1" si="146"/>
        <v>4.4582133634098824</v>
      </c>
      <c r="CK18" s="71">
        <f t="shared" ca="1" si="147"/>
        <v>4.2256690247045459</v>
      </c>
    </row>
    <row r="19" spans="1:89" x14ac:dyDescent="0.25">
      <c r="A19" t="str">
        <f>PLANTILLA!D20</f>
        <v>M. Bondarewski</v>
      </c>
      <c r="B19" s="451">
        <f>PLANTILLA!E20</f>
        <v>25</v>
      </c>
      <c r="C19" s="95">
        <f ca="1">PLANTILLA!F20</f>
        <v>79</v>
      </c>
      <c r="D19" s="451" t="str">
        <f>PLANTILLA!G20</f>
        <v>RAP</v>
      </c>
      <c r="E19" s="204">
        <f>PLANTILLA!O20</f>
        <v>43627</v>
      </c>
      <c r="F19" s="95">
        <f>PLANTILLA!Q20</f>
        <v>4</v>
      </c>
      <c r="G19" s="115">
        <f t="shared" si="74"/>
        <v>0.7559289460184544</v>
      </c>
      <c r="H19" s="115">
        <f t="shared" si="75"/>
        <v>0.84430867747355465</v>
      </c>
      <c r="I19" s="150">
        <f ca="1">PLANTILLA!P20</f>
        <v>1</v>
      </c>
      <c r="J19" s="151">
        <f>PLANTILLA!I20</f>
        <v>6.3</v>
      </c>
      <c r="K19" s="48">
        <f>PLANTILLA!X20</f>
        <v>0</v>
      </c>
      <c r="L19" s="48">
        <f>PLANTILLA!Y20</f>
        <v>4.75</v>
      </c>
      <c r="M19" s="48">
        <f>PLANTILLA!Z20</f>
        <v>14.692307692307692</v>
      </c>
      <c r="N19" s="48">
        <f>PLANTILLA!AA20</f>
        <v>5</v>
      </c>
      <c r="O19" s="48">
        <f>PLANTILLA!AB20</f>
        <v>4</v>
      </c>
      <c r="P19" s="48">
        <f>PLANTILLA!AC20</f>
        <v>8.5769230769230766</v>
      </c>
      <c r="Q19" s="48">
        <f>PLANTILLA!AD20</f>
        <v>19.8</v>
      </c>
      <c r="R19" s="151">
        <f t="shared" si="76"/>
        <v>1.96875</v>
      </c>
      <c r="S19" s="151">
        <f t="shared" ca="1" si="77"/>
        <v>22.093082460082194</v>
      </c>
      <c r="T19" s="48">
        <f t="shared" si="78"/>
        <v>1.0228461538461537</v>
      </c>
      <c r="U19" s="48">
        <f t="shared" si="79"/>
        <v>0.78400000000000003</v>
      </c>
      <c r="V19" s="151">
        <f t="shared" ca="1" si="80"/>
        <v>16.528981622594863</v>
      </c>
      <c r="W19" s="151">
        <f t="shared" ca="1" si="81"/>
        <v>18.461474040996787</v>
      </c>
      <c r="X19" s="71">
        <f t="shared" ca="1" si="82"/>
        <v>3.1144323995639689</v>
      </c>
      <c r="Y19" s="71">
        <f t="shared" ca="1" si="83"/>
        <v>4.6856815324594319</v>
      </c>
      <c r="Z19" s="71">
        <f t="shared" ca="1" si="84"/>
        <v>3.1144323995639689</v>
      </c>
      <c r="AA19" s="71">
        <f t="shared" ca="1" si="85"/>
        <v>3.516946298024064</v>
      </c>
      <c r="AB19" s="71">
        <f t="shared" ca="1" si="86"/>
        <v>6.8157873992714419</v>
      </c>
      <c r="AC19" s="71">
        <f t="shared" ca="1" si="87"/>
        <v>1.758473149012032</v>
      </c>
      <c r="AD19" s="71">
        <f t="shared" ca="1" si="88"/>
        <v>3.9884266317958335</v>
      </c>
      <c r="AE19" s="71">
        <f t="shared" ca="1" si="89"/>
        <v>2.5763676369246049</v>
      </c>
      <c r="AF19" s="71">
        <f t="shared" ca="1" si="90"/>
        <v>4.9278142896732522</v>
      </c>
      <c r="AG19" s="71">
        <f t="shared" ca="1" si="91"/>
        <v>1.2881838184623025</v>
      </c>
      <c r="AH19" s="71">
        <f t="shared" ca="1" si="92"/>
        <v>6.4518666102579658</v>
      </c>
      <c r="AI19" s="71">
        <f t="shared" ca="1" si="93"/>
        <v>6.2705244073297273</v>
      </c>
      <c r="AJ19" s="71">
        <f t="shared" ca="1" si="94"/>
        <v>2.8217359832983768</v>
      </c>
      <c r="AK19" s="71">
        <f t="shared" ca="1" si="95"/>
        <v>2.7986018802937154</v>
      </c>
      <c r="AL19" s="71">
        <f t="shared" ca="1" si="96"/>
        <v>4.1546829907716081</v>
      </c>
      <c r="AM19" s="71">
        <f t="shared" ca="1" si="97"/>
        <v>5.1391036990506676</v>
      </c>
      <c r="AN19" s="71">
        <f t="shared" ca="1" si="98"/>
        <v>4.8255774786841803</v>
      </c>
      <c r="AO19" s="71">
        <f t="shared" ca="1" si="99"/>
        <v>3.6515864956783313</v>
      </c>
      <c r="AP19" s="71">
        <f t="shared" ca="1" si="100"/>
        <v>1.1619467709901752</v>
      </c>
      <c r="AQ19" s="71">
        <f t="shared" ca="1" si="101"/>
        <v>1.8402625978032894</v>
      </c>
      <c r="AR19" s="71">
        <f t="shared" ca="1" si="102"/>
        <v>4.0485777151672364</v>
      </c>
      <c r="AS19" s="71">
        <f t="shared" ca="1" si="103"/>
        <v>0.92013129890164469</v>
      </c>
      <c r="AT19" s="71">
        <f t="shared" ca="1" si="104"/>
        <v>15.819641766450701</v>
      </c>
      <c r="AU19" s="71">
        <f t="shared" ca="1" si="105"/>
        <v>0.78855236190528744</v>
      </c>
      <c r="AV19" s="71">
        <f t="shared" ca="1" si="106"/>
        <v>2.5690834002942249</v>
      </c>
      <c r="AW19" s="71">
        <f t="shared" ca="1" si="107"/>
        <v>0.39427618095264372</v>
      </c>
      <c r="AX19" s="71">
        <f t="shared" ca="1" si="108"/>
        <v>1.2881838184623025</v>
      </c>
      <c r="AY19" s="71">
        <f t="shared" ca="1" si="109"/>
        <v>2.726314959708577</v>
      </c>
      <c r="AZ19" s="71">
        <f t="shared" ca="1" si="110"/>
        <v>0.64409190923115123</v>
      </c>
      <c r="BA19" s="71">
        <f t="shared" ca="1" si="111"/>
        <v>16.758095091579133</v>
      </c>
      <c r="BB19" s="71">
        <f t="shared" ca="1" si="112"/>
        <v>1.5346442120156749</v>
      </c>
      <c r="BC19" s="71">
        <f t="shared" ca="1" si="113"/>
        <v>4.3034027031524111</v>
      </c>
      <c r="BD19" s="71">
        <f t="shared" ca="1" si="114"/>
        <v>0.76732210600783746</v>
      </c>
      <c r="BE19" s="71">
        <f t="shared" ca="1" si="115"/>
        <v>1.9833941331879894</v>
      </c>
      <c r="BF19" s="71">
        <f t="shared" ca="1" si="116"/>
        <v>2.3718940149464616</v>
      </c>
      <c r="BG19" s="71">
        <f t="shared" ca="1" si="117"/>
        <v>14.763881775681217</v>
      </c>
      <c r="BH19" s="71">
        <f t="shared" ca="1" si="118"/>
        <v>5.9664849979523114</v>
      </c>
      <c r="BI19" s="71">
        <f t="shared" ca="1" si="119"/>
        <v>1.4618547632244174</v>
      </c>
      <c r="BJ19" s="71">
        <f t="shared" ca="1" si="120"/>
        <v>3.3056568886466491</v>
      </c>
      <c r="BK19" s="71">
        <f t="shared" ca="1" si="121"/>
        <v>1.7993678734076608</v>
      </c>
      <c r="BL19" s="71">
        <f t="shared" ca="1" si="122"/>
        <v>6.3848342298916494</v>
      </c>
      <c r="BM19" s="71">
        <f t="shared" ca="1" si="123"/>
        <v>5.974498186963241</v>
      </c>
      <c r="BN19" s="71">
        <f t="shared" ca="1" si="124"/>
        <v>0.31542094476211496</v>
      </c>
      <c r="BO19" s="71">
        <f t="shared" ca="1" si="125"/>
        <v>1.2268417318688596</v>
      </c>
      <c r="BP19" s="71">
        <f t="shared" ca="1" si="126"/>
        <v>0.46347354315045808</v>
      </c>
      <c r="BQ19" s="71">
        <f t="shared" ca="1" si="127"/>
        <v>5.1112190029316356</v>
      </c>
      <c r="BR19" s="71">
        <f t="shared" ca="1" si="128"/>
        <v>8.800602595463074</v>
      </c>
      <c r="BS19" s="71">
        <f t="shared" ca="1" si="129"/>
        <v>0.81888129890164474</v>
      </c>
      <c r="BT19" s="71">
        <f t="shared" ca="1" si="130"/>
        <v>1.9356836213930892</v>
      </c>
      <c r="BU19" s="71">
        <f t="shared" ca="1" si="131"/>
        <v>1.6630521254222319</v>
      </c>
      <c r="BV19" s="71">
        <f t="shared" ca="1" si="132"/>
        <v>7.6249332666685055</v>
      </c>
      <c r="BW19" s="71">
        <f t="shared" ca="1" si="133"/>
        <v>7.5848924383927585</v>
      </c>
      <c r="BX19" s="71">
        <f t="shared" ca="1" si="134"/>
        <v>0.73396027531184449</v>
      </c>
      <c r="BY19" s="71">
        <f t="shared" ca="1" si="135"/>
        <v>1.9356836213930892</v>
      </c>
      <c r="BZ19" s="71">
        <f t="shared" ca="1" si="136"/>
        <v>1.6630521254222319</v>
      </c>
      <c r="CA19" s="71">
        <f t="shared" ca="1" si="137"/>
        <v>10.574358002786433</v>
      </c>
      <c r="CB19" s="71">
        <f t="shared" ca="1" si="138"/>
        <v>6.1308797223479408</v>
      </c>
      <c r="CC19" s="71">
        <f t="shared" ca="1" si="139"/>
        <v>0.89773653509217333</v>
      </c>
      <c r="CD19" s="71">
        <f t="shared" ca="1" si="140"/>
        <v>6.8037866071811282</v>
      </c>
      <c r="CE19" s="71">
        <f t="shared" ca="1" si="141"/>
        <v>3.8855444657896521</v>
      </c>
      <c r="CF19" s="71">
        <f t="shared" ca="1" si="142"/>
        <v>9.4984227654257971</v>
      </c>
      <c r="CG19" s="71">
        <f t="shared" ca="1" si="143"/>
        <v>3.8855444657896521</v>
      </c>
      <c r="CH19" s="71">
        <f t="shared" ca="1" si="144"/>
        <v>5.1899855497461092</v>
      </c>
      <c r="CI19" s="71">
        <f t="shared" ca="1" si="145"/>
        <v>12.880986026525681</v>
      </c>
      <c r="CJ19" s="71">
        <f t="shared" ca="1" si="146"/>
        <v>5.1899855497461092</v>
      </c>
      <c r="CK19" s="71">
        <f t="shared" ca="1" si="147"/>
        <v>4.1895237728947832</v>
      </c>
    </row>
    <row r="20" spans="1:89" ht="6" customHeight="1" x14ac:dyDescent="0.25">
      <c r="B20" s="451"/>
      <c r="C20" s="95"/>
      <c r="D20" s="451"/>
      <c r="E20" s="204"/>
      <c r="F20" s="95"/>
      <c r="G20" s="115"/>
      <c r="H20" s="115"/>
      <c r="I20" s="150"/>
      <c r="J20" s="151"/>
      <c r="K20" s="48"/>
      <c r="L20" s="48"/>
      <c r="M20" s="48"/>
      <c r="N20" s="48"/>
      <c r="O20" s="48"/>
      <c r="P20" s="48"/>
      <c r="Q20" s="48"/>
      <c r="R20" s="151"/>
      <c r="S20" s="151"/>
      <c r="T20" s="48"/>
      <c r="U20" s="48"/>
      <c r="V20" s="151"/>
      <c r="W20" s="15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1"/>
      <c r="BC20" s="71"/>
      <c r="BD20" s="71"/>
      <c r="BE20" s="71"/>
      <c r="BF20" s="71"/>
      <c r="BG20" s="71"/>
      <c r="BH20" s="71"/>
      <c r="BI20" s="71"/>
      <c r="BJ20" s="71"/>
      <c r="BK20" s="71"/>
      <c r="BL20" s="71"/>
      <c r="BM20" s="71"/>
      <c r="BN20" s="71"/>
      <c r="BO20" s="71"/>
      <c r="BP20" s="71"/>
      <c r="BQ20" s="71"/>
      <c r="BR20" s="71"/>
      <c r="BS20" s="71"/>
      <c r="BT20" s="71"/>
      <c r="BU20" s="71"/>
      <c r="BV20" s="71"/>
      <c r="BW20" s="71"/>
      <c r="BX20" s="71"/>
      <c r="BY20" s="71"/>
      <c r="BZ20" s="71"/>
      <c r="CA20" s="71"/>
      <c r="CB20" s="71"/>
      <c r="CC20" s="71"/>
      <c r="CD20" s="71"/>
      <c r="CE20" s="71"/>
      <c r="CF20" s="71"/>
      <c r="CG20" s="71"/>
      <c r="CH20" s="71"/>
      <c r="CI20" s="71"/>
      <c r="CJ20" s="71"/>
      <c r="CK20" s="71"/>
    </row>
    <row r="21" spans="1:89" ht="6" customHeight="1" x14ac:dyDescent="0.25">
      <c r="B21" s="451"/>
      <c r="C21" s="95"/>
      <c r="D21" s="451"/>
      <c r="E21" s="204"/>
      <c r="F21" s="95"/>
      <c r="G21" s="115"/>
      <c r="H21" s="115"/>
      <c r="I21" s="150"/>
      <c r="J21" s="151"/>
      <c r="K21" s="48"/>
      <c r="L21" s="48"/>
      <c r="M21" s="48"/>
      <c r="N21" s="48"/>
      <c r="O21" s="48"/>
      <c r="P21" s="48"/>
      <c r="Q21" s="48"/>
      <c r="R21" s="151"/>
      <c r="S21" s="151"/>
      <c r="T21" s="48"/>
      <c r="U21" s="48"/>
      <c r="V21" s="151"/>
      <c r="W21" s="15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1"/>
      <c r="BC21" s="71"/>
      <c r="BD21" s="71"/>
      <c r="BE21" s="71"/>
      <c r="BF21" s="71"/>
      <c r="BG21" s="71"/>
      <c r="BH21" s="71"/>
      <c r="BI21" s="71"/>
      <c r="BJ21" s="71"/>
      <c r="BK21" s="71"/>
      <c r="BL21" s="71"/>
      <c r="BM21" s="71"/>
      <c r="BN21" s="71"/>
      <c r="BO21" s="71"/>
      <c r="BP21" s="71"/>
      <c r="BQ21" s="71"/>
      <c r="BR21" s="71"/>
      <c r="BS21" s="71"/>
      <c r="BT21" s="71"/>
      <c r="BU21" s="71"/>
      <c r="BV21" s="71"/>
      <c r="BW21" s="71"/>
      <c r="BX21" s="71"/>
      <c r="BY21" s="71"/>
      <c r="BZ21" s="71"/>
      <c r="CA21" s="71"/>
      <c r="CB21" s="71"/>
      <c r="CC21" s="71"/>
      <c r="CD21" s="71"/>
      <c r="CE21" s="71"/>
      <c r="CF21" s="71"/>
      <c r="CG21" s="71"/>
      <c r="CH21" s="71"/>
      <c r="CI21" s="71"/>
      <c r="CJ21" s="71"/>
      <c r="CK21" s="71"/>
    </row>
    <row r="22" spans="1:89" ht="6" customHeight="1" x14ac:dyDescent="0.25">
      <c r="B22" s="373"/>
      <c r="C22" s="95"/>
      <c r="D22" s="373"/>
      <c r="E22" s="204"/>
      <c r="F22" s="95"/>
      <c r="G22" s="115"/>
      <c r="H22" s="115"/>
      <c r="I22" s="150"/>
      <c r="J22" s="151"/>
      <c r="K22" s="48"/>
      <c r="L22" s="48"/>
      <c r="M22" s="48"/>
      <c r="N22" s="48"/>
      <c r="O22" s="48"/>
      <c r="P22" s="48"/>
      <c r="Q22" s="48"/>
      <c r="R22" s="151"/>
      <c r="S22" s="151"/>
      <c r="T22" s="48"/>
      <c r="U22" s="48"/>
      <c r="V22" s="151"/>
      <c r="W22" s="15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  <c r="BA22" s="71"/>
      <c r="BB22" s="71"/>
      <c r="BC22" s="71"/>
      <c r="BD22" s="71"/>
      <c r="BE22" s="71"/>
      <c r="BF22" s="71"/>
      <c r="BG22" s="71"/>
      <c r="BH22" s="71"/>
      <c r="BI22" s="71"/>
      <c r="BJ22" s="71"/>
      <c r="BK22" s="71"/>
      <c r="BL22" s="71"/>
      <c r="BM22" s="71"/>
      <c r="BN22" s="71"/>
      <c r="BO22" s="71"/>
      <c r="BP22" s="71"/>
      <c r="BQ22" s="71"/>
      <c r="BR22" s="71"/>
      <c r="BS22" s="71"/>
      <c r="BT22" s="71"/>
      <c r="BU22" s="71"/>
      <c r="BV22" s="71"/>
      <c r="BW22" s="71"/>
      <c r="BX22" s="71"/>
      <c r="BY22" s="71"/>
      <c r="BZ22" s="71"/>
      <c r="CA22" s="71"/>
      <c r="CB22" s="71"/>
      <c r="CC22" s="71"/>
      <c r="CD22" s="71"/>
      <c r="CE22" s="71"/>
      <c r="CF22" s="71"/>
      <c r="CG22" s="71"/>
      <c r="CH22" s="71"/>
      <c r="CI22" s="71"/>
      <c r="CJ22" s="71"/>
      <c r="CK22" s="71"/>
    </row>
    <row r="23" spans="1:89" ht="6" customHeight="1" x14ac:dyDescent="0.25">
      <c r="B23" s="373"/>
      <c r="C23" s="95"/>
      <c r="D23" s="373"/>
      <c r="E23" s="204"/>
      <c r="F23" s="95"/>
      <c r="G23" s="115"/>
      <c r="H23" s="115"/>
      <c r="I23" s="150"/>
      <c r="J23" s="151"/>
      <c r="K23" s="48"/>
      <c r="L23" s="48"/>
      <c r="M23" s="48"/>
      <c r="N23" s="48"/>
      <c r="O23" s="48"/>
      <c r="P23" s="48"/>
      <c r="Q23" s="48"/>
      <c r="R23" s="151"/>
      <c r="S23" s="151"/>
      <c r="T23" s="48"/>
      <c r="U23" s="48"/>
      <c r="V23" s="151"/>
      <c r="W23" s="15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  <c r="BK23" s="71"/>
      <c r="BL23" s="71"/>
      <c r="BM23" s="71"/>
      <c r="BN23" s="71"/>
      <c r="BO23" s="71"/>
      <c r="BP23" s="71"/>
      <c r="BQ23" s="71"/>
      <c r="BR23" s="71"/>
      <c r="BS23" s="71"/>
      <c r="BT23" s="71"/>
      <c r="BU23" s="71"/>
      <c r="BV23" s="71"/>
      <c r="BW23" s="71"/>
      <c r="BX23" s="71"/>
      <c r="BY23" s="71"/>
      <c r="BZ23" s="71"/>
      <c r="CA23" s="71"/>
      <c r="CB23" s="71"/>
      <c r="CC23" s="71"/>
      <c r="CD23" s="71"/>
      <c r="CE23" s="71"/>
      <c r="CF23" s="71"/>
      <c r="CG23" s="71"/>
      <c r="CH23" s="71"/>
      <c r="CI23" s="71"/>
      <c r="CJ23" s="71"/>
      <c r="CK23" s="71"/>
    </row>
    <row r="24" spans="1:89" ht="6" customHeight="1" x14ac:dyDescent="0.25">
      <c r="B24" s="373"/>
      <c r="C24" s="95"/>
      <c r="D24" s="373"/>
      <c r="E24" s="204"/>
      <c r="F24" s="95"/>
      <c r="G24" s="115"/>
      <c r="H24" s="115"/>
      <c r="I24" s="150"/>
      <c r="J24" s="151"/>
      <c r="K24" s="48"/>
      <c r="L24" s="48"/>
      <c r="M24" s="48"/>
      <c r="N24" s="48"/>
      <c r="O24" s="48"/>
      <c r="P24" s="48"/>
      <c r="Q24" s="48"/>
      <c r="R24" s="151"/>
      <c r="S24" s="151"/>
      <c r="T24" s="48"/>
      <c r="U24" s="48"/>
      <c r="V24" s="151"/>
      <c r="W24" s="15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  <c r="AV24" s="71"/>
      <c r="AW24" s="71"/>
      <c r="AX24" s="71"/>
      <c r="AY24" s="71"/>
      <c r="AZ24" s="71"/>
      <c r="BA24" s="71"/>
      <c r="BB24" s="71"/>
      <c r="BC24" s="71"/>
      <c r="BD24" s="71"/>
      <c r="BE24" s="71"/>
      <c r="BF24" s="71"/>
      <c r="BG24" s="71"/>
      <c r="BH24" s="71"/>
      <c r="BI24" s="71"/>
      <c r="BJ24" s="71"/>
      <c r="BK24" s="71"/>
      <c r="BL24" s="71"/>
      <c r="BM24" s="71"/>
      <c r="BN24" s="71"/>
      <c r="BO24" s="71"/>
      <c r="BP24" s="71"/>
      <c r="BQ24" s="71"/>
      <c r="BR24" s="71"/>
      <c r="BS24" s="71"/>
      <c r="BT24" s="71"/>
      <c r="BU24" s="71"/>
      <c r="BV24" s="71"/>
      <c r="BW24" s="71"/>
      <c r="BX24" s="71"/>
      <c r="BY24" s="71"/>
      <c r="BZ24" s="71"/>
      <c r="CA24" s="71"/>
      <c r="CB24" s="71"/>
      <c r="CC24" s="71"/>
      <c r="CD24" s="71"/>
      <c r="CE24" s="71"/>
      <c r="CF24" s="71"/>
      <c r="CG24" s="71"/>
      <c r="CH24" s="71"/>
      <c r="CI24" s="71"/>
      <c r="CJ24" s="71"/>
      <c r="CK24" s="71"/>
    </row>
    <row r="25" spans="1:89" ht="6" customHeight="1" x14ac:dyDescent="0.25">
      <c r="B25" s="57"/>
      <c r="C25" s="95"/>
      <c r="D25" s="57"/>
      <c r="E25" s="204"/>
      <c r="F25" s="95"/>
      <c r="G25" s="115"/>
      <c r="H25" s="115"/>
      <c r="I25" s="150"/>
      <c r="J25" s="151"/>
      <c r="K25" s="48"/>
      <c r="L25" s="48"/>
      <c r="M25" s="48"/>
      <c r="N25" s="48"/>
      <c r="O25" s="48"/>
      <c r="P25" s="48"/>
      <c r="Q25" s="48"/>
      <c r="R25" s="151"/>
      <c r="S25" s="151"/>
      <c r="T25" s="48"/>
      <c r="U25" s="48"/>
      <c r="V25" s="151"/>
      <c r="W25" s="15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71"/>
      <c r="BA25" s="71"/>
      <c r="BB25" s="71"/>
      <c r="BC25" s="71"/>
      <c r="BD25" s="71"/>
      <c r="BE25" s="71"/>
      <c r="BF25" s="71"/>
      <c r="BG25" s="71"/>
      <c r="BH25" s="71"/>
      <c r="BI25" s="71"/>
      <c r="BJ25" s="71"/>
      <c r="BK25" s="71"/>
      <c r="BL25" s="71"/>
      <c r="BM25" s="71"/>
      <c r="BN25" s="71"/>
      <c r="BO25" s="71"/>
      <c r="BP25" s="71"/>
      <c r="BQ25" s="71"/>
      <c r="BR25" s="71"/>
      <c r="BS25" s="71"/>
      <c r="BT25" s="71"/>
      <c r="BU25" s="71"/>
      <c r="BV25" s="71"/>
      <c r="BW25" s="71"/>
      <c r="BX25" s="71"/>
      <c r="BY25" s="71"/>
      <c r="BZ25" s="71"/>
      <c r="CA25" s="71"/>
      <c r="CB25" s="71"/>
      <c r="CC25" s="71"/>
      <c r="CD25" s="71"/>
      <c r="CE25" s="71"/>
      <c r="CF25" s="71"/>
      <c r="CG25" s="71"/>
      <c r="CH25" s="71"/>
      <c r="CI25" s="71"/>
      <c r="CJ25" s="71"/>
      <c r="CK25" s="71"/>
    </row>
    <row r="26" spans="1:89" ht="6" customHeight="1" x14ac:dyDescent="0.25">
      <c r="B26" s="57"/>
      <c r="C26" s="95"/>
      <c r="D26" s="57"/>
      <c r="E26" s="204"/>
      <c r="F26" s="95"/>
      <c r="G26" s="115"/>
      <c r="H26" s="115"/>
      <c r="I26" s="150"/>
      <c r="J26" s="151"/>
      <c r="K26" s="48"/>
      <c r="L26" s="48"/>
      <c r="M26" s="48"/>
      <c r="N26" s="48"/>
      <c r="O26" s="48"/>
      <c r="P26" s="48"/>
      <c r="Q26" s="48"/>
      <c r="R26" s="151"/>
      <c r="S26" s="151"/>
      <c r="T26" s="48"/>
      <c r="U26" s="48"/>
      <c r="V26" s="151"/>
      <c r="W26" s="15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1"/>
      <c r="AY26" s="71"/>
      <c r="AZ26" s="71"/>
      <c r="BA26" s="71"/>
      <c r="BB26" s="71"/>
      <c r="BC26" s="71"/>
      <c r="BD26" s="71"/>
      <c r="BE26" s="71"/>
      <c r="BF26" s="71"/>
      <c r="BG26" s="71"/>
      <c r="BH26" s="71"/>
      <c r="BI26" s="71"/>
      <c r="BJ26" s="71"/>
      <c r="BK26" s="71"/>
      <c r="BL26" s="71"/>
      <c r="BM26" s="71"/>
      <c r="BN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  <c r="CA26" s="71"/>
      <c r="CB26" s="71"/>
      <c r="CC26" s="71"/>
      <c r="CD26" s="71"/>
      <c r="CE26" s="71"/>
      <c r="CF26" s="71"/>
      <c r="CG26" s="71"/>
      <c r="CH26" s="71"/>
      <c r="CI26" s="71"/>
      <c r="CJ26" s="71"/>
      <c r="CK26" s="71"/>
    </row>
    <row r="27" spans="1:89" ht="6" customHeight="1" x14ac:dyDescent="0.25">
      <c r="D27" s="57"/>
    </row>
    <row r="28" spans="1:89" ht="18.75" x14ac:dyDescent="0.3">
      <c r="A28" s="133" t="s">
        <v>268</v>
      </c>
      <c r="B28" s="133" t="s">
        <v>269</v>
      </c>
      <c r="C28" s="133"/>
      <c r="D28" s="134"/>
      <c r="L28" s="44"/>
      <c r="M28" s="44"/>
    </row>
    <row r="29" spans="1:89" x14ac:dyDescent="0.25">
      <c r="A29" s="69" t="s">
        <v>270</v>
      </c>
      <c r="B29" s="135">
        <v>1</v>
      </c>
      <c r="C29" s="152">
        <v>0.624</v>
      </c>
      <c r="D29" s="153">
        <v>0.24500000000000002</v>
      </c>
    </row>
    <row r="30" spans="1:89" x14ac:dyDescent="0.25">
      <c r="A30" s="69" t="s">
        <v>271</v>
      </c>
      <c r="B30" s="135">
        <v>1</v>
      </c>
      <c r="C30" s="152">
        <v>1.002</v>
      </c>
      <c r="D30" s="153">
        <v>0.34000000000000008</v>
      </c>
    </row>
    <row r="31" spans="1:89" x14ac:dyDescent="0.25">
      <c r="A31" s="69" t="s">
        <v>272</v>
      </c>
      <c r="B31" s="135">
        <v>1</v>
      </c>
      <c r="C31" s="152">
        <v>0.46800000000000008</v>
      </c>
      <c r="D31" s="153">
        <v>0.125</v>
      </c>
    </row>
    <row r="32" spans="1:89" x14ac:dyDescent="0.25">
      <c r="A32" s="69" t="s">
        <v>273</v>
      </c>
      <c r="B32" s="135">
        <v>1</v>
      </c>
      <c r="C32" s="152">
        <v>0.877</v>
      </c>
      <c r="D32" s="153">
        <v>0.25</v>
      </c>
    </row>
    <row r="33" spans="1:85" x14ac:dyDescent="0.25">
      <c r="A33" s="69" t="s">
        <v>274</v>
      </c>
      <c r="B33" s="135">
        <v>1</v>
      </c>
      <c r="C33" s="152">
        <v>0.59299999999999997</v>
      </c>
      <c r="D33" s="153">
        <v>0.19</v>
      </c>
    </row>
    <row r="35" spans="1:85" ht="15.75" x14ac:dyDescent="0.25">
      <c r="A35" s="553" t="s">
        <v>275</v>
      </c>
      <c r="B35" s="553"/>
      <c r="C35" s="553"/>
      <c r="D35" s="553"/>
      <c r="E35" s="553"/>
    </row>
    <row r="36" spans="1:85" x14ac:dyDescent="0.25">
      <c r="A36" s="142" t="s">
        <v>84</v>
      </c>
      <c r="B36" s="142" t="s">
        <v>188</v>
      </c>
      <c r="C36" s="142" t="s">
        <v>86</v>
      </c>
      <c r="D36" s="143" t="s">
        <v>187</v>
      </c>
      <c r="E36" s="142" t="s">
        <v>258</v>
      </c>
      <c r="F36" s="145" t="s">
        <v>96</v>
      </c>
      <c r="G36" s="146" t="s">
        <v>260</v>
      </c>
      <c r="H36" s="146" t="s">
        <v>14</v>
      </c>
      <c r="I36" s="146" t="s">
        <v>37</v>
      </c>
      <c r="J36" s="146" t="s">
        <v>168</v>
      </c>
      <c r="K36" s="146" t="s">
        <v>30</v>
      </c>
      <c r="L36" s="146" t="s">
        <v>170</v>
      </c>
      <c r="M36" s="146" t="s">
        <v>171</v>
      </c>
      <c r="N36" s="146" t="s">
        <v>172</v>
      </c>
      <c r="O36" s="147" t="s">
        <v>261</v>
      </c>
      <c r="P36" s="147" t="s">
        <v>114</v>
      </c>
      <c r="Q36" s="147" t="s">
        <v>262</v>
      </c>
      <c r="R36" s="147" t="s">
        <v>263</v>
      </c>
      <c r="S36" s="147" t="s">
        <v>116</v>
      </c>
      <c r="T36" s="148" t="s">
        <v>264</v>
      </c>
      <c r="U36" s="148" t="s">
        <v>265</v>
      </c>
      <c r="V36" s="148" t="s">
        <v>264</v>
      </c>
      <c r="W36" s="149" t="s">
        <v>264</v>
      </c>
      <c r="X36" s="149" t="s">
        <v>265</v>
      </c>
      <c r="Y36" s="149" t="s">
        <v>264</v>
      </c>
      <c r="Z36" s="149" t="s">
        <v>28</v>
      </c>
      <c r="AA36" s="149" t="s">
        <v>264</v>
      </c>
      <c r="AB36" s="149" t="s">
        <v>265</v>
      </c>
      <c r="AC36" s="149" t="s">
        <v>264</v>
      </c>
      <c r="AD36" s="149" t="s">
        <v>28</v>
      </c>
      <c r="AE36" s="148" t="s">
        <v>264</v>
      </c>
      <c r="AF36" s="148" t="s">
        <v>265</v>
      </c>
      <c r="AG36" s="148" t="s">
        <v>28</v>
      </c>
      <c r="AH36" s="148" t="s">
        <v>266</v>
      </c>
      <c r="AI36" s="148" t="s">
        <v>264</v>
      </c>
      <c r="AJ36" s="148" t="s">
        <v>265</v>
      </c>
      <c r="AK36" s="148" t="s">
        <v>28</v>
      </c>
      <c r="AL36" s="148" t="s">
        <v>266</v>
      </c>
      <c r="AM36" s="148" t="s">
        <v>264</v>
      </c>
      <c r="AN36" s="148" t="s">
        <v>265</v>
      </c>
      <c r="AO36" s="148" t="s">
        <v>264</v>
      </c>
      <c r="AP36" s="148" t="s">
        <v>28</v>
      </c>
      <c r="AQ36" s="148" t="s">
        <v>266</v>
      </c>
      <c r="AR36" s="148" t="s">
        <v>267</v>
      </c>
      <c r="AS36" s="148" t="s">
        <v>266</v>
      </c>
      <c r="AT36" s="148" t="s">
        <v>264</v>
      </c>
      <c r="AU36" s="148" t="s">
        <v>265</v>
      </c>
      <c r="AV36" s="148" t="s">
        <v>264</v>
      </c>
      <c r="AW36" s="148" t="s">
        <v>28</v>
      </c>
      <c r="AX36" s="148" t="s">
        <v>266</v>
      </c>
      <c r="AY36" s="148" t="s">
        <v>267</v>
      </c>
      <c r="AZ36" s="148" t="s">
        <v>266</v>
      </c>
      <c r="BA36" s="149" t="s">
        <v>264</v>
      </c>
      <c r="BB36" s="149" t="s">
        <v>265</v>
      </c>
      <c r="BC36" s="149" t="s">
        <v>28</v>
      </c>
      <c r="BD36" s="149" t="s">
        <v>266</v>
      </c>
      <c r="BE36" s="149" t="s">
        <v>267</v>
      </c>
      <c r="BF36" s="149" t="s">
        <v>264</v>
      </c>
      <c r="BG36" s="149" t="s">
        <v>265</v>
      </c>
      <c r="BH36" s="149" t="s">
        <v>28</v>
      </c>
      <c r="BI36" s="149" t="s">
        <v>266</v>
      </c>
      <c r="BJ36" s="149" t="s">
        <v>267</v>
      </c>
      <c r="BK36" s="148" t="s">
        <v>264</v>
      </c>
      <c r="BL36" s="148" t="s">
        <v>265</v>
      </c>
      <c r="BM36" s="148" t="s">
        <v>28</v>
      </c>
      <c r="BN36" s="148" t="s">
        <v>266</v>
      </c>
      <c r="BO36" s="148" t="s">
        <v>267</v>
      </c>
      <c r="BP36" s="148" t="s">
        <v>264</v>
      </c>
      <c r="BQ36" s="148" t="s">
        <v>265</v>
      </c>
      <c r="BR36" s="148" t="s">
        <v>28</v>
      </c>
      <c r="BS36" s="148" t="s">
        <v>266</v>
      </c>
      <c r="BT36" s="148" t="s">
        <v>267</v>
      </c>
      <c r="BU36" s="148" t="s">
        <v>264</v>
      </c>
      <c r="BV36" s="148" t="s">
        <v>265</v>
      </c>
      <c r="BW36" s="148" t="s">
        <v>28</v>
      </c>
      <c r="BX36" s="148" t="s">
        <v>266</v>
      </c>
      <c r="BY36" s="148" t="s">
        <v>267</v>
      </c>
      <c r="BZ36" s="149" t="s">
        <v>28</v>
      </c>
      <c r="CA36" s="149" t="s">
        <v>266</v>
      </c>
      <c r="CB36" s="149" t="s">
        <v>267</v>
      </c>
      <c r="CC36" s="149" t="s">
        <v>266</v>
      </c>
      <c r="CD36" s="148" t="s">
        <v>266</v>
      </c>
      <c r="CE36" s="148" t="s">
        <v>267</v>
      </c>
      <c r="CF36" s="148" t="s">
        <v>266</v>
      </c>
      <c r="CG36" s="148" t="s">
        <v>28</v>
      </c>
    </row>
    <row r="37" spans="1:85" x14ac:dyDescent="0.25">
      <c r="A37" t="str">
        <f t="shared" ref="A37:E46" si="148">A3</f>
        <v>D. Gehmacher</v>
      </c>
      <c r="B37">
        <f t="shared" si="148"/>
        <v>41</v>
      </c>
      <c r="C37" s="49">
        <f t="shared" ca="1" si="148"/>
        <v>108</v>
      </c>
      <c r="D37">
        <f t="shared" si="148"/>
        <v>0</v>
      </c>
      <c r="E37" s="204">
        <f t="shared" si="148"/>
        <v>42468</v>
      </c>
      <c r="F37" s="150">
        <f t="shared" ref="F37:F57" ca="1" si="149">I3</f>
        <v>1</v>
      </c>
      <c r="G37" s="151">
        <f t="shared" ref="G37:G57" si="150">J3</f>
        <v>26</v>
      </c>
      <c r="H37" s="48">
        <f t="shared" ref="H37:H57" si="151">K3</f>
        <v>9.9499999999999993</v>
      </c>
      <c r="I37" s="48">
        <f t="shared" ref="I37:I57" si="152">L3</f>
        <v>3.95</v>
      </c>
      <c r="J37" s="48">
        <f t="shared" ref="J37:J57" si="153">M3</f>
        <v>0</v>
      </c>
      <c r="K37" s="48">
        <f t="shared" ref="K37:K57" si="154">N3</f>
        <v>0</v>
      </c>
      <c r="L37" s="48">
        <f t="shared" ref="L37:L57" si="155">O3</f>
        <v>0</v>
      </c>
      <c r="M37" s="48">
        <f t="shared" ref="M37:M57" si="156">P3</f>
        <v>0</v>
      </c>
      <c r="N37" s="48">
        <f t="shared" ref="N37:N57" si="157">Q3</f>
        <v>14.95</v>
      </c>
      <c r="O37" s="151">
        <f t="shared" ref="O37:O57" si="158">((2*(L37+1))+(I37+1))/8</f>
        <v>0.86875000000000002</v>
      </c>
      <c r="P37" s="151">
        <f t="shared" ref="P37:P57" ca="1" si="159">1.66*(M37+(LOG(G37)*4/3)+F37)+0.55*(N37+(LOG(G37)*4/3)+F37)-7.6</f>
        <v>7.0019547986873434</v>
      </c>
      <c r="Q37" s="151">
        <f t="shared" ref="Q37:Q57" si="160">(0.5*M37+0.3*N37)/10</f>
        <v>0.44849999999999995</v>
      </c>
      <c r="R37" s="151">
        <f t="shared" ref="R37:R57" si="161">(0.4*I37+0.3*N37)/10</f>
        <v>0.60649999999999993</v>
      </c>
      <c r="S37" s="151">
        <f t="shared" ref="S37:S57" ca="1" si="162">IF(TODAY()-E37&gt;335,(N37+1+(LOG(G37)*4/3)),(N37+((TODAY()-E37)^0.5)/(336^0.5)+(LOG(G37)*4/3)))</f>
        <v>17.836631130627758</v>
      </c>
      <c r="T37" s="71">
        <f t="shared" ref="T37:T57" ca="1" si="163">((H37+F37+(LOG(G37)*4/3))*0.597)+((I37+F37+(LOG(G37)*4/3))*0.276)</f>
        <v>9.5503789770380312</v>
      </c>
      <c r="U37" s="71">
        <f t="shared" ref="U37:U57" ca="1" si="164">((H37+F37+(LOG(G37)*4/3))*0.866)+((I37+F37+(LOG(G37)*4/3))*0.425)</f>
        <v>14.022090789640433</v>
      </c>
      <c r="V37" s="71">
        <f t="shared" ref="V37:V57" ca="1" si="165">T37</f>
        <v>9.5503789770380312</v>
      </c>
      <c r="W37" s="71">
        <f t="shared" ref="W37:W57" ca="1" si="166">((I37+F37+(LOG(G37)*4/3))*0.516)</f>
        <v>3.5277016634039229</v>
      </c>
      <c r="X37" s="71">
        <f t="shared" ref="X37:X57" ca="1" si="167">(I37+F37+(LOG(G37)*4/3))*1</f>
        <v>6.8366311306277572</v>
      </c>
      <c r="Y37" s="71">
        <f t="shared" ref="Y37:Y57" ca="1" si="168">W37/2</f>
        <v>1.7638508317019614</v>
      </c>
      <c r="Z37" s="71">
        <f t="shared" ref="Z37:Z57" ca="1" si="169">(J37+F37+(LOG(G37)*4/3))*0.238</f>
        <v>0.68701820908940614</v>
      </c>
      <c r="AA37" s="71">
        <f t="shared" ref="AA37:AA57" ca="1" si="170">((I37+F37+(LOG(G37)*4/3))*0.378)</f>
        <v>2.5842465673772921</v>
      </c>
      <c r="AB37" s="71">
        <f t="shared" ref="AB37:AB57" ca="1" si="171">(I37+F37+(LOG(G37)*4/3))*0.723</f>
        <v>4.942884307443868</v>
      </c>
      <c r="AC37" s="71">
        <f t="shared" ref="AC37:AC57" ca="1" si="172">AA37/2</f>
        <v>1.292123283688646</v>
      </c>
      <c r="AD37" s="71">
        <f t="shared" ref="AD37:AD57" ca="1" si="173">(J37+F37+(LOG(G37)*4/3))*0.385</f>
        <v>1.1113529852916866</v>
      </c>
      <c r="AE37" s="238">
        <f t="shared" ref="AE37:AE57" ca="1" si="174">((I37+F37+(LOG(G37)*4/3))*0.92)</f>
        <v>6.2897006401775366</v>
      </c>
      <c r="AF37" s="71">
        <f t="shared" ref="AF37:AF57" ca="1" si="175">(I37+F37+(LOG(G37)*4/3))*0.414</f>
        <v>2.8303652880798915</v>
      </c>
      <c r="AG37" s="71">
        <f t="shared" ref="AG37:AG57" ca="1" si="176">((J37+F37+(LOG(G37)*4/3))*0.167)</f>
        <v>0.48206739881483546</v>
      </c>
      <c r="AH37" s="238">
        <f t="shared" ref="AH37:AH57" ca="1" si="177">(K37+F37+(LOG(G37)*4/3))*0.588</f>
        <v>1.6973391048091211</v>
      </c>
      <c r="AI37" s="71">
        <f t="shared" ref="AI37:AI57" ca="1" si="178">((I37+F37+(LOG(G37)*4/3))*0.754)</f>
        <v>5.154819872493329</v>
      </c>
      <c r="AJ37" s="71">
        <f t="shared" ref="AJ37:AJ57" ca="1" si="179">((I37+F37+(LOG(G37)*4/3))*0.708)</f>
        <v>4.8403348404844522</v>
      </c>
      <c r="AK37" s="71">
        <f t="shared" ref="AK37:AK57" ca="1" si="180">((N37+F37+(LOG(G37)*4/3))*0.167)</f>
        <v>2.9787173988148359</v>
      </c>
      <c r="AL37" s="71">
        <f t="shared" ref="AL37:AL57" ca="1" si="181">((O37+F37+(LOG(G37)*4/3))*0.288)</f>
        <v>1.081549765620794</v>
      </c>
      <c r="AM37" s="71">
        <f t="shared" ref="AM37:AM57" ca="1" si="182">((I37+F37+(LOG(G37)*4/3))*0.27)</f>
        <v>1.8458904052694947</v>
      </c>
      <c r="AN37" s="71">
        <f t="shared" ref="AN37:AN57" ca="1" si="183">((I37+F37+(LOG(G37)*4/3))*0.594)</f>
        <v>4.0609588915928878</v>
      </c>
      <c r="AO37" s="71">
        <f t="shared" ref="AO37:AO57" ca="1" si="184">AM37/2</f>
        <v>0.92294520263474733</v>
      </c>
      <c r="AP37" s="71">
        <f t="shared" ref="AP37:AP57" ca="1" si="185">((J37+F37+(LOG(G37)*4/3))*0.944)</f>
        <v>2.7249797873126025</v>
      </c>
      <c r="AQ37" s="71">
        <f t="shared" ref="AQ37:AQ57" ca="1" si="186">((L37+F37+(LOG(G37)*4/3))*0.13)</f>
        <v>0.37526204698160842</v>
      </c>
      <c r="AR37" s="71">
        <f t="shared" ref="AR37:AR57" ca="1" si="187">((M37+F37+(LOG(G37)*4/3))*0.173)+((L37+F37+(LOG(G37)*4/3))*0.12)</f>
        <v>0.84578292127393273</v>
      </c>
      <c r="AS37" s="71">
        <f t="shared" ref="AS37:AS57" ca="1" si="188">AQ37/2</f>
        <v>0.18763102349080421</v>
      </c>
      <c r="AT37" s="71">
        <f t="shared" ref="AT37:AT57" ca="1" si="189">((I37+F37+(LOG(G37)*4/3))*0.189)</f>
        <v>1.292123283688646</v>
      </c>
      <c r="AU37" s="71">
        <f t="shared" ref="AU37:AU57" ca="1" si="190">((I37+F37+(LOG(G37)*4/3))*0.4)</f>
        <v>2.7346524522511029</v>
      </c>
      <c r="AV37" s="71">
        <f t="shared" ref="AV37:AV57" ca="1" si="191">AT37/2</f>
        <v>0.64606164184432302</v>
      </c>
      <c r="AW37" s="71">
        <f t="shared" ref="AW37:AW57" ca="1" si="192">((J37+F37+(LOG(G37)*4/3))*1)</f>
        <v>2.886631130627757</v>
      </c>
      <c r="AX37" s="71">
        <f t="shared" ref="AX37:AX57" ca="1" si="193">((L37+F37+(LOG(G37)*4/3))*0.253)</f>
        <v>0.73031767604882258</v>
      </c>
      <c r="AY37" s="71">
        <f t="shared" ref="AY37:AY57" ca="1" si="194">((M37+F37+(LOG(G37)*4/3))*0.21)+((L37+F37+(LOG(G37)*4/3))*0.341)</f>
        <v>1.5905337529758943</v>
      </c>
      <c r="AZ37" s="71">
        <f t="shared" ref="AZ37:AZ57" ca="1" si="195">AX37/2</f>
        <v>0.36515883802441129</v>
      </c>
      <c r="BA37" s="71">
        <f t="shared" ref="BA37:BA57" ca="1" si="196">((I37+F37+(LOG(G37)*4/3))*0.291)</f>
        <v>1.9894596590126772</v>
      </c>
      <c r="BB37" s="71">
        <f t="shared" ref="BB37:BB57" ca="1" si="197">((I37+F37+(LOG(G37)*4/3))*0.348)</f>
        <v>2.3791476334584591</v>
      </c>
      <c r="BC37" s="71">
        <f t="shared" ref="BC37:BC57" ca="1" si="198">((J37+F37+(LOG(G37)*4/3))*0.881)</f>
        <v>2.5431220260830538</v>
      </c>
      <c r="BD37" s="71">
        <f t="shared" ref="BD37:BD57" ca="1" si="199">((K37+F37+(LOG(G37)*4/3))*0.574)+((L37+F37+(LOG(G37)*4/3))*0.315)</f>
        <v>2.5662150751280759</v>
      </c>
      <c r="BE37" s="71">
        <f t="shared" ref="BE37:BE57" ca="1" si="200">((L37+F37+(LOG(G37)*4/3))*0.241)</f>
        <v>0.69567810248128936</v>
      </c>
      <c r="BF37" s="71">
        <f t="shared" ref="BF37:BF57" ca="1" si="201">((I37+F37+(LOG(G37)*4/3))*0.485)</f>
        <v>3.3157660983544623</v>
      </c>
      <c r="BG37" s="71">
        <f t="shared" ref="BG37:BG57" ca="1" si="202">((I37+F37+(LOG(G37)*4/3))*0.264)</f>
        <v>1.8048706184857279</v>
      </c>
      <c r="BH37" s="71">
        <f t="shared" ref="BH37:BH57" ca="1" si="203">((J37+F37+(LOG(G37)*4/3))*0.381)</f>
        <v>1.0998064607691755</v>
      </c>
      <c r="BI37" s="71">
        <f t="shared" ref="BI37:BI57" ca="1" si="204">((K37+F37+(LOG(G37)*4/3))*0.673)+((L37+F37+(LOG(G37)*4/3))*0.201)</f>
        <v>2.5229156081686597</v>
      </c>
      <c r="BJ37" s="71">
        <f t="shared" ref="BJ37:BJ57" ca="1" si="205">((L37+F37+(LOG(G37)*4/3))*0.052)</f>
        <v>0.15010481879264337</v>
      </c>
      <c r="BK37" s="71">
        <f t="shared" ref="BK37:BK57" ca="1" si="206">((I37+F37+(LOG(G37)*4/3))*0.18)</f>
        <v>1.2305936035129963</v>
      </c>
      <c r="BL37" s="71">
        <f t="shared" ref="BL37:BL57" ca="1" si="207">(I37+F37+(LOG(G37)*4/3))*0.068</f>
        <v>0.46489091688268752</v>
      </c>
      <c r="BM37" s="71">
        <f t="shared" ref="BM37:BM57" ca="1" si="208">((J37+F37+(LOG(G37)*4/3))*0.305)</f>
        <v>0.88042249484146584</v>
      </c>
      <c r="BN37" s="71">
        <f t="shared" ref="BN37:BN57" ca="1" si="209">((K37+F37+(LOG(G37)*4/3))*1)+((L37+F37+(LOG(G37)*4/3))*0.286)</f>
        <v>3.7122076339872954</v>
      </c>
      <c r="BO37" s="71">
        <f t="shared" ref="BO37:BO57" ca="1" si="210">((L37+F37+(LOG(G37)*4/3))*0.135)</f>
        <v>0.38969520263474722</v>
      </c>
      <c r="BP37" s="71">
        <f t="shared" ref="BP37:BP57" ca="1" si="211">((I37+F37+(LOG(G37)*4/3))*0.284)</f>
        <v>1.9416032410982829</v>
      </c>
      <c r="BQ37" s="71">
        <f t="shared" ref="BQ37:BQ57" ca="1" si="212">(I37+F37+(LOG(G37)*4/3))*0.244</f>
        <v>1.6681379958731728</v>
      </c>
      <c r="BR37" s="71">
        <f t="shared" ref="BR37:BR57" ca="1" si="213">((J37+F37+(LOG(G37)*4/3))*0.455)</f>
        <v>1.3134171644356294</v>
      </c>
      <c r="BS37" s="71">
        <f t="shared" ref="BS37:BS57" ca="1" si="214">((K37+F37+(LOG(G37)*4/3))*0.864)+((L37+F37+(LOG(G37)*4/3))*0.244)</f>
        <v>3.1983872927355548</v>
      </c>
      <c r="BT37" s="71">
        <f t="shared" ref="BT37:BT57" ca="1" si="215">((L37+F37+(LOG(G37)*4/3))*0.121)</f>
        <v>0.34928236680595859</v>
      </c>
      <c r="BU37" s="71">
        <f t="shared" ref="BU37:BU57" ca="1" si="216">((I37+F37+(LOG(G37)*4/3))*0.284)</f>
        <v>1.9416032410982829</v>
      </c>
      <c r="BV37" s="71">
        <f t="shared" ref="BV37:BV57" ca="1" si="217">((I37+F37+(LOG(G37)*4/3))*0.244)</f>
        <v>1.6681379958731728</v>
      </c>
      <c r="BW37" s="71">
        <f t="shared" ref="BW37:BW57" ca="1" si="218">((J37+F37+(LOG(G37)*4/3))*0.631)</f>
        <v>1.8214642434261148</v>
      </c>
      <c r="BX37" s="71">
        <f t="shared" ref="BX37:BX57" ca="1" si="219">((K37+F37+(LOG(G37)*4/3))*0.702)+((L37+F37+(LOG(G37)*4/3))*0.193)</f>
        <v>2.5835348619118426</v>
      </c>
      <c r="BY37" s="71">
        <f t="shared" ref="BY37:BY57" ca="1" si="220">((L37+F37+(LOG(G37)*4/3))*0.148)</f>
        <v>0.42722140733290803</v>
      </c>
      <c r="BZ37" s="71">
        <f t="shared" ref="BZ37:BZ57" ca="1" si="221">((J37+F37+(LOG(G37)*4/3))*0.406)</f>
        <v>1.1719722390348695</v>
      </c>
      <c r="CA37" s="71">
        <f t="shared" ref="CA37:CA57" ca="1" si="222">IF(D37="TEC",((K37+F37+(LOG(G37)*4/3))*0.15)+((L37+F37+(LOG(G37)*4/3))*0.324)+((M37+F37+(LOG(G37)*4/3))*0.127),(((K37+F37+(LOG(G37)*4/3))*0.144)+((L37+F37+(LOG(G37)*4/3))*0.25)+((M37+F37+(LOG(G37)*4/3))*0.127)))</f>
        <v>1.5039348190570614</v>
      </c>
      <c r="CB37" s="71">
        <f t="shared" ref="CB37:CB57" ca="1" si="223">((L37+F37+(LOG(G37)*4/3))*0.543)+((M37+F37+(LOG(G37)*4/3))*0.583)</f>
        <v>3.2503466530868543</v>
      </c>
      <c r="CC37" s="71">
        <f t="shared" ref="CC37:CC57" ca="1" si="224">CA37</f>
        <v>1.5039348190570614</v>
      </c>
      <c r="CD37" s="71">
        <f t="shared" ref="CD37:CD57" ca="1" si="225">((M37+1+(LOG(G37)*4/3))*0.26)+((K37+F37+(LOG(G37)*4/3))*0.221)+((L37+F37+(LOG(G37)*4/3))*0.142)</f>
        <v>1.7983711943810925</v>
      </c>
      <c r="CE37" s="71">
        <f t="shared" ref="CE37:CE57" ca="1" si="226">((M37+F37+(LOG(G37)*4/3))*1)+((L37+F37+(LOG(G37)*4/3))*0.369)</f>
        <v>3.9517980178293994</v>
      </c>
      <c r="CF37" s="71">
        <f t="shared" ref="CF37:CF57" ca="1" si="227">CD37</f>
        <v>1.7983711943810925</v>
      </c>
      <c r="CG37" s="71">
        <f t="shared" ref="CG37:CG57" ca="1" si="228">((J37+F37+(LOG(G37)*4/3))*0.25)</f>
        <v>0.72165778265693925</v>
      </c>
    </row>
    <row r="38" spans="1:85" x14ac:dyDescent="0.25">
      <c r="A38" t="str">
        <f t="shared" si="148"/>
        <v>L. Guangwei</v>
      </c>
      <c r="B38">
        <f t="shared" si="148"/>
        <v>26</v>
      </c>
      <c r="C38" s="49">
        <f t="shared" ca="1" si="148"/>
        <v>35</v>
      </c>
      <c r="D38" t="str">
        <f t="shared" si="148"/>
        <v>IMP</v>
      </c>
      <c r="E38" s="204">
        <f t="shared" si="148"/>
        <v>43878</v>
      </c>
      <c r="F38" s="150">
        <f t="shared" ca="1" si="149"/>
        <v>1</v>
      </c>
      <c r="G38" s="151">
        <f t="shared" si="150"/>
        <v>6.5</v>
      </c>
      <c r="H38" s="48">
        <f t="shared" si="151"/>
        <v>15</v>
      </c>
      <c r="I38" s="48">
        <f t="shared" si="152"/>
        <v>6.6</v>
      </c>
      <c r="J38" s="48">
        <f t="shared" si="153"/>
        <v>3</v>
      </c>
      <c r="K38" s="48">
        <f t="shared" si="154"/>
        <v>1</v>
      </c>
      <c r="L38" s="48">
        <f t="shared" si="155"/>
        <v>5</v>
      </c>
      <c r="M38" s="48">
        <f t="shared" si="156"/>
        <v>5</v>
      </c>
      <c r="N38" s="48">
        <f t="shared" si="157"/>
        <v>21.5</v>
      </c>
      <c r="O38" s="151">
        <f t="shared" si="158"/>
        <v>2.4500000000000002</v>
      </c>
      <c r="P38" s="151">
        <f t="shared" ca="1" si="159"/>
        <v>17.130384690907611</v>
      </c>
      <c r="Q38" s="151">
        <f t="shared" si="160"/>
        <v>0.89499999999999991</v>
      </c>
      <c r="R38" s="151">
        <f t="shared" si="161"/>
        <v>0.90900000000000003</v>
      </c>
      <c r="S38" s="151">
        <f t="shared" ca="1" si="162"/>
        <v>23.583884475523806</v>
      </c>
      <c r="T38" s="71">
        <f t="shared" ca="1" si="163"/>
        <v>12.595831147132282</v>
      </c>
      <c r="U38" s="71">
        <f t="shared" ca="1" si="164"/>
        <v>18.485294857901234</v>
      </c>
      <c r="V38" s="71">
        <f t="shared" ca="1" si="165"/>
        <v>12.595831147132282</v>
      </c>
      <c r="W38" s="71">
        <f t="shared" ca="1" si="166"/>
        <v>4.480884389370285</v>
      </c>
      <c r="X38" s="71">
        <f t="shared" ca="1" si="167"/>
        <v>8.6838844755238078</v>
      </c>
      <c r="Y38" s="71">
        <f t="shared" ca="1" si="168"/>
        <v>2.2404421946851425</v>
      </c>
      <c r="Z38" s="71">
        <f t="shared" ca="1" si="169"/>
        <v>1.2099645051746661</v>
      </c>
      <c r="AA38" s="71">
        <f t="shared" ca="1" si="170"/>
        <v>3.2825083317479993</v>
      </c>
      <c r="AB38" s="71">
        <f t="shared" ca="1" si="171"/>
        <v>6.2784484758037129</v>
      </c>
      <c r="AC38" s="71">
        <f t="shared" ca="1" si="172"/>
        <v>1.6412541658739996</v>
      </c>
      <c r="AD38" s="71">
        <f t="shared" ca="1" si="173"/>
        <v>1.9572955230766658</v>
      </c>
      <c r="AE38" s="238">
        <f t="shared" ca="1" si="174"/>
        <v>7.9891737174819033</v>
      </c>
      <c r="AF38" s="71">
        <f t="shared" ca="1" si="175"/>
        <v>3.5951281728668563</v>
      </c>
      <c r="AG38" s="71">
        <f t="shared" ca="1" si="176"/>
        <v>0.84900870741247592</v>
      </c>
      <c r="AH38" s="238">
        <f t="shared" ca="1" si="177"/>
        <v>1.8133240716079986</v>
      </c>
      <c r="AI38" s="71">
        <f t="shared" ca="1" si="178"/>
        <v>6.5476488945449507</v>
      </c>
      <c r="AJ38" s="71">
        <f t="shared" ca="1" si="179"/>
        <v>6.1481902086708553</v>
      </c>
      <c r="AK38" s="71">
        <f t="shared" ca="1" si="180"/>
        <v>3.9385087074124758</v>
      </c>
      <c r="AL38" s="71">
        <f t="shared" ca="1" si="181"/>
        <v>1.3057587289508565</v>
      </c>
      <c r="AM38" s="71">
        <f t="shared" ca="1" si="182"/>
        <v>2.3446488083914283</v>
      </c>
      <c r="AN38" s="71">
        <f t="shared" ca="1" si="183"/>
        <v>5.1582273784611417</v>
      </c>
      <c r="AO38" s="71">
        <f t="shared" ca="1" si="184"/>
        <v>1.1723244041957142</v>
      </c>
      <c r="AP38" s="71">
        <f t="shared" ca="1" si="185"/>
        <v>4.7991869448944735</v>
      </c>
      <c r="AQ38" s="71">
        <f t="shared" ca="1" si="186"/>
        <v>0.92090498181809499</v>
      </c>
      <c r="AR38" s="71">
        <f t="shared" ca="1" si="187"/>
        <v>2.0755781513284752</v>
      </c>
      <c r="AS38" s="71">
        <f t="shared" ca="1" si="188"/>
        <v>0.4604524909090475</v>
      </c>
      <c r="AT38" s="71">
        <f t="shared" ca="1" si="189"/>
        <v>1.6412541658739996</v>
      </c>
      <c r="AU38" s="71">
        <f t="shared" ca="1" si="190"/>
        <v>3.4735537902095235</v>
      </c>
      <c r="AV38" s="71">
        <f t="shared" ca="1" si="191"/>
        <v>0.82062708293699982</v>
      </c>
      <c r="AW38" s="71">
        <f t="shared" ca="1" si="192"/>
        <v>5.0838844755238073</v>
      </c>
      <c r="AX38" s="71">
        <f t="shared" ca="1" si="193"/>
        <v>1.7922227723075232</v>
      </c>
      <c r="AY38" s="71">
        <f t="shared" ca="1" si="194"/>
        <v>3.9032203460136179</v>
      </c>
      <c r="AZ38" s="71">
        <f t="shared" ca="1" si="195"/>
        <v>0.89611138615376162</v>
      </c>
      <c r="BA38" s="71">
        <f t="shared" ca="1" si="196"/>
        <v>2.5270103823774277</v>
      </c>
      <c r="BB38" s="71">
        <f t="shared" ca="1" si="197"/>
        <v>3.021991797482285</v>
      </c>
      <c r="BC38" s="71">
        <f t="shared" ca="1" si="198"/>
        <v>4.4789022229364743</v>
      </c>
      <c r="BD38" s="71">
        <f t="shared" ca="1" si="199"/>
        <v>4.0015732987406647</v>
      </c>
      <c r="BE38" s="71">
        <f t="shared" ca="1" si="200"/>
        <v>1.7072161586012375</v>
      </c>
      <c r="BF38" s="71">
        <f t="shared" ca="1" si="201"/>
        <v>4.2116839706290463</v>
      </c>
      <c r="BG38" s="71">
        <f t="shared" ca="1" si="202"/>
        <v>2.2925455015382852</v>
      </c>
      <c r="BH38" s="71">
        <f t="shared" ca="1" si="203"/>
        <v>1.9369599851745707</v>
      </c>
      <c r="BI38" s="71">
        <f t="shared" ca="1" si="204"/>
        <v>3.4993150316078081</v>
      </c>
      <c r="BJ38" s="71">
        <f t="shared" ca="1" si="205"/>
        <v>0.36836199272723796</v>
      </c>
      <c r="BK38" s="71">
        <f t="shared" ca="1" si="206"/>
        <v>1.5630992055942854</v>
      </c>
      <c r="BL38" s="71">
        <f t="shared" ca="1" si="207"/>
        <v>0.59050414433561893</v>
      </c>
      <c r="BM38" s="71">
        <f t="shared" ca="1" si="208"/>
        <v>1.5505847650347613</v>
      </c>
      <c r="BN38" s="71">
        <f t="shared" ca="1" si="209"/>
        <v>5.109875435523616</v>
      </c>
      <c r="BO38" s="71">
        <f t="shared" ca="1" si="210"/>
        <v>0.95632440419571407</v>
      </c>
      <c r="BP38" s="71">
        <f t="shared" ca="1" si="211"/>
        <v>2.4662231910487611</v>
      </c>
      <c r="BQ38" s="71">
        <f t="shared" ca="1" si="212"/>
        <v>2.1188678120278093</v>
      </c>
      <c r="BR38" s="71">
        <f t="shared" ca="1" si="213"/>
        <v>2.3131674363633326</v>
      </c>
      <c r="BS38" s="71">
        <f t="shared" ca="1" si="214"/>
        <v>4.3929439988803782</v>
      </c>
      <c r="BT38" s="71">
        <f t="shared" ca="1" si="215"/>
        <v>0.8571500215383806</v>
      </c>
      <c r="BU38" s="71">
        <f t="shared" ca="1" si="216"/>
        <v>2.4662231910487611</v>
      </c>
      <c r="BV38" s="71">
        <f t="shared" ca="1" si="217"/>
        <v>2.1188678120278093</v>
      </c>
      <c r="BW38" s="71">
        <f t="shared" ca="1" si="218"/>
        <v>3.2079311040555223</v>
      </c>
      <c r="BX38" s="71">
        <f t="shared" ca="1" si="219"/>
        <v>3.5320766055938075</v>
      </c>
      <c r="BY38" s="71">
        <f t="shared" ca="1" si="220"/>
        <v>1.0484149023775233</v>
      </c>
      <c r="BZ38" s="71">
        <f t="shared" ca="1" si="221"/>
        <v>2.0640570970626659</v>
      </c>
      <c r="CA38" s="71">
        <f t="shared" ca="1" si="222"/>
        <v>3.1147038117479036</v>
      </c>
      <c r="CB38" s="71">
        <f t="shared" ca="1" si="223"/>
        <v>7.9764539194398072</v>
      </c>
      <c r="CC38" s="71">
        <f t="shared" ca="1" si="224"/>
        <v>3.1147038117479036</v>
      </c>
      <c r="CD38" s="71">
        <f t="shared" ca="1" si="225"/>
        <v>3.5292600282513318</v>
      </c>
      <c r="CE38" s="71">
        <f t="shared" ca="1" si="226"/>
        <v>9.6978378469920923</v>
      </c>
      <c r="CF38" s="71">
        <f t="shared" ca="1" si="227"/>
        <v>3.5292600282513318</v>
      </c>
      <c r="CG38" s="71">
        <f t="shared" ca="1" si="228"/>
        <v>1.2709711188809518</v>
      </c>
    </row>
    <row r="39" spans="1:85" x14ac:dyDescent="0.25">
      <c r="A39" t="str">
        <f t="shared" si="148"/>
        <v>V. Gardner</v>
      </c>
      <c r="B39">
        <f t="shared" si="148"/>
        <v>25</v>
      </c>
      <c r="C39" s="49">
        <f t="shared" ca="1" si="148"/>
        <v>76</v>
      </c>
      <c r="D39">
        <f t="shared" si="148"/>
        <v>0</v>
      </c>
      <c r="E39" s="204">
        <f t="shared" si="148"/>
        <v>43756</v>
      </c>
      <c r="F39" s="150">
        <f t="shared" ca="1" si="149"/>
        <v>1</v>
      </c>
      <c r="G39" s="151">
        <f t="shared" si="150"/>
        <v>6</v>
      </c>
      <c r="H39" s="48">
        <f t="shared" si="151"/>
        <v>0</v>
      </c>
      <c r="I39" s="48">
        <f t="shared" si="152"/>
        <v>13.583333333333334</v>
      </c>
      <c r="J39" s="48">
        <f t="shared" si="153"/>
        <v>7.8</v>
      </c>
      <c r="K39" s="48">
        <f t="shared" si="154"/>
        <v>3</v>
      </c>
      <c r="L39" s="48">
        <f t="shared" si="155"/>
        <v>5</v>
      </c>
      <c r="M39" s="48">
        <f t="shared" si="156"/>
        <v>7.166666666666667</v>
      </c>
      <c r="N39" s="48">
        <f t="shared" si="157"/>
        <v>18.75</v>
      </c>
      <c r="O39" s="151">
        <f t="shared" si="158"/>
        <v>3.322916666666667</v>
      </c>
      <c r="P39" s="151">
        <f t="shared" ca="1" si="159"/>
        <v>19.112119017797134</v>
      </c>
      <c r="Q39" s="151">
        <f t="shared" si="160"/>
        <v>0.92083333333333339</v>
      </c>
      <c r="R39" s="151">
        <f t="shared" si="161"/>
        <v>1.1058333333333334</v>
      </c>
      <c r="S39" s="151">
        <f t="shared" ca="1" si="162"/>
        <v>20.787535000511525</v>
      </c>
      <c r="T39" s="71">
        <f t="shared" ca="1" si="163"/>
        <v>5.5277680554465611</v>
      </c>
      <c r="U39" s="71">
        <f t="shared" ca="1" si="164"/>
        <v>8.4033743523270452</v>
      </c>
      <c r="V39" s="71">
        <f t="shared" ca="1" si="165"/>
        <v>5.5277680554465611</v>
      </c>
      <c r="W39" s="71">
        <f t="shared" ca="1" si="166"/>
        <v>8.0603680602639471</v>
      </c>
      <c r="X39" s="71">
        <f t="shared" ca="1" si="167"/>
        <v>15.620868333844859</v>
      </c>
      <c r="Y39" s="71">
        <f t="shared" ca="1" si="168"/>
        <v>4.0301840301319736</v>
      </c>
      <c r="Z39" s="71">
        <f t="shared" ca="1" si="169"/>
        <v>2.3413333301217429</v>
      </c>
      <c r="AA39" s="71">
        <f t="shared" ca="1" si="170"/>
        <v>5.904688230193357</v>
      </c>
      <c r="AB39" s="71">
        <f t="shared" ca="1" si="171"/>
        <v>11.293887805369833</v>
      </c>
      <c r="AC39" s="71">
        <f t="shared" ca="1" si="172"/>
        <v>2.9523441150966785</v>
      </c>
      <c r="AD39" s="71">
        <f t="shared" ca="1" si="173"/>
        <v>3.7874509751969376</v>
      </c>
      <c r="AE39" s="238">
        <f t="shared" ca="1" si="174"/>
        <v>14.37119886713727</v>
      </c>
      <c r="AF39" s="71">
        <f t="shared" ca="1" si="175"/>
        <v>6.4670394902117714</v>
      </c>
      <c r="AG39" s="71">
        <f t="shared" ca="1" si="176"/>
        <v>1.6428683450854249</v>
      </c>
      <c r="AH39" s="238">
        <f t="shared" ca="1" si="177"/>
        <v>2.9620705803007765</v>
      </c>
      <c r="AI39" s="71">
        <f t="shared" ca="1" si="178"/>
        <v>11.778134723719024</v>
      </c>
      <c r="AJ39" s="71">
        <f t="shared" ca="1" si="179"/>
        <v>11.05957478036216</v>
      </c>
      <c r="AK39" s="71">
        <f t="shared" ca="1" si="180"/>
        <v>3.4715183450854248</v>
      </c>
      <c r="AL39" s="71">
        <f t="shared" ca="1" si="181"/>
        <v>1.5438100801473191</v>
      </c>
      <c r="AM39" s="71">
        <f t="shared" ca="1" si="182"/>
        <v>4.217634450138112</v>
      </c>
      <c r="AN39" s="71">
        <f t="shared" ca="1" si="183"/>
        <v>9.278795790303846</v>
      </c>
      <c r="AO39" s="71">
        <f t="shared" ca="1" si="184"/>
        <v>2.108817225069056</v>
      </c>
      <c r="AP39" s="71">
        <f t="shared" ca="1" si="185"/>
        <v>9.2866330404828794</v>
      </c>
      <c r="AQ39" s="71">
        <f t="shared" ca="1" si="186"/>
        <v>0.91487955006649835</v>
      </c>
      <c r="AR39" s="71">
        <f t="shared" ca="1" si="187"/>
        <v>2.4368310884832103</v>
      </c>
      <c r="AS39" s="71">
        <f t="shared" ca="1" si="188"/>
        <v>0.45743977503324917</v>
      </c>
      <c r="AT39" s="71">
        <f t="shared" ca="1" si="189"/>
        <v>2.9523441150966785</v>
      </c>
      <c r="AU39" s="71">
        <f t="shared" ca="1" si="190"/>
        <v>6.2483473335379438</v>
      </c>
      <c r="AV39" s="71">
        <f t="shared" ca="1" si="191"/>
        <v>1.4761720575483392</v>
      </c>
      <c r="AW39" s="71">
        <f t="shared" ca="1" si="192"/>
        <v>9.8375350005115259</v>
      </c>
      <c r="AX39" s="71">
        <f t="shared" ca="1" si="193"/>
        <v>1.780496355129416</v>
      </c>
      <c r="AY39" s="71">
        <f t="shared" ca="1" si="194"/>
        <v>4.3326817852818502</v>
      </c>
      <c r="AZ39" s="71">
        <f t="shared" ca="1" si="195"/>
        <v>0.89024817756470798</v>
      </c>
      <c r="BA39" s="71">
        <f t="shared" ca="1" si="196"/>
        <v>4.5456726851488538</v>
      </c>
      <c r="BB39" s="71">
        <f t="shared" ca="1" si="197"/>
        <v>5.4360621801780109</v>
      </c>
      <c r="BC39" s="71">
        <f t="shared" ca="1" si="198"/>
        <v>8.6668683354506548</v>
      </c>
      <c r="BD39" s="71">
        <f t="shared" ca="1" si="199"/>
        <v>5.1083686154547454</v>
      </c>
      <c r="BE39" s="71">
        <f t="shared" ca="1" si="200"/>
        <v>1.6960459351232775</v>
      </c>
      <c r="BF39" s="71">
        <f t="shared" ca="1" si="201"/>
        <v>7.5761211419147561</v>
      </c>
      <c r="BG39" s="71">
        <f t="shared" ca="1" si="202"/>
        <v>4.1239092401350428</v>
      </c>
      <c r="BH39" s="71">
        <f t="shared" ca="1" si="203"/>
        <v>3.7481008351948915</v>
      </c>
      <c r="BI39" s="71">
        <f t="shared" ca="1" si="204"/>
        <v>4.8048055904470734</v>
      </c>
      <c r="BJ39" s="71">
        <f t="shared" ca="1" si="205"/>
        <v>0.36595182002659932</v>
      </c>
      <c r="BK39" s="71">
        <f t="shared" ca="1" si="206"/>
        <v>2.8117563000920747</v>
      </c>
      <c r="BL39" s="71">
        <f t="shared" ca="1" si="207"/>
        <v>1.0622190467014505</v>
      </c>
      <c r="BM39" s="71">
        <f t="shared" ca="1" si="208"/>
        <v>3.0004481751560155</v>
      </c>
      <c r="BN39" s="71">
        <f t="shared" ca="1" si="209"/>
        <v>7.0502700106578207</v>
      </c>
      <c r="BO39" s="71">
        <f t="shared" ca="1" si="210"/>
        <v>0.95006722506905594</v>
      </c>
      <c r="BP39" s="71">
        <f t="shared" ca="1" si="211"/>
        <v>4.4363266068119396</v>
      </c>
      <c r="BQ39" s="71">
        <f t="shared" ca="1" si="212"/>
        <v>3.8114918734581456</v>
      </c>
      <c r="BR39" s="71">
        <f t="shared" ca="1" si="213"/>
        <v>4.4760784252327444</v>
      </c>
      <c r="BS39" s="71">
        <f t="shared" ca="1" si="214"/>
        <v>6.0695887805667699</v>
      </c>
      <c r="BT39" s="71">
        <f t="shared" ca="1" si="215"/>
        <v>0.85154173506189457</v>
      </c>
      <c r="BU39" s="71">
        <f t="shared" ca="1" si="216"/>
        <v>4.4363266068119396</v>
      </c>
      <c r="BV39" s="71">
        <f t="shared" ca="1" si="217"/>
        <v>3.8114918734581456</v>
      </c>
      <c r="BW39" s="71">
        <f t="shared" ca="1" si="218"/>
        <v>6.2074845853227725</v>
      </c>
      <c r="BX39" s="71">
        <f t="shared" ca="1" si="219"/>
        <v>4.8945938254578145</v>
      </c>
      <c r="BY39" s="71">
        <f t="shared" ca="1" si="220"/>
        <v>1.0415551800757057</v>
      </c>
      <c r="BZ39" s="71">
        <f t="shared" ca="1" si="221"/>
        <v>3.9940392102076796</v>
      </c>
      <c r="CA39" s="71">
        <f t="shared" ca="1" si="222"/>
        <v>3.6537224019331713</v>
      </c>
      <c r="CB39" s="71">
        <f t="shared" ca="1" si="223"/>
        <v>9.1874310772426444</v>
      </c>
      <c r="CC39" s="71">
        <f t="shared" ca="1" si="224"/>
        <v>3.6537224019331713</v>
      </c>
      <c r="CD39" s="71">
        <f t="shared" ca="1" si="225"/>
        <v>4.5057176386520137</v>
      </c>
      <c r="CE39" s="71">
        <f t="shared" ca="1" si="226"/>
        <v>11.801052082366946</v>
      </c>
      <c r="CF39" s="71">
        <f t="shared" ca="1" si="227"/>
        <v>4.5057176386520137</v>
      </c>
      <c r="CG39" s="71">
        <f t="shared" ca="1" si="228"/>
        <v>2.4593837501278815</v>
      </c>
    </row>
    <row r="40" spans="1:85" x14ac:dyDescent="0.25">
      <c r="A40" t="str">
        <f t="shared" si="148"/>
        <v>S. Embe</v>
      </c>
      <c r="B40">
        <f t="shared" si="148"/>
        <v>26</v>
      </c>
      <c r="C40" s="49">
        <f t="shared" ca="1" si="148"/>
        <v>20</v>
      </c>
      <c r="D40">
        <f t="shared" si="148"/>
        <v>0</v>
      </c>
      <c r="E40" s="204">
        <f t="shared" si="148"/>
        <v>43920</v>
      </c>
      <c r="F40" s="150">
        <f t="shared" ca="1" si="149"/>
        <v>1</v>
      </c>
      <c r="G40" s="151">
        <f t="shared" si="150"/>
        <v>5</v>
      </c>
      <c r="H40" s="48">
        <f t="shared" si="151"/>
        <v>0</v>
      </c>
      <c r="I40" s="48">
        <f t="shared" si="152"/>
        <v>12.416666666666666</v>
      </c>
      <c r="J40" s="48">
        <f t="shared" si="153"/>
        <v>6.2</v>
      </c>
      <c r="K40" s="48">
        <f t="shared" si="154"/>
        <v>1</v>
      </c>
      <c r="L40" s="48">
        <f t="shared" si="155"/>
        <v>5</v>
      </c>
      <c r="M40" s="48">
        <f t="shared" si="156"/>
        <v>7</v>
      </c>
      <c r="N40" s="48">
        <f t="shared" si="157"/>
        <v>19.8</v>
      </c>
      <c r="O40" s="151">
        <f t="shared" si="158"/>
        <v>3.177083333333333</v>
      </c>
      <c r="P40" s="151">
        <f t="shared" ca="1" si="159"/>
        <v>19.179631612776802</v>
      </c>
      <c r="Q40" s="151">
        <f t="shared" si="160"/>
        <v>0.94400000000000017</v>
      </c>
      <c r="R40" s="151">
        <f t="shared" si="161"/>
        <v>1.0906666666666667</v>
      </c>
      <c r="S40" s="151">
        <f t="shared" ca="1" si="162"/>
        <v>21.73196000578136</v>
      </c>
      <c r="T40" s="71">
        <f t="shared" ca="1" si="163"/>
        <v>5.1136010850471258</v>
      </c>
      <c r="U40" s="71">
        <f t="shared" ca="1" si="164"/>
        <v>7.7712437007970667</v>
      </c>
      <c r="V40" s="71">
        <f t="shared" ca="1" si="165"/>
        <v>5.1136010850471258</v>
      </c>
      <c r="W40" s="71">
        <f t="shared" ca="1" si="166"/>
        <v>7.4038913629831802</v>
      </c>
      <c r="X40" s="71">
        <f t="shared" ca="1" si="167"/>
        <v>14.348626672448024</v>
      </c>
      <c r="Y40" s="71">
        <f t="shared" ca="1" si="168"/>
        <v>3.7019456814915901</v>
      </c>
      <c r="Z40" s="71">
        <f t="shared" ca="1" si="169"/>
        <v>1.9354064813759633</v>
      </c>
      <c r="AA40" s="71">
        <f t="shared" ca="1" si="170"/>
        <v>5.423780882185353</v>
      </c>
      <c r="AB40" s="71">
        <f t="shared" ca="1" si="171"/>
        <v>10.37405708417992</v>
      </c>
      <c r="AC40" s="71">
        <f t="shared" ca="1" si="172"/>
        <v>2.7118904410926765</v>
      </c>
      <c r="AD40" s="71">
        <f t="shared" ca="1" si="173"/>
        <v>3.1308046022258234</v>
      </c>
      <c r="AE40" s="238">
        <f t="shared" ca="1" si="174"/>
        <v>13.200736538652183</v>
      </c>
      <c r="AF40" s="71">
        <f t="shared" ca="1" si="175"/>
        <v>5.9403314423934814</v>
      </c>
      <c r="AG40" s="71">
        <f t="shared" ca="1" si="176"/>
        <v>1.358037320965487</v>
      </c>
      <c r="AH40" s="238">
        <f t="shared" ca="1" si="177"/>
        <v>1.7239924833994387</v>
      </c>
      <c r="AI40" s="71">
        <f t="shared" ca="1" si="178"/>
        <v>10.81886451102581</v>
      </c>
      <c r="AJ40" s="71">
        <f t="shared" ca="1" si="179"/>
        <v>10.1588276840932</v>
      </c>
      <c r="AK40" s="71">
        <f t="shared" ca="1" si="180"/>
        <v>3.6292373209654873</v>
      </c>
      <c r="AL40" s="71">
        <f t="shared" ca="1" si="181"/>
        <v>1.4714044816650311</v>
      </c>
      <c r="AM40" s="71">
        <f t="shared" ca="1" si="182"/>
        <v>3.8741292015609665</v>
      </c>
      <c r="AN40" s="71">
        <f t="shared" ca="1" si="183"/>
        <v>8.5230842434341252</v>
      </c>
      <c r="AO40" s="71">
        <f t="shared" ca="1" si="184"/>
        <v>1.9370646007804833</v>
      </c>
      <c r="AP40" s="71">
        <f t="shared" ca="1" si="185"/>
        <v>7.6765702454576026</v>
      </c>
      <c r="AQ40" s="71">
        <f t="shared" ca="1" si="186"/>
        <v>0.90115480075157661</v>
      </c>
      <c r="AR40" s="71">
        <f t="shared" ca="1" si="187"/>
        <v>2.3770642816939378</v>
      </c>
      <c r="AS40" s="71">
        <f t="shared" ca="1" si="188"/>
        <v>0.45057740037578831</v>
      </c>
      <c r="AT40" s="71">
        <f t="shared" ca="1" si="189"/>
        <v>2.7118904410926765</v>
      </c>
      <c r="AU40" s="71">
        <f t="shared" ca="1" si="190"/>
        <v>5.7394506689792095</v>
      </c>
      <c r="AV40" s="71">
        <f t="shared" ca="1" si="191"/>
        <v>1.3559452205463383</v>
      </c>
      <c r="AW40" s="71">
        <f t="shared" ca="1" si="192"/>
        <v>8.1319600057813588</v>
      </c>
      <c r="AX40" s="71">
        <f t="shared" ca="1" si="193"/>
        <v>1.7537858814626837</v>
      </c>
      <c r="AY40" s="71">
        <f t="shared" ca="1" si="194"/>
        <v>4.2395099631855286</v>
      </c>
      <c r="AZ40" s="71">
        <f t="shared" ca="1" si="195"/>
        <v>0.87689294073134183</v>
      </c>
      <c r="BA40" s="71">
        <f t="shared" ca="1" si="196"/>
        <v>4.1754503616823744</v>
      </c>
      <c r="BB40" s="71">
        <f t="shared" ca="1" si="197"/>
        <v>4.993322082011912</v>
      </c>
      <c r="BC40" s="71">
        <f t="shared" ca="1" si="198"/>
        <v>7.1642567650933771</v>
      </c>
      <c r="BD40" s="71">
        <f t="shared" ca="1" si="199"/>
        <v>3.8665124451396276</v>
      </c>
      <c r="BE40" s="71">
        <f t="shared" ca="1" si="200"/>
        <v>1.6706023613933074</v>
      </c>
      <c r="BF40" s="71">
        <f t="shared" ca="1" si="201"/>
        <v>6.9590839361372909</v>
      </c>
      <c r="BG40" s="71">
        <f t="shared" ca="1" si="202"/>
        <v>3.7880374415262783</v>
      </c>
      <c r="BH40" s="71">
        <f t="shared" ca="1" si="203"/>
        <v>3.0982767622026977</v>
      </c>
      <c r="BI40" s="71">
        <f t="shared" ca="1" si="204"/>
        <v>3.3665330450529076</v>
      </c>
      <c r="BJ40" s="71">
        <f t="shared" ca="1" si="205"/>
        <v>0.36046192030063062</v>
      </c>
      <c r="BK40" s="71">
        <f t="shared" ca="1" si="206"/>
        <v>2.5827528010406442</v>
      </c>
      <c r="BL40" s="71">
        <f t="shared" ca="1" si="207"/>
        <v>0.97570661372646572</v>
      </c>
      <c r="BM40" s="71">
        <f t="shared" ca="1" si="208"/>
        <v>2.4802478017633143</v>
      </c>
      <c r="BN40" s="71">
        <f t="shared" ca="1" si="209"/>
        <v>4.9145005674348266</v>
      </c>
      <c r="BO40" s="71">
        <f t="shared" ca="1" si="210"/>
        <v>0.93581460078048351</v>
      </c>
      <c r="BP40" s="71">
        <f t="shared" ca="1" si="211"/>
        <v>4.075009974975238</v>
      </c>
      <c r="BQ40" s="71">
        <f t="shared" ca="1" si="212"/>
        <v>3.5010649080773177</v>
      </c>
      <c r="BR40" s="71">
        <f t="shared" ca="1" si="213"/>
        <v>3.7000418026305182</v>
      </c>
      <c r="BS40" s="71">
        <f t="shared" ca="1" si="214"/>
        <v>4.2246116864057459</v>
      </c>
      <c r="BT40" s="71">
        <f t="shared" ca="1" si="215"/>
        <v>0.83876716069954438</v>
      </c>
      <c r="BU40" s="71">
        <f t="shared" ca="1" si="216"/>
        <v>4.075009974975238</v>
      </c>
      <c r="BV40" s="71">
        <f t="shared" ca="1" si="217"/>
        <v>3.5010649080773177</v>
      </c>
      <c r="BW40" s="71">
        <f t="shared" ca="1" si="218"/>
        <v>5.1312667636480374</v>
      </c>
      <c r="BX40" s="71">
        <f t="shared" ca="1" si="219"/>
        <v>3.396104205174316</v>
      </c>
      <c r="BY40" s="71">
        <f t="shared" ca="1" si="220"/>
        <v>1.0259300808556411</v>
      </c>
      <c r="BZ40" s="71">
        <f t="shared" ca="1" si="221"/>
        <v>3.3015757623472317</v>
      </c>
      <c r="CA40" s="71">
        <f t="shared" ca="1" si="222"/>
        <v>3.2895511630120877</v>
      </c>
      <c r="CB40" s="71">
        <f t="shared" ca="1" si="223"/>
        <v>8.971386966509808</v>
      </c>
      <c r="CC40" s="71">
        <f t="shared" ca="1" si="224"/>
        <v>3.2895511630120877</v>
      </c>
      <c r="CD40" s="71">
        <f t="shared" ca="1" si="225"/>
        <v>3.9546110836017867</v>
      </c>
      <c r="CE40" s="71">
        <f t="shared" ca="1" si="226"/>
        <v>11.489853247914679</v>
      </c>
      <c r="CF40" s="71">
        <f t="shared" ca="1" si="227"/>
        <v>3.9546110836017867</v>
      </c>
      <c r="CG40" s="71">
        <f t="shared" ca="1" si="228"/>
        <v>2.0329900014453397</v>
      </c>
    </row>
    <row r="41" spans="1:85" x14ac:dyDescent="0.25">
      <c r="A41" t="str">
        <f t="shared" si="148"/>
        <v>S. Swärdborn</v>
      </c>
      <c r="B41">
        <f t="shared" si="148"/>
        <v>25</v>
      </c>
      <c r="C41" s="49">
        <f t="shared" ca="1" si="148"/>
        <v>64</v>
      </c>
      <c r="D41" t="str">
        <f t="shared" si="148"/>
        <v>IMP</v>
      </c>
      <c r="E41" s="204">
        <f t="shared" si="148"/>
        <v>43884</v>
      </c>
      <c r="F41" s="150">
        <f t="shared" ca="1" si="149"/>
        <v>1</v>
      </c>
      <c r="G41" s="151">
        <f t="shared" si="150"/>
        <v>6.5</v>
      </c>
      <c r="H41" s="48">
        <f t="shared" si="151"/>
        <v>0</v>
      </c>
      <c r="I41" s="48">
        <f t="shared" si="152"/>
        <v>13.23076923076923</v>
      </c>
      <c r="J41" s="48">
        <f t="shared" si="153"/>
        <v>9.3333333333333339</v>
      </c>
      <c r="K41" s="48">
        <f t="shared" si="154"/>
        <v>1</v>
      </c>
      <c r="L41" s="48">
        <f t="shared" si="155"/>
        <v>3</v>
      </c>
      <c r="M41" s="48">
        <f t="shared" si="156"/>
        <v>7.25</v>
      </c>
      <c r="N41" s="48">
        <f t="shared" si="157"/>
        <v>18.25</v>
      </c>
      <c r="O41" s="151">
        <f t="shared" si="158"/>
        <v>2.7788461538461537</v>
      </c>
      <c r="P41" s="151">
        <f t="shared" ca="1" si="159"/>
        <v>19.077884690907617</v>
      </c>
      <c r="Q41" s="151">
        <f t="shared" si="160"/>
        <v>0.90999999999999992</v>
      </c>
      <c r="R41" s="151">
        <f t="shared" si="161"/>
        <v>1.0767307692307693</v>
      </c>
      <c r="S41" s="151">
        <f t="shared" ca="1" si="162"/>
        <v>20.333884475523806</v>
      </c>
      <c r="T41" s="71">
        <f t="shared" ca="1" si="163"/>
        <v>5.4709234548245922</v>
      </c>
      <c r="U41" s="71">
        <f t="shared" ca="1" si="164"/>
        <v>8.3133717809781587</v>
      </c>
      <c r="V41" s="71">
        <f t="shared" ca="1" si="165"/>
        <v>5.4709234548245922</v>
      </c>
      <c r="W41" s="71">
        <f t="shared" ca="1" si="166"/>
        <v>7.9023613124472076</v>
      </c>
      <c r="X41" s="71">
        <f t="shared" ca="1" si="167"/>
        <v>15.314653706293038</v>
      </c>
      <c r="Y41" s="71">
        <f t="shared" ca="1" si="168"/>
        <v>3.9511806562236038</v>
      </c>
      <c r="Z41" s="71">
        <f t="shared" ca="1" si="169"/>
        <v>2.7172978385079998</v>
      </c>
      <c r="AA41" s="71">
        <f t="shared" ca="1" si="170"/>
        <v>5.7889391009787685</v>
      </c>
      <c r="AB41" s="71">
        <f t="shared" ca="1" si="171"/>
        <v>11.072494629649865</v>
      </c>
      <c r="AC41" s="71">
        <f t="shared" ca="1" si="172"/>
        <v>2.8944695504893843</v>
      </c>
      <c r="AD41" s="71">
        <f t="shared" ca="1" si="173"/>
        <v>4.3956288564100001</v>
      </c>
      <c r="AE41" s="238">
        <f t="shared" ca="1" si="174"/>
        <v>14.089481409789595</v>
      </c>
      <c r="AF41" s="71">
        <f t="shared" ca="1" si="175"/>
        <v>6.3402666344053173</v>
      </c>
      <c r="AG41" s="71">
        <f t="shared" ca="1" si="176"/>
        <v>1.9066753740791429</v>
      </c>
      <c r="AH41" s="238">
        <f t="shared" ca="1" si="177"/>
        <v>1.8133240716079986</v>
      </c>
      <c r="AI41" s="71">
        <f t="shared" ca="1" si="178"/>
        <v>11.547248894544952</v>
      </c>
      <c r="AJ41" s="71">
        <f t="shared" ca="1" si="179"/>
        <v>10.84277482405547</v>
      </c>
      <c r="AK41" s="71">
        <f t="shared" ca="1" si="180"/>
        <v>3.395758707412476</v>
      </c>
      <c r="AL41" s="71">
        <f t="shared" ca="1" si="181"/>
        <v>1.4004664212585487</v>
      </c>
      <c r="AM41" s="71">
        <f t="shared" ca="1" si="182"/>
        <v>4.1349565006991202</v>
      </c>
      <c r="AN41" s="71">
        <f t="shared" ca="1" si="183"/>
        <v>9.0969043015380642</v>
      </c>
      <c r="AO41" s="71">
        <f t="shared" ca="1" si="184"/>
        <v>2.0674782503495601</v>
      </c>
      <c r="AP41" s="71">
        <f t="shared" ca="1" si="185"/>
        <v>10.777853611561142</v>
      </c>
      <c r="AQ41" s="71">
        <f t="shared" ca="1" si="186"/>
        <v>0.66090498181809498</v>
      </c>
      <c r="AR41" s="71">
        <f t="shared" ca="1" si="187"/>
        <v>2.2248281513284756</v>
      </c>
      <c r="AS41" s="71">
        <f t="shared" ca="1" si="188"/>
        <v>0.33045249090904749</v>
      </c>
      <c r="AT41" s="71">
        <f t="shared" ca="1" si="189"/>
        <v>2.8944695504893843</v>
      </c>
      <c r="AU41" s="71">
        <f t="shared" ca="1" si="190"/>
        <v>6.125861482517216</v>
      </c>
      <c r="AV41" s="71">
        <f t="shared" ca="1" si="191"/>
        <v>1.4472347752446921</v>
      </c>
      <c r="AW41" s="71">
        <f t="shared" ca="1" si="192"/>
        <v>11.417217808857142</v>
      </c>
      <c r="AX41" s="71">
        <f t="shared" ca="1" si="193"/>
        <v>1.2862227723075232</v>
      </c>
      <c r="AY41" s="71">
        <f t="shared" ca="1" si="194"/>
        <v>3.6937203460136177</v>
      </c>
      <c r="AZ41" s="71">
        <f t="shared" ca="1" si="195"/>
        <v>0.64311138615376162</v>
      </c>
      <c r="BA41" s="71">
        <f t="shared" ca="1" si="196"/>
        <v>4.4565642285312741</v>
      </c>
      <c r="BB41" s="71">
        <f t="shared" ca="1" si="197"/>
        <v>5.3294994897899768</v>
      </c>
      <c r="BC41" s="71">
        <f t="shared" ca="1" si="198"/>
        <v>10.058568889603142</v>
      </c>
      <c r="BD41" s="71">
        <f t="shared" ca="1" si="199"/>
        <v>3.3715732987406644</v>
      </c>
      <c r="BE41" s="71">
        <f t="shared" ca="1" si="200"/>
        <v>1.2252161586012376</v>
      </c>
      <c r="BF41" s="71">
        <f t="shared" ca="1" si="201"/>
        <v>7.4276070475521232</v>
      </c>
      <c r="BG41" s="71">
        <f t="shared" ca="1" si="202"/>
        <v>4.0430685784613623</v>
      </c>
      <c r="BH41" s="71">
        <f t="shared" ca="1" si="203"/>
        <v>4.3499599851745714</v>
      </c>
      <c r="BI41" s="71">
        <f t="shared" ca="1" si="204"/>
        <v>3.097315031607808</v>
      </c>
      <c r="BJ41" s="71">
        <f t="shared" ca="1" si="205"/>
        <v>0.26436199272723798</v>
      </c>
      <c r="BK41" s="71">
        <f t="shared" ca="1" si="206"/>
        <v>2.7566376671327468</v>
      </c>
      <c r="BL41" s="71">
        <f t="shared" ca="1" si="207"/>
        <v>1.0413964520279266</v>
      </c>
      <c r="BM41" s="71">
        <f t="shared" ca="1" si="208"/>
        <v>3.4822514317014281</v>
      </c>
      <c r="BN41" s="71">
        <f t="shared" ca="1" si="209"/>
        <v>4.5378754355236159</v>
      </c>
      <c r="BO41" s="71">
        <f t="shared" ca="1" si="210"/>
        <v>0.68632440419571406</v>
      </c>
      <c r="BP41" s="71">
        <f t="shared" ca="1" si="211"/>
        <v>4.3493616525872225</v>
      </c>
      <c r="BQ41" s="71">
        <f t="shared" ca="1" si="212"/>
        <v>3.7367755043355011</v>
      </c>
      <c r="BR41" s="71">
        <f t="shared" ca="1" si="213"/>
        <v>5.1948341030299998</v>
      </c>
      <c r="BS41" s="71">
        <f t="shared" ca="1" si="214"/>
        <v>3.9049439988803787</v>
      </c>
      <c r="BT41" s="71">
        <f t="shared" ca="1" si="215"/>
        <v>0.61515002153838061</v>
      </c>
      <c r="BU41" s="71">
        <f t="shared" ca="1" si="216"/>
        <v>4.3493616525872225</v>
      </c>
      <c r="BV41" s="71">
        <f t="shared" ca="1" si="217"/>
        <v>3.7367755043355011</v>
      </c>
      <c r="BW41" s="71">
        <f t="shared" ca="1" si="218"/>
        <v>7.2042644373888569</v>
      </c>
      <c r="BX41" s="71">
        <f t="shared" ca="1" si="219"/>
        <v>3.1460766055938074</v>
      </c>
      <c r="BY41" s="71">
        <f t="shared" ca="1" si="220"/>
        <v>0.7524149023775234</v>
      </c>
      <c r="BZ41" s="71">
        <f t="shared" ca="1" si="221"/>
        <v>4.6353904303959999</v>
      </c>
      <c r="CA41" s="71">
        <f t="shared" ca="1" si="222"/>
        <v>2.9004538117479037</v>
      </c>
      <c r="CB41" s="71">
        <f t="shared" ca="1" si="223"/>
        <v>8.2022039194398069</v>
      </c>
      <c r="CC41" s="71">
        <f t="shared" ca="1" si="224"/>
        <v>2.9004538117479037</v>
      </c>
      <c r="CD41" s="71">
        <f t="shared" ca="1" si="225"/>
        <v>3.8302600282513324</v>
      </c>
      <c r="CE41" s="71">
        <f t="shared" ca="1" si="226"/>
        <v>11.209837846992093</v>
      </c>
      <c r="CF41" s="71">
        <f t="shared" ca="1" si="227"/>
        <v>3.8302600282513324</v>
      </c>
      <c r="CG41" s="71">
        <f t="shared" ca="1" si="228"/>
        <v>2.8543044522142855</v>
      </c>
    </row>
    <row r="42" spans="1:85" x14ac:dyDescent="0.25">
      <c r="A42" t="str">
        <f t="shared" si="148"/>
        <v>A. Grimaud</v>
      </c>
      <c r="B42">
        <f t="shared" si="148"/>
        <v>25</v>
      </c>
      <c r="C42" s="49">
        <f t="shared" ca="1" si="148"/>
        <v>87</v>
      </c>
      <c r="D42" t="str">
        <f t="shared" si="148"/>
        <v>RAP</v>
      </c>
      <c r="E42" s="204">
        <f t="shared" si="148"/>
        <v>43739</v>
      </c>
      <c r="F42" s="150">
        <f t="shared" ca="1" si="149"/>
        <v>1</v>
      </c>
      <c r="G42" s="151">
        <f t="shared" si="150"/>
        <v>6.9</v>
      </c>
      <c r="H42" s="48">
        <f t="shared" si="151"/>
        <v>0</v>
      </c>
      <c r="I42" s="48">
        <f t="shared" si="152"/>
        <v>13.23076923076923</v>
      </c>
      <c r="J42" s="48">
        <f t="shared" si="153"/>
        <v>9.5</v>
      </c>
      <c r="K42" s="48">
        <f t="shared" si="154"/>
        <v>3</v>
      </c>
      <c r="L42" s="48">
        <f t="shared" si="155"/>
        <v>3</v>
      </c>
      <c r="M42" s="48">
        <f t="shared" si="156"/>
        <v>6.125</v>
      </c>
      <c r="N42" s="48">
        <f t="shared" si="157"/>
        <v>17.75</v>
      </c>
      <c r="O42" s="151">
        <f t="shared" si="158"/>
        <v>2.7788461538461537</v>
      </c>
      <c r="P42" s="151">
        <f t="shared" ca="1" si="159"/>
        <v>17.011808654039108</v>
      </c>
      <c r="Q42" s="151">
        <f t="shared" si="160"/>
        <v>0.83874999999999988</v>
      </c>
      <c r="R42" s="151">
        <f t="shared" si="161"/>
        <v>1.0617307692307691</v>
      </c>
      <c r="S42" s="151">
        <f t="shared" ca="1" si="162"/>
        <v>19.86846545431634</v>
      </c>
      <c r="T42" s="71">
        <f t="shared" ca="1" si="163"/>
        <v>5.5011126493104729</v>
      </c>
      <c r="U42" s="71">
        <f t="shared" ca="1" si="164"/>
        <v>8.3580158245993186</v>
      </c>
      <c r="V42" s="71">
        <f t="shared" ca="1" si="165"/>
        <v>5.5011126493104729</v>
      </c>
      <c r="W42" s="71">
        <f t="shared" ca="1" si="166"/>
        <v>7.9202050975041542</v>
      </c>
      <c r="X42" s="71">
        <f t="shared" ca="1" si="167"/>
        <v>15.34923468508557</v>
      </c>
      <c r="Y42" s="71">
        <f t="shared" ca="1" si="168"/>
        <v>3.9601025487520771</v>
      </c>
      <c r="Z42" s="71">
        <f t="shared" ca="1" si="169"/>
        <v>2.7651947781272885</v>
      </c>
      <c r="AA42" s="71">
        <f t="shared" ca="1" si="170"/>
        <v>5.8020107109623451</v>
      </c>
      <c r="AB42" s="71">
        <f t="shared" ca="1" si="171"/>
        <v>11.097496677316867</v>
      </c>
      <c r="AC42" s="71">
        <f t="shared" ca="1" si="172"/>
        <v>2.9010053554811726</v>
      </c>
      <c r="AD42" s="71">
        <f t="shared" ca="1" si="173"/>
        <v>4.4731091999117911</v>
      </c>
      <c r="AE42" s="238">
        <f t="shared" ca="1" si="174"/>
        <v>14.121295910278725</v>
      </c>
      <c r="AF42" s="71">
        <f t="shared" ca="1" si="175"/>
        <v>6.3545831596254256</v>
      </c>
      <c r="AG42" s="71">
        <f t="shared" ca="1" si="176"/>
        <v>1.9402837308708289</v>
      </c>
      <c r="AH42" s="238">
        <f t="shared" ca="1" si="177"/>
        <v>3.0096576871380081</v>
      </c>
      <c r="AI42" s="71">
        <f t="shared" ca="1" si="178"/>
        <v>11.57332295255452</v>
      </c>
      <c r="AJ42" s="71">
        <f t="shared" ca="1" si="179"/>
        <v>10.867258157040583</v>
      </c>
      <c r="AK42" s="71">
        <f t="shared" ca="1" si="180"/>
        <v>3.318033730870829</v>
      </c>
      <c r="AL42" s="71">
        <f t="shared" ca="1" si="181"/>
        <v>1.4104257431507981</v>
      </c>
      <c r="AM42" s="71">
        <f t="shared" ca="1" si="182"/>
        <v>4.1442933649731044</v>
      </c>
      <c r="AN42" s="71">
        <f t="shared" ca="1" si="183"/>
        <v>9.1174454029408274</v>
      </c>
      <c r="AO42" s="71">
        <f t="shared" ca="1" si="184"/>
        <v>2.0721466824865522</v>
      </c>
      <c r="AP42" s="71">
        <f t="shared" ca="1" si="185"/>
        <v>10.967831388874623</v>
      </c>
      <c r="AQ42" s="71">
        <f t="shared" ca="1" si="186"/>
        <v>0.66540050906112425</v>
      </c>
      <c r="AR42" s="71">
        <f t="shared" ca="1" si="187"/>
        <v>2.0403353781146873</v>
      </c>
      <c r="AS42" s="71">
        <f t="shared" ca="1" si="188"/>
        <v>0.33270025453056212</v>
      </c>
      <c r="AT42" s="71">
        <f t="shared" ca="1" si="189"/>
        <v>2.9010053554811726</v>
      </c>
      <c r="AU42" s="71">
        <f t="shared" ca="1" si="190"/>
        <v>6.1396938740342284</v>
      </c>
      <c r="AV42" s="71">
        <f t="shared" ca="1" si="191"/>
        <v>1.4505026777405863</v>
      </c>
      <c r="AW42" s="71">
        <f t="shared" ca="1" si="192"/>
        <v>11.61846545431634</v>
      </c>
      <c r="AX42" s="71">
        <f t="shared" ca="1" si="193"/>
        <v>1.2949717599420343</v>
      </c>
      <c r="AY42" s="71">
        <f t="shared" ca="1" si="194"/>
        <v>3.4765244653283034</v>
      </c>
      <c r="AZ42" s="71">
        <f t="shared" ca="1" si="195"/>
        <v>0.64748587997101714</v>
      </c>
      <c r="BA42" s="71">
        <f t="shared" ca="1" si="196"/>
        <v>4.4666272933599007</v>
      </c>
      <c r="BB42" s="71">
        <f t="shared" ca="1" si="197"/>
        <v>5.3415336704097776</v>
      </c>
      <c r="BC42" s="71">
        <f t="shared" ca="1" si="198"/>
        <v>10.235868065252696</v>
      </c>
      <c r="BD42" s="71">
        <f t="shared" ca="1" si="199"/>
        <v>4.550315788887227</v>
      </c>
      <c r="BE42" s="71">
        <f t="shared" ca="1" si="200"/>
        <v>1.233550174490238</v>
      </c>
      <c r="BF42" s="71">
        <f t="shared" ca="1" si="201"/>
        <v>7.4443788222665015</v>
      </c>
      <c r="BG42" s="71">
        <f t="shared" ca="1" si="202"/>
        <v>4.0521979568625905</v>
      </c>
      <c r="BH42" s="71">
        <f t="shared" ca="1" si="203"/>
        <v>4.4266353380945258</v>
      </c>
      <c r="BI42" s="71">
        <f t="shared" ca="1" si="204"/>
        <v>4.4735388070724822</v>
      </c>
      <c r="BJ42" s="71">
        <f t="shared" ca="1" si="205"/>
        <v>0.2661602036244497</v>
      </c>
      <c r="BK42" s="71">
        <f t="shared" ca="1" si="206"/>
        <v>2.7628622433154026</v>
      </c>
      <c r="BL42" s="71">
        <f t="shared" ca="1" si="207"/>
        <v>1.0437479585858187</v>
      </c>
      <c r="BM42" s="71">
        <f t="shared" ca="1" si="208"/>
        <v>3.5436319635664835</v>
      </c>
      <c r="BN42" s="71">
        <f t="shared" ca="1" si="209"/>
        <v>6.5823465742508134</v>
      </c>
      <c r="BO42" s="71">
        <f t="shared" ca="1" si="210"/>
        <v>0.69099283633270603</v>
      </c>
      <c r="BP42" s="71">
        <f t="shared" ca="1" si="211"/>
        <v>4.3591826505643017</v>
      </c>
      <c r="BQ42" s="71">
        <f t="shared" ca="1" si="212"/>
        <v>3.745213263160879</v>
      </c>
      <c r="BR42" s="71">
        <f t="shared" ca="1" si="213"/>
        <v>5.286401781713935</v>
      </c>
      <c r="BS42" s="71">
        <f t="shared" ca="1" si="214"/>
        <v>5.6712597233825051</v>
      </c>
      <c r="BT42" s="71">
        <f t="shared" ca="1" si="215"/>
        <v>0.61933431997227717</v>
      </c>
      <c r="BU42" s="71">
        <f t="shared" ca="1" si="216"/>
        <v>4.3591826505643017</v>
      </c>
      <c r="BV42" s="71">
        <f t="shared" ca="1" si="217"/>
        <v>3.745213263160879</v>
      </c>
      <c r="BW42" s="71">
        <f t="shared" ca="1" si="218"/>
        <v>7.3312517016736107</v>
      </c>
      <c r="BX42" s="71">
        <f t="shared" ca="1" si="219"/>
        <v>4.5810265816131244</v>
      </c>
      <c r="BY42" s="71">
        <f t="shared" ca="1" si="220"/>
        <v>0.7575328872388184</v>
      </c>
      <c r="BZ42" s="71">
        <f t="shared" ca="1" si="221"/>
        <v>4.717096974452434</v>
      </c>
      <c r="CA42" s="71">
        <f t="shared" ca="1" si="222"/>
        <v>3.0635955016988135</v>
      </c>
      <c r="CB42" s="71">
        <f t="shared" ca="1" si="223"/>
        <v>7.5852671015601993</v>
      </c>
      <c r="CC42" s="71">
        <f t="shared" ca="1" si="224"/>
        <v>3.0635955016988135</v>
      </c>
      <c r="CD42" s="71">
        <f t="shared" ca="1" si="225"/>
        <v>4.00130397803908</v>
      </c>
      <c r="CE42" s="71">
        <f t="shared" ca="1" si="226"/>
        <v>10.132179206959069</v>
      </c>
      <c r="CF42" s="71">
        <f t="shared" ca="1" si="227"/>
        <v>4.00130397803908</v>
      </c>
      <c r="CG42" s="71">
        <f t="shared" ca="1" si="228"/>
        <v>2.9046163635790849</v>
      </c>
    </row>
    <row r="43" spans="1:85" x14ac:dyDescent="0.25">
      <c r="A43" t="str">
        <f t="shared" si="148"/>
        <v>E. Deus</v>
      </c>
      <c r="B43">
        <f t="shared" si="148"/>
        <v>25</v>
      </c>
      <c r="C43" s="49">
        <f t="shared" ca="1" si="148"/>
        <v>3</v>
      </c>
      <c r="D43" t="str">
        <f t="shared" si="148"/>
        <v>IMP</v>
      </c>
      <c r="E43" s="204">
        <f t="shared" si="148"/>
        <v>43898</v>
      </c>
      <c r="F43" s="150">
        <f t="shared" ca="1" si="149"/>
        <v>1</v>
      </c>
      <c r="G43" s="151">
        <f t="shared" si="150"/>
        <v>5.6</v>
      </c>
      <c r="H43" s="48">
        <f t="shared" si="151"/>
        <v>0</v>
      </c>
      <c r="I43" s="48">
        <f t="shared" si="152"/>
        <v>12.333333333333334</v>
      </c>
      <c r="J43" s="48">
        <f t="shared" si="153"/>
        <v>8.8000000000000007</v>
      </c>
      <c r="K43" s="48">
        <f t="shared" si="154"/>
        <v>1</v>
      </c>
      <c r="L43" s="48">
        <f t="shared" si="155"/>
        <v>6</v>
      </c>
      <c r="M43" s="48">
        <f t="shared" si="156"/>
        <v>6</v>
      </c>
      <c r="N43" s="48">
        <f t="shared" si="157"/>
        <v>18.5</v>
      </c>
      <c r="O43" s="151">
        <f t="shared" si="158"/>
        <v>3.416666666666667</v>
      </c>
      <c r="P43" s="151">
        <f t="shared" ca="1" si="159"/>
        <v>16.949660719578269</v>
      </c>
      <c r="Q43" s="151">
        <f t="shared" si="160"/>
        <v>0.85500000000000009</v>
      </c>
      <c r="R43" s="151">
        <f t="shared" si="161"/>
        <v>1.0483333333333333</v>
      </c>
      <c r="S43" s="151">
        <f t="shared" ca="1" si="162"/>
        <v>20.497584036008266</v>
      </c>
      <c r="T43" s="71">
        <f t="shared" ca="1" si="163"/>
        <v>5.147890863435217</v>
      </c>
      <c r="U43" s="71">
        <f t="shared" ca="1" si="164"/>
        <v>7.8205476571533392</v>
      </c>
      <c r="V43" s="71">
        <f t="shared" ca="1" si="165"/>
        <v>5.147890863435217</v>
      </c>
      <c r="W43" s="71">
        <f t="shared" ca="1" si="166"/>
        <v>7.3947533625802659</v>
      </c>
      <c r="X43" s="71">
        <f t="shared" ca="1" si="167"/>
        <v>14.3309173693416</v>
      </c>
      <c r="Y43" s="71">
        <f t="shared" ca="1" si="168"/>
        <v>3.697376681290133</v>
      </c>
      <c r="Z43" s="71">
        <f t="shared" ca="1" si="169"/>
        <v>2.5698250005699674</v>
      </c>
      <c r="AA43" s="71">
        <f t="shared" ca="1" si="170"/>
        <v>5.417086765611125</v>
      </c>
      <c r="AB43" s="71">
        <f t="shared" ca="1" si="171"/>
        <v>10.361253258033976</v>
      </c>
      <c r="AC43" s="71">
        <f t="shared" ca="1" si="172"/>
        <v>2.7085433828055625</v>
      </c>
      <c r="AD43" s="71">
        <f t="shared" ca="1" si="173"/>
        <v>4.1570698538631827</v>
      </c>
      <c r="AE43" s="238">
        <f t="shared" ca="1" si="174"/>
        <v>13.184443979794272</v>
      </c>
      <c r="AF43" s="71">
        <f t="shared" ca="1" si="175"/>
        <v>5.9329997909074219</v>
      </c>
      <c r="AG43" s="71">
        <f t="shared" ca="1" si="176"/>
        <v>1.8031965340133806</v>
      </c>
      <c r="AH43" s="238">
        <f t="shared" ca="1" si="177"/>
        <v>1.7625794131728612</v>
      </c>
      <c r="AI43" s="71">
        <f t="shared" ca="1" si="178"/>
        <v>10.805511696483567</v>
      </c>
      <c r="AJ43" s="71">
        <f t="shared" ca="1" si="179"/>
        <v>10.146289497493852</v>
      </c>
      <c r="AK43" s="71">
        <f t="shared" ca="1" si="180"/>
        <v>3.4230965340133808</v>
      </c>
      <c r="AL43" s="71">
        <f t="shared" ca="1" si="181"/>
        <v>1.5593042023703809</v>
      </c>
      <c r="AM43" s="71">
        <f t="shared" ca="1" si="182"/>
        <v>3.8693476897222325</v>
      </c>
      <c r="AN43" s="71">
        <f t="shared" ca="1" si="183"/>
        <v>8.5125649173889109</v>
      </c>
      <c r="AO43" s="71">
        <f t="shared" ca="1" si="184"/>
        <v>1.9346738448611163</v>
      </c>
      <c r="AP43" s="71">
        <f t="shared" ca="1" si="185"/>
        <v>10.192919329991804</v>
      </c>
      <c r="AQ43" s="71">
        <f t="shared" ca="1" si="186"/>
        <v>1.0396859246810748</v>
      </c>
      <c r="AR43" s="71">
        <f t="shared" ca="1" si="187"/>
        <v>2.3432921225504222</v>
      </c>
      <c r="AS43" s="71">
        <f t="shared" ca="1" si="188"/>
        <v>0.5198429623405374</v>
      </c>
      <c r="AT43" s="71">
        <f t="shared" ca="1" si="189"/>
        <v>2.7085433828055625</v>
      </c>
      <c r="AU43" s="71">
        <f t="shared" ca="1" si="190"/>
        <v>5.7323669477366401</v>
      </c>
      <c r="AV43" s="71">
        <f t="shared" ca="1" si="191"/>
        <v>1.3542716914027813</v>
      </c>
      <c r="AW43" s="71">
        <f t="shared" ca="1" si="192"/>
        <v>10.797584036008267</v>
      </c>
      <c r="AX43" s="71">
        <f t="shared" ca="1" si="193"/>
        <v>2.0233887611100916</v>
      </c>
      <c r="AY43" s="71">
        <f t="shared" ca="1" si="194"/>
        <v>4.4066688038405548</v>
      </c>
      <c r="AZ43" s="71">
        <f t="shared" ca="1" si="195"/>
        <v>1.0116943805550458</v>
      </c>
      <c r="BA43" s="71">
        <f t="shared" ca="1" si="196"/>
        <v>4.1702969544784052</v>
      </c>
      <c r="BB43" s="71">
        <f t="shared" ca="1" si="197"/>
        <v>4.9871592445308766</v>
      </c>
      <c r="BC43" s="71">
        <f t="shared" ca="1" si="198"/>
        <v>9.5126715357232836</v>
      </c>
      <c r="BD43" s="71">
        <f t="shared" ca="1" si="199"/>
        <v>4.2398522080113494</v>
      </c>
      <c r="BE43" s="71">
        <f t="shared" ca="1" si="200"/>
        <v>1.9274177526779923</v>
      </c>
      <c r="BF43" s="71">
        <f t="shared" ca="1" si="201"/>
        <v>6.9504949241306759</v>
      </c>
      <c r="BG43" s="71">
        <f t="shared" ca="1" si="202"/>
        <v>3.7833621855061828</v>
      </c>
      <c r="BH43" s="71">
        <f t="shared" ca="1" si="203"/>
        <v>4.1138795177191501</v>
      </c>
      <c r="BI43" s="71">
        <f t="shared" ca="1" si="204"/>
        <v>3.6248884474712257</v>
      </c>
      <c r="BJ43" s="71">
        <f t="shared" ca="1" si="205"/>
        <v>0.41587436987242987</v>
      </c>
      <c r="BK43" s="71">
        <f t="shared" ca="1" si="206"/>
        <v>2.5795651264814881</v>
      </c>
      <c r="BL43" s="71">
        <f t="shared" ca="1" si="207"/>
        <v>0.97450238111522891</v>
      </c>
      <c r="BM43" s="71">
        <f t="shared" ca="1" si="208"/>
        <v>3.2932631309825213</v>
      </c>
      <c r="BN43" s="71">
        <f t="shared" ca="1" si="209"/>
        <v>5.2848930703066319</v>
      </c>
      <c r="BO43" s="71">
        <f t="shared" ca="1" si="210"/>
        <v>1.0796738448611161</v>
      </c>
      <c r="BP43" s="71">
        <f t="shared" ca="1" si="211"/>
        <v>4.0699805328930143</v>
      </c>
      <c r="BQ43" s="71">
        <f t="shared" ca="1" si="212"/>
        <v>3.4967438381193503</v>
      </c>
      <c r="BR43" s="71">
        <f t="shared" ca="1" si="213"/>
        <v>4.9129007363837616</v>
      </c>
      <c r="BS43" s="71">
        <f t="shared" ca="1" si="214"/>
        <v>4.5413231118971602</v>
      </c>
      <c r="BT43" s="71">
        <f t="shared" ca="1" si="215"/>
        <v>0.96770766835700028</v>
      </c>
      <c r="BU43" s="71">
        <f t="shared" ca="1" si="216"/>
        <v>4.0699805328930143</v>
      </c>
      <c r="BV43" s="71">
        <f t="shared" ca="1" si="217"/>
        <v>3.4967438381193503</v>
      </c>
      <c r="BW43" s="71">
        <f t="shared" ca="1" si="218"/>
        <v>6.8132755267212168</v>
      </c>
      <c r="BX43" s="71">
        <f t="shared" ca="1" si="219"/>
        <v>3.6478377122273988</v>
      </c>
      <c r="BY43" s="71">
        <f t="shared" ca="1" si="220"/>
        <v>1.1836424373292236</v>
      </c>
      <c r="BZ43" s="71">
        <f t="shared" ca="1" si="221"/>
        <v>4.3838191186193569</v>
      </c>
      <c r="CA43" s="71">
        <f t="shared" ca="1" si="222"/>
        <v>3.446741282760307</v>
      </c>
      <c r="CB43" s="71">
        <f t="shared" ca="1" si="223"/>
        <v>9.0052796245453095</v>
      </c>
      <c r="CC43" s="71">
        <f t="shared" ca="1" si="224"/>
        <v>3.446741282760307</v>
      </c>
      <c r="CD43" s="71">
        <f t="shared" ca="1" si="225"/>
        <v>3.8774948544331505</v>
      </c>
      <c r="CE43" s="71">
        <f t="shared" ca="1" si="226"/>
        <v>10.948692545295318</v>
      </c>
      <c r="CF43" s="71">
        <f t="shared" ca="1" si="227"/>
        <v>3.8774948544331505</v>
      </c>
      <c r="CG43" s="71">
        <f t="shared" ca="1" si="228"/>
        <v>2.6993960090020668</v>
      </c>
    </row>
    <row r="44" spans="1:85" x14ac:dyDescent="0.25">
      <c r="A44" t="str">
        <f t="shared" si="148"/>
        <v>M.A. Balbinot</v>
      </c>
      <c r="B44">
        <f t="shared" si="148"/>
        <v>29</v>
      </c>
      <c r="C44" s="49">
        <f t="shared" ca="1" si="148"/>
        <v>53</v>
      </c>
      <c r="D44" t="str">
        <f t="shared" si="148"/>
        <v>RAP</v>
      </c>
      <c r="E44" s="204">
        <f t="shared" si="148"/>
        <v>44307</v>
      </c>
      <c r="F44" s="150">
        <f t="shared" ca="1" si="149"/>
        <v>0.49220902087256579</v>
      </c>
      <c r="G44" s="151">
        <f t="shared" si="150"/>
        <v>8.9</v>
      </c>
      <c r="H44" s="48">
        <f t="shared" si="151"/>
        <v>0</v>
      </c>
      <c r="I44" s="48">
        <f t="shared" si="152"/>
        <v>8</v>
      </c>
      <c r="J44" s="48">
        <f t="shared" si="153"/>
        <v>14</v>
      </c>
      <c r="K44" s="48">
        <f t="shared" si="154"/>
        <v>7</v>
      </c>
      <c r="L44" s="48">
        <f t="shared" si="155"/>
        <v>8</v>
      </c>
      <c r="M44" s="48">
        <f t="shared" si="156"/>
        <v>9.0625</v>
      </c>
      <c r="N44" s="48">
        <f t="shared" si="157"/>
        <v>15.5</v>
      </c>
      <c r="O44" s="151">
        <f t="shared" si="158"/>
        <v>3.375</v>
      </c>
      <c r="P44" s="151">
        <f t="shared" ca="1" si="159"/>
        <v>19.854067822375377</v>
      </c>
      <c r="Q44" s="151">
        <f t="shared" si="160"/>
        <v>0.91812499999999986</v>
      </c>
      <c r="R44" s="151">
        <f t="shared" si="161"/>
        <v>0.78499999999999992</v>
      </c>
      <c r="S44" s="151">
        <f t="shared" ca="1" si="162"/>
        <v>17.340620375744329</v>
      </c>
      <c r="T44" s="71">
        <f t="shared" ca="1" si="163"/>
        <v>3.7427884429564284</v>
      </c>
      <c r="U44" s="71">
        <f t="shared" ca="1" si="164"/>
        <v>5.6696585107179249</v>
      </c>
      <c r="V44" s="71">
        <f t="shared" ca="1" si="165"/>
        <v>3.7427884429564284</v>
      </c>
      <c r="W44" s="71">
        <f t="shared" ca="1" si="166"/>
        <v>5.0351601793419443</v>
      </c>
      <c r="X44" s="71">
        <f t="shared" ca="1" si="167"/>
        <v>9.7580623630657826</v>
      </c>
      <c r="Y44" s="71">
        <f t="shared" ca="1" si="168"/>
        <v>2.5175800896709721</v>
      </c>
      <c r="Z44" s="71">
        <f t="shared" ca="1" si="169"/>
        <v>3.7504188424096561</v>
      </c>
      <c r="AA44" s="71">
        <f t="shared" ca="1" si="170"/>
        <v>3.688547573238866</v>
      </c>
      <c r="AB44" s="71">
        <f t="shared" ca="1" si="171"/>
        <v>7.0550790884965604</v>
      </c>
      <c r="AC44" s="71">
        <f t="shared" ca="1" si="172"/>
        <v>1.844273786619433</v>
      </c>
      <c r="AD44" s="71">
        <f t="shared" ca="1" si="173"/>
        <v>6.0668540097803261</v>
      </c>
      <c r="AE44" s="238">
        <f t="shared" ca="1" si="174"/>
        <v>8.9774173740205203</v>
      </c>
      <c r="AF44" s="71">
        <f t="shared" ca="1" si="175"/>
        <v>4.0398378183092341</v>
      </c>
      <c r="AG44" s="71">
        <f t="shared" ca="1" si="176"/>
        <v>2.6315964146319857</v>
      </c>
      <c r="AH44" s="238">
        <f t="shared" ca="1" si="177"/>
        <v>5.1497406694826795</v>
      </c>
      <c r="AI44" s="71">
        <f t="shared" ca="1" si="178"/>
        <v>7.3575790217515999</v>
      </c>
      <c r="AJ44" s="71">
        <f t="shared" ca="1" si="179"/>
        <v>6.9087081530505738</v>
      </c>
      <c r="AK44" s="71">
        <f t="shared" ca="1" si="180"/>
        <v>2.8820964146319858</v>
      </c>
      <c r="AL44" s="71">
        <f t="shared" ca="1" si="181"/>
        <v>1.4783219605629452</v>
      </c>
      <c r="AM44" s="71">
        <f t="shared" ca="1" si="182"/>
        <v>2.6346768380277616</v>
      </c>
      <c r="AN44" s="71">
        <f t="shared" ca="1" si="183"/>
        <v>5.7962890436610746</v>
      </c>
      <c r="AO44" s="71">
        <f t="shared" ca="1" si="184"/>
        <v>1.3173384190138808</v>
      </c>
      <c r="AP44" s="71">
        <f t="shared" ca="1" si="185"/>
        <v>14.875610870734098</v>
      </c>
      <c r="AQ44" s="71">
        <f t="shared" ca="1" si="186"/>
        <v>1.2685481071985518</v>
      </c>
      <c r="AR44" s="71">
        <f t="shared" ca="1" si="187"/>
        <v>3.042924772378274</v>
      </c>
      <c r="AS44" s="71">
        <f t="shared" ca="1" si="188"/>
        <v>0.63427405359927591</v>
      </c>
      <c r="AT44" s="71">
        <f t="shared" ca="1" si="189"/>
        <v>1.844273786619433</v>
      </c>
      <c r="AU44" s="71">
        <f t="shared" ca="1" si="190"/>
        <v>3.903224945226313</v>
      </c>
      <c r="AV44" s="71">
        <f t="shared" ca="1" si="191"/>
        <v>0.92213689330971649</v>
      </c>
      <c r="AW44" s="71">
        <f t="shared" ca="1" si="192"/>
        <v>15.758062363065783</v>
      </c>
      <c r="AX44" s="71">
        <f t="shared" ca="1" si="193"/>
        <v>2.4687897778556431</v>
      </c>
      <c r="AY44" s="71">
        <f t="shared" ca="1" si="194"/>
        <v>5.5998173620492464</v>
      </c>
      <c r="AZ44" s="71">
        <f t="shared" ca="1" si="195"/>
        <v>1.2343948889278216</v>
      </c>
      <c r="BA44" s="71">
        <f t="shared" ca="1" si="196"/>
        <v>2.8395961476521427</v>
      </c>
      <c r="BB44" s="71">
        <f t="shared" ca="1" si="197"/>
        <v>3.3958057023468919</v>
      </c>
      <c r="BC44" s="71">
        <f t="shared" ca="1" si="198"/>
        <v>13.882852941860955</v>
      </c>
      <c r="BD44" s="71">
        <f t="shared" ca="1" si="199"/>
        <v>8.10091744076548</v>
      </c>
      <c r="BE44" s="71">
        <f t="shared" ca="1" si="200"/>
        <v>2.3516930294988536</v>
      </c>
      <c r="BF44" s="71">
        <f t="shared" ca="1" si="201"/>
        <v>4.7326602460869047</v>
      </c>
      <c r="BG44" s="71">
        <f t="shared" ca="1" si="202"/>
        <v>2.5761284638493667</v>
      </c>
      <c r="BH44" s="71">
        <f t="shared" ca="1" si="203"/>
        <v>6.003821760328063</v>
      </c>
      <c r="BI44" s="71">
        <f t="shared" ca="1" si="204"/>
        <v>7.8555465053194951</v>
      </c>
      <c r="BJ44" s="71">
        <f t="shared" ca="1" si="205"/>
        <v>0.50741924287942064</v>
      </c>
      <c r="BK44" s="71">
        <f t="shared" ca="1" si="206"/>
        <v>1.7564512253518407</v>
      </c>
      <c r="BL44" s="71">
        <f t="shared" ca="1" si="207"/>
        <v>0.66354824068847329</v>
      </c>
      <c r="BM44" s="71">
        <f t="shared" ca="1" si="208"/>
        <v>4.8062090207350634</v>
      </c>
      <c r="BN44" s="71">
        <f t="shared" ca="1" si="209"/>
        <v>11.548868198902596</v>
      </c>
      <c r="BO44" s="71">
        <f t="shared" ca="1" si="210"/>
        <v>1.3173384190138808</v>
      </c>
      <c r="BP44" s="71">
        <f t="shared" ca="1" si="211"/>
        <v>2.7712897111106818</v>
      </c>
      <c r="BQ44" s="71">
        <f t="shared" ca="1" si="212"/>
        <v>2.3809672165880511</v>
      </c>
      <c r="BR44" s="71">
        <f t="shared" ca="1" si="213"/>
        <v>7.1699183751949311</v>
      </c>
      <c r="BS44" s="71">
        <f t="shared" ca="1" si="214"/>
        <v>9.9479330982768879</v>
      </c>
      <c r="BT44" s="71">
        <f t="shared" ca="1" si="215"/>
        <v>1.1807255459309596</v>
      </c>
      <c r="BU44" s="71">
        <f t="shared" ca="1" si="216"/>
        <v>2.7712897111106818</v>
      </c>
      <c r="BV44" s="71">
        <f t="shared" ca="1" si="217"/>
        <v>2.3809672165880511</v>
      </c>
      <c r="BW44" s="71">
        <f t="shared" ca="1" si="218"/>
        <v>9.9433373510945096</v>
      </c>
      <c r="BX44" s="71">
        <f t="shared" ca="1" si="219"/>
        <v>8.0314658149438749</v>
      </c>
      <c r="BY44" s="71">
        <f t="shared" ca="1" si="220"/>
        <v>1.4441932297337357</v>
      </c>
      <c r="BZ44" s="71">
        <f t="shared" ca="1" si="221"/>
        <v>6.3977733194047079</v>
      </c>
      <c r="CA44" s="71">
        <f t="shared" ca="1" si="222"/>
        <v>5.0748879911572722</v>
      </c>
      <c r="CB44" s="71">
        <f t="shared" ca="1" si="223"/>
        <v>11.607015720812072</v>
      </c>
      <c r="CC44" s="71">
        <f t="shared" ca="1" si="224"/>
        <v>5.0748879911572722</v>
      </c>
      <c r="CD44" s="71">
        <f t="shared" ca="1" si="225"/>
        <v>6.2665485067631153</v>
      </c>
      <c r="CE44" s="71">
        <f t="shared" ca="1" si="226"/>
        <v>14.421287375037057</v>
      </c>
      <c r="CF44" s="71">
        <f t="shared" ca="1" si="227"/>
        <v>6.2665485067631153</v>
      </c>
      <c r="CG44" s="71">
        <f t="shared" ca="1" si="228"/>
        <v>3.9395155907664456</v>
      </c>
    </row>
    <row r="45" spans="1:85" x14ac:dyDescent="0.25">
      <c r="A45" t="str">
        <f t="shared" si="148"/>
        <v>P. Tuderek</v>
      </c>
      <c r="B45">
        <f t="shared" si="148"/>
        <v>25</v>
      </c>
      <c r="C45" s="49">
        <f t="shared" ca="1" si="148"/>
        <v>65</v>
      </c>
      <c r="D45" t="str">
        <f t="shared" si="148"/>
        <v>CAB</v>
      </c>
      <c r="E45" s="204">
        <f t="shared" si="148"/>
        <v>43626</v>
      </c>
      <c r="F45" s="150">
        <f t="shared" ca="1" si="149"/>
        <v>1</v>
      </c>
      <c r="G45" s="151">
        <f t="shared" si="150"/>
        <v>5.2</v>
      </c>
      <c r="H45" s="48">
        <f t="shared" si="151"/>
        <v>0</v>
      </c>
      <c r="I45" s="48">
        <f t="shared" si="152"/>
        <v>8.8333333333333339</v>
      </c>
      <c r="J45" s="48">
        <f t="shared" si="153"/>
        <v>13.909090909090908</v>
      </c>
      <c r="K45" s="48">
        <f t="shared" si="154"/>
        <v>2</v>
      </c>
      <c r="L45" s="48">
        <f t="shared" si="155"/>
        <v>3</v>
      </c>
      <c r="M45" s="48">
        <f t="shared" si="156"/>
        <v>7.416666666666667</v>
      </c>
      <c r="N45" s="48">
        <f t="shared" si="157"/>
        <v>19.600000000000001</v>
      </c>
      <c r="O45" s="151">
        <f t="shared" si="158"/>
        <v>2.229166666666667</v>
      </c>
      <c r="P45" s="151">
        <f t="shared" ca="1" si="159"/>
        <v>19.811489852577211</v>
      </c>
      <c r="Q45" s="151">
        <f t="shared" si="160"/>
        <v>0.95883333333333332</v>
      </c>
      <c r="R45" s="151">
        <f t="shared" si="161"/>
        <v>0.94133333333333336</v>
      </c>
      <c r="S45" s="151">
        <f t="shared" ca="1" si="162"/>
        <v>21.554671124846401</v>
      </c>
      <c r="T45" s="71">
        <f t="shared" ca="1" si="163"/>
        <v>4.1444278919909063</v>
      </c>
      <c r="U45" s="71">
        <f t="shared" ca="1" si="164"/>
        <v>6.2776470888433682</v>
      </c>
      <c r="V45" s="71">
        <f t="shared" ca="1" si="165"/>
        <v>4.1444278919909063</v>
      </c>
      <c r="W45" s="71">
        <f t="shared" ca="1" si="166"/>
        <v>5.5666103004207423</v>
      </c>
      <c r="X45" s="71">
        <f t="shared" ca="1" si="167"/>
        <v>10.788004458179733</v>
      </c>
      <c r="Y45" s="71">
        <f t="shared" ca="1" si="168"/>
        <v>2.7833051502103712</v>
      </c>
      <c r="Z45" s="71">
        <f t="shared" ca="1" si="169"/>
        <v>3.7755753640770791</v>
      </c>
      <c r="AA45" s="71">
        <f t="shared" ca="1" si="170"/>
        <v>4.0778656851919388</v>
      </c>
      <c r="AB45" s="71">
        <f t="shared" ca="1" si="171"/>
        <v>7.7997272232639467</v>
      </c>
      <c r="AC45" s="71">
        <f t="shared" ca="1" si="172"/>
        <v>2.0389328425959694</v>
      </c>
      <c r="AD45" s="71">
        <f t="shared" ca="1" si="173"/>
        <v>6.1075483830658639</v>
      </c>
      <c r="AE45" s="238">
        <f t="shared" ca="1" si="174"/>
        <v>9.9249641015253545</v>
      </c>
      <c r="AF45" s="71">
        <f t="shared" ca="1" si="175"/>
        <v>4.4662338456864097</v>
      </c>
      <c r="AG45" s="71">
        <f t="shared" ca="1" si="176"/>
        <v>2.6492482596675306</v>
      </c>
      <c r="AH45" s="238">
        <f t="shared" ca="1" si="177"/>
        <v>2.3253466214096825</v>
      </c>
      <c r="AI45" s="71">
        <f t="shared" ca="1" si="178"/>
        <v>8.1341553614675188</v>
      </c>
      <c r="AJ45" s="71">
        <f t="shared" ca="1" si="179"/>
        <v>7.6379071563912504</v>
      </c>
      <c r="AK45" s="71">
        <f t="shared" ca="1" si="180"/>
        <v>3.5996300778493491</v>
      </c>
      <c r="AL45" s="71">
        <f t="shared" ca="1" si="181"/>
        <v>1.2049452839557631</v>
      </c>
      <c r="AM45" s="71">
        <f t="shared" ca="1" si="182"/>
        <v>2.912761203708528</v>
      </c>
      <c r="AN45" s="71">
        <f t="shared" ca="1" si="183"/>
        <v>6.4080746481587614</v>
      </c>
      <c r="AO45" s="71">
        <f t="shared" ca="1" si="184"/>
        <v>1.456380601854264</v>
      </c>
      <c r="AP45" s="71">
        <f t="shared" ca="1" si="185"/>
        <v>14.975391360036818</v>
      </c>
      <c r="AQ45" s="71">
        <f t="shared" ca="1" si="186"/>
        <v>0.6441072462300319</v>
      </c>
      <c r="AR45" s="71">
        <f t="shared" ca="1" si="187"/>
        <v>2.2158019729133285</v>
      </c>
      <c r="AS45" s="71">
        <f t="shared" ca="1" si="188"/>
        <v>0.32205362311501595</v>
      </c>
      <c r="AT45" s="71">
        <f t="shared" ca="1" si="189"/>
        <v>2.0389328425959694</v>
      </c>
      <c r="AU45" s="71">
        <f t="shared" ca="1" si="190"/>
        <v>4.3152017832718936</v>
      </c>
      <c r="AV45" s="71">
        <f t="shared" ca="1" si="191"/>
        <v>1.0194664212979847</v>
      </c>
      <c r="AW45" s="71">
        <f t="shared" ca="1" si="192"/>
        <v>15.863762033937308</v>
      </c>
      <c r="AX45" s="71">
        <f t="shared" ca="1" si="193"/>
        <v>1.2535317945861391</v>
      </c>
      <c r="AY45" s="71">
        <f t="shared" ca="1" si="194"/>
        <v>3.6575237897903663</v>
      </c>
      <c r="AZ45" s="71">
        <f t="shared" ca="1" si="195"/>
        <v>0.62676589729306953</v>
      </c>
      <c r="BA45" s="71">
        <f t="shared" ca="1" si="196"/>
        <v>3.1393092973303021</v>
      </c>
      <c r="BB45" s="71">
        <f t="shared" ca="1" si="197"/>
        <v>3.754225551446547</v>
      </c>
      <c r="BC45" s="71">
        <f t="shared" ca="1" si="198"/>
        <v>13.975974351898769</v>
      </c>
      <c r="BD45" s="71">
        <f t="shared" ca="1" si="199"/>
        <v>3.8307026299884486</v>
      </c>
      <c r="BE45" s="71">
        <f t="shared" ca="1" si="200"/>
        <v>1.1940757410879821</v>
      </c>
      <c r="BF45" s="71">
        <f t="shared" ca="1" si="201"/>
        <v>5.2321821622171703</v>
      </c>
      <c r="BG45" s="71">
        <f t="shared" ca="1" si="202"/>
        <v>2.8480331769594498</v>
      </c>
      <c r="BH45" s="71">
        <f t="shared" ca="1" si="203"/>
        <v>6.044093334930114</v>
      </c>
      <c r="BI45" s="71">
        <f t="shared" ca="1" si="204"/>
        <v>3.6573825631157528</v>
      </c>
      <c r="BJ45" s="71">
        <f t="shared" ca="1" si="205"/>
        <v>0.25764289849201277</v>
      </c>
      <c r="BK45" s="71">
        <f t="shared" ca="1" si="206"/>
        <v>1.9418408024723519</v>
      </c>
      <c r="BL45" s="71">
        <f t="shared" ca="1" si="207"/>
        <v>0.73358430315622192</v>
      </c>
      <c r="BM45" s="71">
        <f t="shared" ca="1" si="208"/>
        <v>4.8384474203508789</v>
      </c>
      <c r="BN45" s="71">
        <f t="shared" ca="1" si="209"/>
        <v>5.3717070665524691</v>
      </c>
      <c r="BO45" s="71">
        <f t="shared" ca="1" si="210"/>
        <v>0.6688806018542639</v>
      </c>
      <c r="BP45" s="71">
        <f t="shared" ca="1" si="211"/>
        <v>3.063793266123044</v>
      </c>
      <c r="BQ45" s="71">
        <f t="shared" ca="1" si="212"/>
        <v>2.6322730877958547</v>
      </c>
      <c r="BR45" s="71">
        <f t="shared" ca="1" si="213"/>
        <v>7.2180117254414755</v>
      </c>
      <c r="BS45" s="71">
        <f t="shared" ca="1" si="214"/>
        <v>4.6257756063298103</v>
      </c>
      <c r="BT45" s="71">
        <f t="shared" ca="1" si="215"/>
        <v>0.59951520610641429</v>
      </c>
      <c r="BU45" s="71">
        <f t="shared" ca="1" si="216"/>
        <v>3.063793266123044</v>
      </c>
      <c r="BV45" s="71">
        <f t="shared" ca="1" si="217"/>
        <v>2.6322730877958547</v>
      </c>
      <c r="BW45" s="71">
        <f t="shared" ca="1" si="218"/>
        <v>10.01003384341444</v>
      </c>
      <c r="BX45" s="71">
        <f t="shared" ca="1" si="219"/>
        <v>3.7324306567375265</v>
      </c>
      <c r="BY45" s="71">
        <f t="shared" ca="1" si="220"/>
        <v>0.73329132647726702</v>
      </c>
      <c r="BZ45" s="71">
        <f t="shared" ca="1" si="221"/>
        <v>6.4406873857785474</v>
      </c>
      <c r="CA45" s="71">
        <f t="shared" ca="1" si="222"/>
        <v>2.9983003227116409</v>
      </c>
      <c r="CB45" s="71">
        <f t="shared" ca="1" si="223"/>
        <v>8.153876353243712</v>
      </c>
      <c r="CC45" s="71">
        <f t="shared" ca="1" si="224"/>
        <v>2.9983003227116409</v>
      </c>
      <c r="CD45" s="71">
        <f t="shared" ca="1" si="225"/>
        <v>4.0140934441126408</v>
      </c>
      <c r="CE45" s="71">
        <f t="shared" ca="1" si="226"/>
        <v>11.199611436581389</v>
      </c>
      <c r="CF45" s="71">
        <f t="shared" ca="1" si="227"/>
        <v>4.0140934441126408</v>
      </c>
      <c r="CG45" s="71">
        <f t="shared" ca="1" si="228"/>
        <v>3.9659405084843269</v>
      </c>
    </row>
    <row r="46" spans="1:85" x14ac:dyDescent="0.25">
      <c r="A46" t="str">
        <f t="shared" si="148"/>
        <v>R. Forsyth</v>
      </c>
      <c r="B46">
        <f t="shared" si="148"/>
        <v>26</v>
      </c>
      <c r="C46" s="49">
        <f t="shared" ca="1" si="148"/>
        <v>8</v>
      </c>
      <c r="D46" t="str">
        <f t="shared" si="148"/>
        <v>POT</v>
      </c>
      <c r="E46" s="204">
        <f t="shared" si="148"/>
        <v>43626</v>
      </c>
      <c r="F46" s="150">
        <f t="shared" ca="1" si="149"/>
        <v>1</v>
      </c>
      <c r="G46" s="151">
        <f t="shared" si="150"/>
        <v>6.2</v>
      </c>
      <c r="H46" s="48">
        <f t="shared" si="151"/>
        <v>0</v>
      </c>
      <c r="I46" s="48">
        <f t="shared" si="152"/>
        <v>9.75</v>
      </c>
      <c r="J46" s="48">
        <f t="shared" si="153"/>
        <v>14.538461538461538</v>
      </c>
      <c r="K46" s="48">
        <f t="shared" si="154"/>
        <v>3</v>
      </c>
      <c r="L46" s="48">
        <f t="shared" si="155"/>
        <v>4</v>
      </c>
      <c r="M46" s="48">
        <f t="shared" si="156"/>
        <v>7</v>
      </c>
      <c r="N46" s="48">
        <f t="shared" si="157"/>
        <v>18.25</v>
      </c>
      <c r="O46" s="151">
        <f t="shared" si="158"/>
        <v>2.59375</v>
      </c>
      <c r="P46" s="151">
        <f t="shared" ca="1" si="159"/>
        <v>18.602414178388187</v>
      </c>
      <c r="Q46" s="151">
        <f t="shared" si="160"/>
        <v>0.89749999999999996</v>
      </c>
      <c r="R46" s="151">
        <f t="shared" si="161"/>
        <v>0.9375</v>
      </c>
      <c r="S46" s="151">
        <f t="shared" ca="1" si="162"/>
        <v>20.306522252664337</v>
      </c>
      <c r="T46" s="71">
        <f t="shared" ca="1" si="163"/>
        <v>4.4863439265759677</v>
      </c>
      <c r="U46" s="71">
        <f t="shared" ca="1" si="164"/>
        <v>6.7987202281896613</v>
      </c>
      <c r="V46" s="71">
        <f t="shared" ca="1" si="165"/>
        <v>4.4863439265759677</v>
      </c>
      <c r="W46" s="71">
        <f t="shared" ca="1" si="166"/>
        <v>6.0921654823747993</v>
      </c>
      <c r="X46" s="71">
        <f t="shared" ca="1" si="167"/>
        <v>11.806522252664339</v>
      </c>
      <c r="Y46" s="71">
        <f t="shared" ca="1" si="168"/>
        <v>3.0460827411873996</v>
      </c>
      <c r="Z46" s="71">
        <f t="shared" ca="1" si="169"/>
        <v>3.9496061422879585</v>
      </c>
      <c r="AA46" s="71">
        <f t="shared" ca="1" si="170"/>
        <v>4.4628654115071198</v>
      </c>
      <c r="AB46" s="71">
        <f t="shared" ca="1" si="171"/>
        <v>8.5361155886763171</v>
      </c>
      <c r="AC46" s="71">
        <f t="shared" ca="1" si="172"/>
        <v>2.2314327057535599</v>
      </c>
      <c r="AD46" s="71">
        <f t="shared" ca="1" si="173"/>
        <v>6.3890687595834628</v>
      </c>
      <c r="AE46" s="238">
        <f t="shared" ca="1" si="174"/>
        <v>10.862000472451191</v>
      </c>
      <c r="AF46" s="71">
        <f t="shared" ca="1" si="175"/>
        <v>4.8879002126030358</v>
      </c>
      <c r="AG46" s="71">
        <f t="shared" ca="1" si="176"/>
        <v>2.7713622931180217</v>
      </c>
      <c r="AH46" s="238">
        <f t="shared" ca="1" si="177"/>
        <v>2.9732350845666309</v>
      </c>
      <c r="AI46" s="71">
        <f t="shared" ca="1" si="178"/>
        <v>8.9021177785089112</v>
      </c>
      <c r="AJ46" s="71">
        <f t="shared" ca="1" si="179"/>
        <v>8.3590177548863505</v>
      </c>
      <c r="AK46" s="71">
        <f t="shared" ca="1" si="180"/>
        <v>3.3911892161949444</v>
      </c>
      <c r="AL46" s="71">
        <f t="shared" ca="1" si="181"/>
        <v>1.3392784087673293</v>
      </c>
      <c r="AM46" s="71">
        <f t="shared" ca="1" si="182"/>
        <v>3.1877610082193715</v>
      </c>
      <c r="AN46" s="71">
        <f t="shared" ca="1" si="183"/>
        <v>7.0130742180826164</v>
      </c>
      <c r="AO46" s="71">
        <f t="shared" ca="1" si="184"/>
        <v>1.5938805041096857</v>
      </c>
      <c r="AP46" s="71">
        <f t="shared" ca="1" si="185"/>
        <v>15.665664698822827</v>
      </c>
      <c r="AQ46" s="71">
        <f t="shared" ca="1" si="186"/>
        <v>0.78734789284636408</v>
      </c>
      <c r="AR46" s="71">
        <f t="shared" ca="1" si="187"/>
        <v>2.2935610200306509</v>
      </c>
      <c r="AS46" s="71">
        <f t="shared" ca="1" si="188"/>
        <v>0.39367394642318204</v>
      </c>
      <c r="AT46" s="71">
        <f t="shared" ca="1" si="189"/>
        <v>2.2314327057535599</v>
      </c>
      <c r="AU46" s="71">
        <f t="shared" ca="1" si="190"/>
        <v>4.7226089010657359</v>
      </c>
      <c r="AV46" s="71">
        <f t="shared" ca="1" si="191"/>
        <v>1.1157163528767799</v>
      </c>
      <c r="AW46" s="71">
        <f t="shared" ca="1" si="192"/>
        <v>16.594983791125877</v>
      </c>
      <c r="AX46" s="71">
        <f t="shared" ca="1" si="193"/>
        <v>1.5323001299240777</v>
      </c>
      <c r="AY46" s="71">
        <f t="shared" ca="1" si="194"/>
        <v>3.9671437612180505</v>
      </c>
      <c r="AZ46" s="71">
        <f t="shared" ca="1" si="195"/>
        <v>0.76615006496203886</v>
      </c>
      <c r="BA46" s="71">
        <f t="shared" ca="1" si="196"/>
        <v>3.4356979755253221</v>
      </c>
      <c r="BB46" s="71">
        <f t="shared" ca="1" si="197"/>
        <v>4.1086697439271891</v>
      </c>
      <c r="BC46" s="71">
        <f t="shared" ca="1" si="198"/>
        <v>14.620180719981898</v>
      </c>
      <c r="BD46" s="71">
        <f t="shared" ca="1" si="199"/>
        <v>4.8102482826185966</v>
      </c>
      <c r="BE46" s="71">
        <f t="shared" ca="1" si="200"/>
        <v>1.4596218628921056</v>
      </c>
      <c r="BF46" s="71">
        <f t="shared" ca="1" si="201"/>
        <v>5.7261632925422044</v>
      </c>
      <c r="BG46" s="71">
        <f t="shared" ca="1" si="202"/>
        <v>3.1169218747033853</v>
      </c>
      <c r="BH46" s="71">
        <f t="shared" ca="1" si="203"/>
        <v>6.3226888244189592</v>
      </c>
      <c r="BI46" s="71">
        <f t="shared" ca="1" si="204"/>
        <v>4.6204004488286321</v>
      </c>
      <c r="BJ46" s="71">
        <f t="shared" ca="1" si="205"/>
        <v>0.31493915713854559</v>
      </c>
      <c r="BK46" s="71">
        <f t="shared" ca="1" si="206"/>
        <v>2.1251740054795807</v>
      </c>
      <c r="BL46" s="71">
        <f t="shared" ca="1" si="207"/>
        <v>0.80284351318117508</v>
      </c>
      <c r="BM46" s="71">
        <f t="shared" ca="1" si="208"/>
        <v>5.0614700562933921</v>
      </c>
      <c r="BN46" s="71">
        <f t="shared" ca="1" si="209"/>
        <v>6.7886876169263388</v>
      </c>
      <c r="BO46" s="71">
        <f t="shared" ca="1" si="210"/>
        <v>0.81763050410968574</v>
      </c>
      <c r="BP46" s="71">
        <f t="shared" ca="1" si="211"/>
        <v>3.3530523197566717</v>
      </c>
      <c r="BQ46" s="71">
        <f t="shared" ca="1" si="212"/>
        <v>2.8807914296500985</v>
      </c>
      <c r="BR46" s="71">
        <f t="shared" ca="1" si="213"/>
        <v>7.5507176249622745</v>
      </c>
      <c r="BS46" s="71">
        <f t="shared" ca="1" si="214"/>
        <v>5.846626655952087</v>
      </c>
      <c r="BT46" s="71">
        <f t="shared" ca="1" si="215"/>
        <v>0.73283919257238495</v>
      </c>
      <c r="BU46" s="71">
        <f t="shared" ca="1" si="216"/>
        <v>3.3530523197566717</v>
      </c>
      <c r="BV46" s="71">
        <f t="shared" ca="1" si="217"/>
        <v>2.8807914296500985</v>
      </c>
      <c r="BW46" s="71">
        <f t="shared" ca="1" si="218"/>
        <v>10.471434772200428</v>
      </c>
      <c r="BX46" s="71">
        <f t="shared" ca="1" si="219"/>
        <v>4.7185874161345831</v>
      </c>
      <c r="BY46" s="71">
        <f t="shared" ca="1" si="220"/>
        <v>0.89636529339432203</v>
      </c>
      <c r="BZ46" s="71">
        <f t="shared" ca="1" si="221"/>
        <v>6.7375634191971061</v>
      </c>
      <c r="CA46" s="71">
        <f t="shared" ca="1" si="222"/>
        <v>3.3924480936381203</v>
      </c>
      <c r="CB46" s="71">
        <f t="shared" ca="1" si="223"/>
        <v>8.5686440565000446</v>
      </c>
      <c r="CC46" s="71">
        <f t="shared" ca="1" si="224"/>
        <v>3.3924480936381203</v>
      </c>
      <c r="CD46" s="71">
        <f t="shared" ca="1" si="225"/>
        <v>4.3322133634098829</v>
      </c>
      <c r="CE46" s="71">
        <f t="shared" ca="1" si="226"/>
        <v>11.291378963897479</v>
      </c>
      <c r="CF46" s="71">
        <f t="shared" ca="1" si="227"/>
        <v>4.3322133634098829</v>
      </c>
      <c r="CG46" s="71">
        <f t="shared" ca="1" si="228"/>
        <v>4.1487459477814692</v>
      </c>
    </row>
    <row r="47" spans="1:85" x14ac:dyDescent="0.25">
      <c r="A47" t="str">
        <f t="shared" ref="A47:E56" si="229">A13</f>
        <v>Dusty Ware</v>
      </c>
      <c r="B47">
        <f t="shared" si="229"/>
        <v>26</v>
      </c>
      <c r="C47" s="49">
        <f t="shared" ca="1" si="229"/>
        <v>102</v>
      </c>
      <c r="D47" t="str">
        <f t="shared" si="229"/>
        <v>POT</v>
      </c>
      <c r="E47" s="204">
        <f t="shared" si="229"/>
        <v>44354</v>
      </c>
      <c r="F47" s="150">
        <f t="shared" ca="1" si="149"/>
        <v>0.34601748551657119</v>
      </c>
      <c r="G47" s="151">
        <f t="shared" si="150"/>
        <v>6.6</v>
      </c>
      <c r="H47" s="48">
        <f t="shared" si="151"/>
        <v>0</v>
      </c>
      <c r="I47" s="48">
        <f t="shared" si="152"/>
        <v>9.25</v>
      </c>
      <c r="J47" s="48">
        <f t="shared" si="153"/>
        <v>14.153846153846153</v>
      </c>
      <c r="K47" s="48">
        <f t="shared" si="154"/>
        <v>4</v>
      </c>
      <c r="L47" s="48">
        <f t="shared" si="155"/>
        <v>3</v>
      </c>
      <c r="M47" s="48">
        <f t="shared" si="156"/>
        <v>8</v>
      </c>
      <c r="N47" s="48">
        <f t="shared" si="157"/>
        <v>17.25</v>
      </c>
      <c r="O47" s="151">
        <f t="shared" si="158"/>
        <v>2.28125</v>
      </c>
      <c r="P47" s="151">
        <f t="shared" ca="1" si="159"/>
        <v>18.347121439721661</v>
      </c>
      <c r="Q47" s="151">
        <f t="shared" si="160"/>
        <v>0.91750000000000009</v>
      </c>
      <c r="R47" s="151">
        <f t="shared" si="161"/>
        <v>0.88749999999999996</v>
      </c>
      <c r="S47" s="151">
        <f t="shared" ca="1" si="162"/>
        <v>18.779161027861143</v>
      </c>
      <c r="T47" s="71">
        <f t="shared" ca="1" si="163"/>
        <v>3.8090224058267017</v>
      </c>
      <c r="U47" s="71">
        <f t="shared" ca="1" si="164"/>
        <v>5.7886668681812967</v>
      </c>
      <c r="V47" s="71">
        <f t="shared" ca="1" si="165"/>
        <v>3.8090224058267017</v>
      </c>
      <c r="W47" s="71">
        <f t="shared" ca="1" si="166"/>
        <v>5.5153912501793565</v>
      </c>
      <c r="X47" s="71">
        <f t="shared" ca="1" si="167"/>
        <v>10.688742732905729</v>
      </c>
      <c r="Y47" s="71">
        <f t="shared" ca="1" si="168"/>
        <v>2.7576956250896782</v>
      </c>
      <c r="Z47" s="71">
        <f t="shared" ca="1" si="169"/>
        <v>3.7110361550469477</v>
      </c>
      <c r="AA47" s="71">
        <f t="shared" ca="1" si="170"/>
        <v>4.0403447530383652</v>
      </c>
      <c r="AB47" s="71">
        <f t="shared" ca="1" si="171"/>
        <v>7.7279609958908413</v>
      </c>
      <c r="AC47" s="71">
        <f t="shared" ca="1" si="172"/>
        <v>2.0201723765191826</v>
      </c>
      <c r="AD47" s="71">
        <f t="shared" ca="1" si="173"/>
        <v>6.0031467213994745</v>
      </c>
      <c r="AE47" s="238">
        <f t="shared" ca="1" si="174"/>
        <v>9.8336433142732709</v>
      </c>
      <c r="AF47" s="71">
        <f t="shared" ca="1" si="175"/>
        <v>4.4251394914229714</v>
      </c>
      <c r="AG47" s="71">
        <f t="shared" ca="1" si="176"/>
        <v>2.6039623440875643</v>
      </c>
      <c r="AH47" s="238">
        <f t="shared" ca="1" si="177"/>
        <v>3.1979807269485683</v>
      </c>
      <c r="AI47" s="71">
        <f t="shared" ca="1" si="178"/>
        <v>8.0593120206109194</v>
      </c>
      <c r="AJ47" s="71">
        <f t="shared" ca="1" si="179"/>
        <v>7.5676298548972554</v>
      </c>
      <c r="AK47" s="71">
        <f t="shared" ca="1" si="180"/>
        <v>3.1210200363952572</v>
      </c>
      <c r="AL47" s="71">
        <f t="shared" ca="1" si="181"/>
        <v>1.07135790707685</v>
      </c>
      <c r="AM47" s="71">
        <f t="shared" ca="1" si="182"/>
        <v>2.885960537884547</v>
      </c>
      <c r="AN47" s="71">
        <f t="shared" ca="1" si="183"/>
        <v>6.3491131833460024</v>
      </c>
      <c r="AO47" s="71">
        <f t="shared" ca="1" si="184"/>
        <v>1.4429802689422735</v>
      </c>
      <c r="AP47" s="71">
        <f t="shared" ca="1" si="185"/>
        <v>14.719403909093776</v>
      </c>
      <c r="AQ47" s="71">
        <f t="shared" ca="1" si="186"/>
        <v>0.57703655527774489</v>
      </c>
      <c r="AR47" s="71">
        <f t="shared" ca="1" si="187"/>
        <v>2.1655516207413785</v>
      </c>
      <c r="AS47" s="71">
        <f t="shared" ca="1" si="188"/>
        <v>0.28851827763887244</v>
      </c>
      <c r="AT47" s="71">
        <f t="shared" ca="1" si="189"/>
        <v>2.0201723765191826</v>
      </c>
      <c r="AU47" s="71">
        <f t="shared" ca="1" si="190"/>
        <v>4.2754970931622918</v>
      </c>
      <c r="AV47" s="71">
        <f t="shared" ca="1" si="191"/>
        <v>1.0100861882595913</v>
      </c>
      <c r="AW47" s="71">
        <f t="shared" ca="1" si="192"/>
        <v>15.592588886751882</v>
      </c>
      <c r="AX47" s="71">
        <f t="shared" ca="1" si="193"/>
        <v>1.1230019114251495</v>
      </c>
      <c r="AY47" s="71">
        <f t="shared" ca="1" si="194"/>
        <v>3.4957472458310566</v>
      </c>
      <c r="AZ47" s="71">
        <f t="shared" ca="1" si="195"/>
        <v>0.56150095571257475</v>
      </c>
      <c r="BA47" s="71">
        <f t="shared" ca="1" si="196"/>
        <v>3.1104241352755668</v>
      </c>
      <c r="BB47" s="71">
        <f t="shared" ca="1" si="197"/>
        <v>3.7196824710511933</v>
      </c>
      <c r="BC47" s="71">
        <f t="shared" ca="1" si="198"/>
        <v>13.737070809228408</v>
      </c>
      <c r="BD47" s="71">
        <f t="shared" ca="1" si="199"/>
        <v>4.5200422895531922</v>
      </c>
      <c r="BE47" s="71">
        <f t="shared" ca="1" si="200"/>
        <v>1.0697369986302807</v>
      </c>
      <c r="BF47" s="71">
        <f t="shared" ca="1" si="201"/>
        <v>5.1840402254592783</v>
      </c>
      <c r="BG47" s="71">
        <f t="shared" ca="1" si="202"/>
        <v>2.8218280814871126</v>
      </c>
      <c r="BH47" s="71">
        <f t="shared" ca="1" si="203"/>
        <v>5.940776365852467</v>
      </c>
      <c r="BI47" s="71">
        <f t="shared" ca="1" si="204"/>
        <v>4.5524611485596074</v>
      </c>
      <c r="BJ47" s="71">
        <f t="shared" ca="1" si="205"/>
        <v>0.23081462211109791</v>
      </c>
      <c r="BK47" s="71">
        <f t="shared" ca="1" si="206"/>
        <v>1.923973691923031</v>
      </c>
      <c r="BL47" s="71">
        <f t="shared" ca="1" si="207"/>
        <v>0.72683450583758957</v>
      </c>
      <c r="BM47" s="71">
        <f t="shared" ca="1" si="208"/>
        <v>4.7557396104593241</v>
      </c>
      <c r="BN47" s="71">
        <f t="shared" ca="1" si="209"/>
        <v>6.7082231545167668</v>
      </c>
      <c r="BO47" s="71">
        <f t="shared" ca="1" si="210"/>
        <v>0.59923026894227349</v>
      </c>
      <c r="BP47" s="71">
        <f t="shared" ca="1" si="211"/>
        <v>3.0356029361452266</v>
      </c>
      <c r="BQ47" s="71">
        <f t="shared" ca="1" si="212"/>
        <v>2.6080532268289978</v>
      </c>
      <c r="BR47" s="71">
        <f t="shared" ca="1" si="213"/>
        <v>7.0946279434721067</v>
      </c>
      <c r="BS47" s="71">
        <f t="shared" ca="1" si="214"/>
        <v>5.7821269480595472</v>
      </c>
      <c r="BT47" s="71">
        <f t="shared" ca="1" si="215"/>
        <v>0.53708787068159325</v>
      </c>
      <c r="BU47" s="71">
        <f t="shared" ca="1" si="216"/>
        <v>3.0356029361452266</v>
      </c>
      <c r="BV47" s="71">
        <f t="shared" ca="1" si="217"/>
        <v>2.6080532268289978</v>
      </c>
      <c r="BW47" s="71">
        <f t="shared" ca="1" si="218"/>
        <v>9.8389235875404371</v>
      </c>
      <c r="BX47" s="71">
        <f t="shared" ca="1" si="219"/>
        <v>4.674674745950627</v>
      </c>
      <c r="BY47" s="71">
        <f t="shared" ca="1" si="220"/>
        <v>0.65693392447004795</v>
      </c>
      <c r="BZ47" s="71">
        <f t="shared" ca="1" si="221"/>
        <v>6.3305910880212641</v>
      </c>
      <c r="CA47" s="71">
        <f t="shared" ca="1" si="222"/>
        <v>3.0915849638438848</v>
      </c>
      <c r="CB47" s="71">
        <f t="shared" ca="1" si="223"/>
        <v>7.9130243172518506</v>
      </c>
      <c r="CC47" s="71">
        <f t="shared" ca="1" si="224"/>
        <v>3.0915849638438848</v>
      </c>
      <c r="CD47" s="71">
        <f t="shared" ca="1" si="225"/>
        <v>4.4563721763659609</v>
      </c>
      <c r="CE47" s="71">
        <f t="shared" ca="1" si="226"/>
        <v>11.076638801347944</v>
      </c>
      <c r="CF47" s="71">
        <f t="shared" ca="1" si="227"/>
        <v>4.4563721763659609</v>
      </c>
      <c r="CG47" s="71">
        <f t="shared" ca="1" si="228"/>
        <v>3.8981472216879705</v>
      </c>
    </row>
    <row r="48" spans="1:85" x14ac:dyDescent="0.25">
      <c r="A48" t="str">
        <f t="shared" si="229"/>
        <v>S. Gencel</v>
      </c>
      <c r="B48">
        <f t="shared" si="229"/>
        <v>29</v>
      </c>
      <c r="C48" s="49">
        <f t="shared" ca="1" si="229"/>
        <v>72</v>
      </c>
      <c r="D48" t="str">
        <f t="shared" si="229"/>
        <v>CAB</v>
      </c>
      <c r="E48" s="204">
        <f t="shared" si="229"/>
        <v>44273</v>
      </c>
      <c r="F48" s="150">
        <f t="shared" ca="1" si="149"/>
        <v>0.58400744542061045</v>
      </c>
      <c r="G48" s="151">
        <f t="shared" si="150"/>
        <v>7</v>
      </c>
      <c r="H48" s="48">
        <f t="shared" si="151"/>
        <v>0</v>
      </c>
      <c r="I48" s="48">
        <f t="shared" si="152"/>
        <v>9</v>
      </c>
      <c r="J48" s="48">
        <f t="shared" si="153"/>
        <v>14</v>
      </c>
      <c r="K48" s="48">
        <f t="shared" si="154"/>
        <v>0</v>
      </c>
      <c r="L48" s="48">
        <f t="shared" si="155"/>
        <v>2</v>
      </c>
      <c r="M48" s="48">
        <f t="shared" si="156"/>
        <v>7.1785714285714288</v>
      </c>
      <c r="N48" s="48">
        <f t="shared" si="157"/>
        <v>16</v>
      </c>
      <c r="O48" s="151">
        <f t="shared" si="158"/>
        <v>2</v>
      </c>
      <c r="P48" s="151">
        <f t="shared" ca="1" si="159"/>
        <v>16.897307250383463</v>
      </c>
      <c r="Q48" s="151">
        <f t="shared" si="160"/>
        <v>0.83892857142857147</v>
      </c>
      <c r="R48" s="151">
        <f t="shared" si="161"/>
        <v>0.84000000000000008</v>
      </c>
      <c r="S48" s="151">
        <f t="shared" ca="1" si="162"/>
        <v>17.783720227700982</v>
      </c>
      <c r="T48" s="71">
        <f t="shared" ca="1" si="163"/>
        <v>3.9775326184287878</v>
      </c>
      <c r="U48" s="71">
        <f t="shared" ca="1" si="164"/>
        <v>6.0336490382492149</v>
      </c>
      <c r="V48" s="71">
        <f t="shared" ca="1" si="165"/>
        <v>3.9775326184287878</v>
      </c>
      <c r="W48" s="71">
        <f t="shared" ca="1" si="166"/>
        <v>5.5267752933668435</v>
      </c>
      <c r="X48" s="71">
        <f t="shared" ca="1" si="167"/>
        <v>10.710804832106286</v>
      </c>
      <c r="Y48" s="71">
        <f t="shared" ca="1" si="168"/>
        <v>2.7633876466834217</v>
      </c>
      <c r="Z48" s="71">
        <f t="shared" ca="1" si="169"/>
        <v>3.7391715500412959</v>
      </c>
      <c r="AA48" s="71">
        <f t="shared" ca="1" si="170"/>
        <v>4.0486842265361762</v>
      </c>
      <c r="AB48" s="71">
        <f t="shared" ca="1" si="171"/>
        <v>7.7439118936128439</v>
      </c>
      <c r="AC48" s="71">
        <f t="shared" ca="1" si="172"/>
        <v>2.0243421132680881</v>
      </c>
      <c r="AD48" s="71">
        <f t="shared" ca="1" si="173"/>
        <v>6.0486598603609201</v>
      </c>
      <c r="AE48" s="238">
        <f t="shared" ca="1" si="174"/>
        <v>9.8539404455377824</v>
      </c>
      <c r="AF48" s="71">
        <f t="shared" ca="1" si="175"/>
        <v>4.4342732004920018</v>
      </c>
      <c r="AG48" s="71">
        <f t="shared" ca="1" si="176"/>
        <v>2.6237044069617497</v>
      </c>
      <c r="AH48" s="238">
        <f t="shared" ca="1" si="177"/>
        <v>1.0059532412784962</v>
      </c>
      <c r="AI48" s="71">
        <f t="shared" ca="1" si="178"/>
        <v>8.0759468434081398</v>
      </c>
      <c r="AJ48" s="71">
        <f t="shared" ca="1" si="179"/>
        <v>7.5832498211312496</v>
      </c>
      <c r="AK48" s="71">
        <f t="shared" ca="1" si="180"/>
        <v>2.9577044069617502</v>
      </c>
      <c r="AL48" s="71">
        <f t="shared" ca="1" si="181"/>
        <v>1.0687117916466102</v>
      </c>
      <c r="AM48" s="71">
        <f t="shared" ca="1" si="182"/>
        <v>2.8919173046686972</v>
      </c>
      <c r="AN48" s="71">
        <f t="shared" ca="1" si="183"/>
        <v>6.3622180702711333</v>
      </c>
      <c r="AO48" s="71">
        <f t="shared" ca="1" si="184"/>
        <v>1.4459586523343486</v>
      </c>
      <c r="AP48" s="71">
        <f t="shared" ca="1" si="185"/>
        <v>14.830999761508332</v>
      </c>
      <c r="AQ48" s="71">
        <f t="shared" ca="1" si="186"/>
        <v>0.48240462817381718</v>
      </c>
      <c r="AR48" s="71">
        <f t="shared" ca="1" si="187"/>
        <v>1.9831586729499988</v>
      </c>
      <c r="AS48" s="71">
        <f t="shared" ca="1" si="188"/>
        <v>0.24120231408690859</v>
      </c>
      <c r="AT48" s="71">
        <f t="shared" ca="1" si="189"/>
        <v>2.0243421132680881</v>
      </c>
      <c r="AU48" s="71">
        <f t="shared" ca="1" si="190"/>
        <v>4.2843219328425146</v>
      </c>
      <c r="AV48" s="71">
        <f t="shared" ca="1" si="191"/>
        <v>1.0121710566340441</v>
      </c>
      <c r="AW48" s="71">
        <f t="shared" ca="1" si="192"/>
        <v>15.710804832106286</v>
      </c>
      <c r="AX48" s="71">
        <f t="shared" ca="1" si="193"/>
        <v>0.93883362252289038</v>
      </c>
      <c r="AY48" s="71">
        <f t="shared" ca="1" si="194"/>
        <v>3.1321534624905638</v>
      </c>
      <c r="AZ48" s="71">
        <f t="shared" ca="1" si="195"/>
        <v>0.46941681126144519</v>
      </c>
      <c r="BA48" s="71">
        <f t="shared" ca="1" si="196"/>
        <v>3.1168442061429289</v>
      </c>
      <c r="BB48" s="71">
        <f t="shared" ca="1" si="197"/>
        <v>3.727360081572987</v>
      </c>
      <c r="BC48" s="71">
        <f t="shared" ca="1" si="198"/>
        <v>13.841219057085638</v>
      </c>
      <c r="BD48" s="71">
        <f t="shared" ca="1" si="199"/>
        <v>2.1509054957424882</v>
      </c>
      <c r="BE48" s="71">
        <f t="shared" ca="1" si="200"/>
        <v>0.89430396453761496</v>
      </c>
      <c r="BF48" s="71">
        <f t="shared" ca="1" si="201"/>
        <v>5.1947403435715485</v>
      </c>
      <c r="BG48" s="71">
        <f t="shared" ca="1" si="202"/>
        <v>2.8276524756760595</v>
      </c>
      <c r="BH48" s="71">
        <f t="shared" ca="1" si="203"/>
        <v>5.9858166410324953</v>
      </c>
      <c r="BI48" s="71">
        <f t="shared" ca="1" si="204"/>
        <v>1.8972434232608941</v>
      </c>
      <c r="BJ48" s="71">
        <f t="shared" ca="1" si="205"/>
        <v>0.19296185126952686</v>
      </c>
      <c r="BK48" s="71">
        <f t="shared" ca="1" si="206"/>
        <v>1.9279448697791313</v>
      </c>
      <c r="BL48" s="71">
        <f t="shared" ca="1" si="207"/>
        <v>0.72833472858322745</v>
      </c>
      <c r="BM48" s="71">
        <f t="shared" ca="1" si="208"/>
        <v>4.7917954737924173</v>
      </c>
      <c r="BN48" s="71">
        <f t="shared" ca="1" si="209"/>
        <v>2.7720950140886838</v>
      </c>
      <c r="BO48" s="71">
        <f t="shared" ca="1" si="210"/>
        <v>0.50095865233434866</v>
      </c>
      <c r="BP48" s="71">
        <f t="shared" ca="1" si="211"/>
        <v>3.0418685723181849</v>
      </c>
      <c r="BQ48" s="71">
        <f t="shared" ca="1" si="212"/>
        <v>2.6134363790339337</v>
      </c>
      <c r="BR48" s="71">
        <f t="shared" ca="1" si="213"/>
        <v>7.1484161986083601</v>
      </c>
      <c r="BS48" s="71">
        <f t="shared" ca="1" si="214"/>
        <v>2.3835717539737651</v>
      </c>
      <c r="BT48" s="71">
        <f t="shared" ca="1" si="215"/>
        <v>0.44900738468486062</v>
      </c>
      <c r="BU48" s="71">
        <f t="shared" ca="1" si="216"/>
        <v>3.0418685723181849</v>
      </c>
      <c r="BV48" s="71">
        <f t="shared" ca="1" si="217"/>
        <v>2.6134363790339337</v>
      </c>
      <c r="BW48" s="71">
        <f t="shared" ca="1" si="218"/>
        <v>9.9135178490590672</v>
      </c>
      <c r="BX48" s="71">
        <f t="shared" ca="1" si="219"/>
        <v>1.9171703247351259</v>
      </c>
      <c r="BY48" s="71">
        <f t="shared" ca="1" si="220"/>
        <v>0.54919911515173037</v>
      </c>
      <c r="BZ48" s="71">
        <f t="shared" ca="1" si="221"/>
        <v>6.3785867618351526</v>
      </c>
      <c r="CA48" s="71">
        <f t="shared" ca="1" si="222"/>
        <v>2.3030078889559462</v>
      </c>
      <c r="CB48" s="71">
        <f t="shared" ca="1" si="223"/>
        <v>7.1974733838088216</v>
      </c>
      <c r="CC48" s="71">
        <f t="shared" ca="1" si="224"/>
        <v>2.3030078889559462</v>
      </c>
      <c r="CD48" s="71">
        <f t="shared" ca="1" si="225"/>
        <v>3.324418046021429</v>
      </c>
      <c r="CE48" s="71">
        <f t="shared" ca="1" si="226"/>
        <v>10.258663243724934</v>
      </c>
      <c r="CF48" s="71">
        <f t="shared" ca="1" si="227"/>
        <v>3.324418046021429</v>
      </c>
      <c r="CG48" s="71">
        <f t="shared" ca="1" si="228"/>
        <v>3.9277012080265714</v>
      </c>
    </row>
    <row r="49" spans="1:85" x14ac:dyDescent="0.25">
      <c r="A49" t="str">
        <f t="shared" si="229"/>
        <v>I. Conteanu</v>
      </c>
      <c r="B49">
        <f t="shared" si="229"/>
        <v>30</v>
      </c>
      <c r="C49" s="49">
        <f t="shared" ca="1" si="229"/>
        <v>96</v>
      </c>
      <c r="D49" t="str">
        <f t="shared" si="229"/>
        <v>CAB</v>
      </c>
      <c r="E49" s="204">
        <f t="shared" si="229"/>
        <v>43982</v>
      </c>
      <c r="F49" s="150">
        <f t="shared" ca="1" si="149"/>
        <v>1</v>
      </c>
      <c r="G49" s="151">
        <f t="shared" si="150"/>
        <v>8.9</v>
      </c>
      <c r="H49" s="48">
        <f t="shared" si="151"/>
        <v>0</v>
      </c>
      <c r="I49" s="48">
        <f t="shared" si="152"/>
        <v>10</v>
      </c>
      <c r="J49" s="48">
        <f t="shared" si="153"/>
        <v>14</v>
      </c>
      <c r="K49" s="48">
        <f t="shared" si="154"/>
        <v>3</v>
      </c>
      <c r="L49" s="48">
        <f t="shared" si="155"/>
        <v>3</v>
      </c>
      <c r="M49" s="48">
        <f t="shared" si="156"/>
        <v>7.25</v>
      </c>
      <c r="N49" s="48">
        <f t="shared" si="157"/>
        <v>17.25</v>
      </c>
      <c r="O49" s="151">
        <f t="shared" si="158"/>
        <v>2.375</v>
      </c>
      <c r="P49" s="151">
        <f t="shared" ca="1" si="159"/>
        <v>18.930035886247012</v>
      </c>
      <c r="Q49" s="151">
        <f t="shared" si="160"/>
        <v>0.88000000000000012</v>
      </c>
      <c r="R49" s="151">
        <f t="shared" si="161"/>
        <v>0.91750000000000009</v>
      </c>
      <c r="S49" s="151">
        <f t="shared" ca="1" si="162"/>
        <v>19.515853342193218</v>
      </c>
      <c r="T49" s="71">
        <f t="shared" ca="1" si="163"/>
        <v>4.7380899677346786</v>
      </c>
      <c r="U49" s="71">
        <f t="shared" ca="1" si="164"/>
        <v>7.1752166647714422</v>
      </c>
      <c r="V49" s="71">
        <f t="shared" ca="1" si="165"/>
        <v>4.7380899677346786</v>
      </c>
      <c r="W49" s="71">
        <f t="shared" ca="1" si="166"/>
        <v>6.3291803245717002</v>
      </c>
      <c r="X49" s="71">
        <f t="shared" ca="1" si="167"/>
        <v>12.265853342193218</v>
      </c>
      <c r="Y49" s="71">
        <f t="shared" ca="1" si="168"/>
        <v>3.1645901622858501</v>
      </c>
      <c r="Z49" s="71">
        <f t="shared" ca="1" si="169"/>
        <v>3.8712730954419858</v>
      </c>
      <c r="AA49" s="71">
        <f t="shared" ca="1" si="170"/>
        <v>4.6364925633490364</v>
      </c>
      <c r="AB49" s="71">
        <f t="shared" ca="1" si="171"/>
        <v>8.8682119664056955</v>
      </c>
      <c r="AC49" s="71">
        <f t="shared" ca="1" si="172"/>
        <v>2.3182462816745182</v>
      </c>
      <c r="AD49" s="71">
        <f t="shared" ca="1" si="173"/>
        <v>6.2623535367443885</v>
      </c>
      <c r="AE49" s="238">
        <f t="shared" ca="1" si="174"/>
        <v>11.284585074817761</v>
      </c>
      <c r="AF49" s="71">
        <f t="shared" ca="1" si="175"/>
        <v>5.0780632836679915</v>
      </c>
      <c r="AG49" s="71">
        <f t="shared" ca="1" si="176"/>
        <v>2.7163975081462675</v>
      </c>
      <c r="AH49" s="238">
        <f t="shared" ca="1" si="177"/>
        <v>3.0963217652096113</v>
      </c>
      <c r="AI49" s="71">
        <f t="shared" ca="1" si="178"/>
        <v>9.2484534200136856</v>
      </c>
      <c r="AJ49" s="71">
        <f t="shared" ca="1" si="179"/>
        <v>8.6842241662727968</v>
      </c>
      <c r="AK49" s="71">
        <f t="shared" ca="1" si="180"/>
        <v>3.2591475081462677</v>
      </c>
      <c r="AL49" s="71">
        <f t="shared" ca="1" si="181"/>
        <v>1.3365657625516463</v>
      </c>
      <c r="AM49" s="71">
        <f t="shared" ca="1" si="182"/>
        <v>3.3117804023921691</v>
      </c>
      <c r="AN49" s="71">
        <f t="shared" ca="1" si="183"/>
        <v>7.2859168852627709</v>
      </c>
      <c r="AO49" s="71">
        <f t="shared" ca="1" si="184"/>
        <v>1.6558902011960845</v>
      </c>
      <c r="AP49" s="71">
        <f t="shared" ca="1" si="185"/>
        <v>15.354965555030397</v>
      </c>
      <c r="AQ49" s="71">
        <f t="shared" ca="1" si="186"/>
        <v>0.68456093448511823</v>
      </c>
      <c r="AR49" s="71">
        <f t="shared" ca="1" si="187"/>
        <v>2.2781450292626122</v>
      </c>
      <c r="AS49" s="71">
        <f t="shared" ca="1" si="188"/>
        <v>0.34228046724255912</v>
      </c>
      <c r="AT49" s="71">
        <f t="shared" ca="1" si="189"/>
        <v>2.3182462816745182</v>
      </c>
      <c r="AU49" s="71">
        <f t="shared" ca="1" si="190"/>
        <v>4.9063413368772872</v>
      </c>
      <c r="AV49" s="71">
        <f t="shared" ca="1" si="191"/>
        <v>1.1591231408372591</v>
      </c>
      <c r="AW49" s="71">
        <f t="shared" ca="1" si="192"/>
        <v>16.265853342193218</v>
      </c>
      <c r="AX49" s="71">
        <f t="shared" ca="1" si="193"/>
        <v>1.3322608955748838</v>
      </c>
      <c r="AY49" s="71">
        <f t="shared" ca="1" si="194"/>
        <v>3.7939851915484626</v>
      </c>
      <c r="AZ49" s="71">
        <f t="shared" ca="1" si="195"/>
        <v>0.6661304477874419</v>
      </c>
      <c r="BA49" s="71">
        <f t="shared" ca="1" si="196"/>
        <v>3.569363322578226</v>
      </c>
      <c r="BB49" s="71">
        <f t="shared" ca="1" si="197"/>
        <v>4.2685169630832398</v>
      </c>
      <c r="BC49" s="71">
        <f t="shared" ca="1" si="198"/>
        <v>14.330216794472225</v>
      </c>
      <c r="BD49" s="71">
        <f t="shared" ca="1" si="199"/>
        <v>4.681343621209769</v>
      </c>
      <c r="BE49" s="71">
        <f t="shared" ca="1" si="200"/>
        <v>1.2690706554685651</v>
      </c>
      <c r="BF49" s="71">
        <f t="shared" ca="1" si="201"/>
        <v>5.9489388709637101</v>
      </c>
      <c r="BG49" s="71">
        <f t="shared" ca="1" si="202"/>
        <v>3.2381852823390096</v>
      </c>
      <c r="BH49" s="71">
        <f t="shared" ca="1" si="203"/>
        <v>6.1972901233756161</v>
      </c>
      <c r="BI49" s="71">
        <f t="shared" ca="1" si="204"/>
        <v>4.6023558210768716</v>
      </c>
      <c r="BJ49" s="71">
        <f t="shared" ca="1" si="205"/>
        <v>0.27382437379404728</v>
      </c>
      <c r="BK49" s="71">
        <f t="shared" ca="1" si="206"/>
        <v>2.2078536015947789</v>
      </c>
      <c r="BL49" s="71">
        <f t="shared" ca="1" si="207"/>
        <v>0.83407802726913882</v>
      </c>
      <c r="BM49" s="71">
        <f t="shared" ca="1" si="208"/>
        <v>4.9610852693689313</v>
      </c>
      <c r="BN49" s="71">
        <f t="shared" ca="1" si="209"/>
        <v>6.7718873980604766</v>
      </c>
      <c r="BO49" s="71">
        <f t="shared" ca="1" si="210"/>
        <v>0.71089020119608426</v>
      </c>
      <c r="BP49" s="71">
        <f t="shared" ca="1" si="211"/>
        <v>3.4835023491828734</v>
      </c>
      <c r="BQ49" s="71">
        <f t="shared" ca="1" si="212"/>
        <v>2.9928682154951449</v>
      </c>
      <c r="BR49" s="71">
        <f t="shared" ca="1" si="213"/>
        <v>7.4009632706979147</v>
      </c>
      <c r="BS49" s="71">
        <f t="shared" ca="1" si="214"/>
        <v>5.8345655031500838</v>
      </c>
      <c r="BT49" s="71">
        <f t="shared" ca="1" si="215"/>
        <v>0.63716825440537916</v>
      </c>
      <c r="BU49" s="71">
        <f t="shared" ca="1" si="216"/>
        <v>3.4835023491828734</v>
      </c>
      <c r="BV49" s="71">
        <f t="shared" ca="1" si="217"/>
        <v>2.9928682154951449</v>
      </c>
      <c r="BW49" s="71">
        <f t="shared" ca="1" si="218"/>
        <v>10.263753458923921</v>
      </c>
      <c r="BX49" s="71">
        <f t="shared" ca="1" si="219"/>
        <v>4.7129387412629287</v>
      </c>
      <c r="BY49" s="71">
        <f t="shared" ca="1" si="220"/>
        <v>0.77934629464459604</v>
      </c>
      <c r="BZ49" s="71">
        <f t="shared" ca="1" si="221"/>
        <v>6.6039364569304464</v>
      </c>
      <c r="CA49" s="71">
        <f t="shared" ca="1" si="222"/>
        <v>3.2832595912826656</v>
      </c>
      <c r="CB49" s="71">
        <f t="shared" ca="1" si="223"/>
        <v>8.4071008633095623</v>
      </c>
      <c r="CC49" s="71">
        <f t="shared" ca="1" si="224"/>
        <v>3.2832595912826656</v>
      </c>
      <c r="CD49" s="71">
        <f t="shared" ca="1" si="225"/>
        <v>4.3856266321863746</v>
      </c>
      <c r="CE49" s="71">
        <f t="shared" ca="1" si="226"/>
        <v>11.458953225462515</v>
      </c>
      <c r="CF49" s="71">
        <f t="shared" ca="1" si="227"/>
        <v>4.3856266321863746</v>
      </c>
      <c r="CG49" s="71">
        <f t="shared" ca="1" si="228"/>
        <v>4.0664633355483044</v>
      </c>
    </row>
    <row r="50" spans="1:85" x14ac:dyDescent="0.25">
      <c r="A50" t="str">
        <f t="shared" si="229"/>
        <v>I. Vanags</v>
      </c>
      <c r="B50">
        <f t="shared" si="229"/>
        <v>25</v>
      </c>
      <c r="C50" s="49">
        <f t="shared" ca="1" si="229"/>
        <v>63</v>
      </c>
      <c r="D50" t="str">
        <f t="shared" si="229"/>
        <v>CAB</v>
      </c>
      <c r="E50" s="204">
        <f t="shared" si="229"/>
        <v>43626</v>
      </c>
      <c r="F50" s="150">
        <f t="shared" ca="1" si="149"/>
        <v>1</v>
      </c>
      <c r="G50" s="151">
        <f t="shared" si="150"/>
        <v>5.0999999999999996</v>
      </c>
      <c r="H50" s="48">
        <f t="shared" si="151"/>
        <v>0</v>
      </c>
      <c r="I50" s="48">
        <f t="shared" si="152"/>
        <v>7.166666666666667</v>
      </c>
      <c r="J50" s="48">
        <f t="shared" si="153"/>
        <v>14.692307692307692</v>
      </c>
      <c r="K50" s="48">
        <f t="shared" si="154"/>
        <v>3</v>
      </c>
      <c r="L50" s="48">
        <f t="shared" si="155"/>
        <v>4</v>
      </c>
      <c r="M50" s="48">
        <f t="shared" si="156"/>
        <v>7.6818181818181817</v>
      </c>
      <c r="N50" s="48">
        <f t="shared" si="157"/>
        <v>19</v>
      </c>
      <c r="O50" s="151">
        <f t="shared" si="158"/>
        <v>2.2708333333333335</v>
      </c>
      <c r="P50" s="151">
        <f t="shared" ca="1" si="159"/>
        <v>19.896791634053436</v>
      </c>
      <c r="Q50" s="151">
        <f t="shared" si="160"/>
        <v>0.9540909090909091</v>
      </c>
      <c r="R50" s="151">
        <f t="shared" si="161"/>
        <v>0.85666666666666669</v>
      </c>
      <c r="S50" s="151">
        <f t="shared" ca="1" si="162"/>
        <v>20.943426901463916</v>
      </c>
      <c r="T50" s="71">
        <f t="shared" ca="1" si="163"/>
        <v>3.6746116849779984</v>
      </c>
      <c r="U50" s="71">
        <f t="shared" ca="1" si="164"/>
        <v>5.5547974631232488</v>
      </c>
      <c r="V50" s="71">
        <f t="shared" ca="1" si="165"/>
        <v>3.6746116849779984</v>
      </c>
      <c r="W50" s="71">
        <f t="shared" ca="1" si="166"/>
        <v>4.7008082811553811</v>
      </c>
      <c r="X50" s="71">
        <f t="shared" ca="1" si="167"/>
        <v>9.1100935681305835</v>
      </c>
      <c r="Y50" s="71">
        <f t="shared" ca="1" si="168"/>
        <v>2.3504041405776905</v>
      </c>
      <c r="Z50" s="71">
        <f t="shared" ca="1" si="169"/>
        <v>3.9593048333176419</v>
      </c>
      <c r="AA50" s="71">
        <f t="shared" ca="1" si="170"/>
        <v>3.4436153687533606</v>
      </c>
      <c r="AB50" s="71">
        <f t="shared" ca="1" si="171"/>
        <v>6.5865976497584118</v>
      </c>
      <c r="AC50" s="71">
        <f t="shared" ca="1" si="172"/>
        <v>1.7218076843766803</v>
      </c>
      <c r="AD50" s="71">
        <f t="shared" ca="1" si="173"/>
        <v>6.4047578186020679</v>
      </c>
      <c r="AE50" s="238">
        <f t="shared" ca="1" si="174"/>
        <v>8.3812860826801376</v>
      </c>
      <c r="AF50" s="71">
        <f t="shared" ca="1" si="175"/>
        <v>3.7715787372060614</v>
      </c>
      <c r="AG50" s="71">
        <f t="shared" ca="1" si="176"/>
        <v>2.7781676771598582</v>
      </c>
      <c r="AH50" s="238">
        <f t="shared" ca="1" si="177"/>
        <v>2.906735018060782</v>
      </c>
      <c r="AI50" s="71">
        <f t="shared" ca="1" si="178"/>
        <v>6.8690105503704597</v>
      </c>
      <c r="AJ50" s="71">
        <f t="shared" ca="1" si="179"/>
        <v>6.4499462462364532</v>
      </c>
      <c r="AK50" s="71">
        <f t="shared" ca="1" si="180"/>
        <v>3.4975522925444742</v>
      </c>
      <c r="AL50" s="71">
        <f t="shared" ca="1" si="181"/>
        <v>1.2137069476216076</v>
      </c>
      <c r="AM50" s="71">
        <f t="shared" ca="1" si="182"/>
        <v>2.4597252633952578</v>
      </c>
      <c r="AN50" s="71">
        <f t="shared" ca="1" si="183"/>
        <v>5.4113955794695663</v>
      </c>
      <c r="AO50" s="71">
        <f t="shared" ca="1" si="184"/>
        <v>1.2298626316976289</v>
      </c>
      <c r="AP50" s="71">
        <f t="shared" ca="1" si="185"/>
        <v>15.704133456520395</v>
      </c>
      <c r="AQ50" s="71">
        <f t="shared" ca="1" si="186"/>
        <v>0.77264549719030906</v>
      </c>
      <c r="AR50" s="71">
        <f t="shared" ca="1" si="187"/>
        <v>2.3783786275834724</v>
      </c>
      <c r="AS50" s="71">
        <f t="shared" ca="1" si="188"/>
        <v>0.38632274859515453</v>
      </c>
      <c r="AT50" s="71">
        <f t="shared" ca="1" si="189"/>
        <v>1.7218076843766803</v>
      </c>
      <c r="AU50" s="71">
        <f t="shared" ca="1" si="190"/>
        <v>3.6440374272522336</v>
      </c>
      <c r="AV50" s="71">
        <f t="shared" ca="1" si="191"/>
        <v>0.86090384218834015</v>
      </c>
      <c r="AW50" s="71">
        <f t="shared" ca="1" si="192"/>
        <v>16.635734593771605</v>
      </c>
      <c r="AX50" s="71">
        <f t="shared" ca="1" si="193"/>
        <v>1.5036870060703706</v>
      </c>
      <c r="AY50" s="71">
        <f t="shared" ca="1" si="194"/>
        <v>4.0480100408884354</v>
      </c>
      <c r="AZ50" s="71">
        <f t="shared" ca="1" si="195"/>
        <v>0.75184350303518532</v>
      </c>
      <c r="BA50" s="71">
        <f t="shared" ca="1" si="196"/>
        <v>2.6510372283259995</v>
      </c>
      <c r="BB50" s="71">
        <f t="shared" ca="1" si="197"/>
        <v>3.170312561709443</v>
      </c>
      <c r="BC50" s="71">
        <f t="shared" ca="1" si="198"/>
        <v>14.656082177112784</v>
      </c>
      <c r="BD50" s="71">
        <f t="shared" ca="1" si="199"/>
        <v>4.7097065154014208</v>
      </c>
      <c r="BE50" s="71">
        <f t="shared" ca="1" si="200"/>
        <v>1.4323658832528037</v>
      </c>
      <c r="BF50" s="71">
        <f t="shared" ca="1" si="201"/>
        <v>4.4183953805433331</v>
      </c>
      <c r="BG50" s="71">
        <f t="shared" ca="1" si="202"/>
        <v>2.4050647019864742</v>
      </c>
      <c r="BH50" s="71">
        <f t="shared" ca="1" si="203"/>
        <v>6.3382148802269818</v>
      </c>
      <c r="BI50" s="71">
        <f t="shared" ca="1" si="204"/>
        <v>4.5215551118794624</v>
      </c>
      <c r="BJ50" s="71">
        <f t="shared" ca="1" si="205"/>
        <v>0.30905819887612362</v>
      </c>
      <c r="BK50" s="71">
        <f t="shared" ca="1" si="206"/>
        <v>1.6398168422635049</v>
      </c>
      <c r="BL50" s="71">
        <f t="shared" ca="1" si="207"/>
        <v>0.61948636263287971</v>
      </c>
      <c r="BM50" s="71">
        <f t="shared" ca="1" si="208"/>
        <v>5.0738990511003399</v>
      </c>
      <c r="BN50" s="71">
        <f t="shared" ca="1" si="209"/>
        <v>6.6432469952825954</v>
      </c>
      <c r="BO50" s="71">
        <f t="shared" ca="1" si="210"/>
        <v>0.80236263169762867</v>
      </c>
      <c r="BP50" s="71">
        <f t="shared" ca="1" si="211"/>
        <v>2.5872665733490856</v>
      </c>
      <c r="BQ50" s="71">
        <f t="shared" ca="1" si="212"/>
        <v>2.2228628306238623</v>
      </c>
      <c r="BR50" s="71">
        <f t="shared" ca="1" si="213"/>
        <v>7.5692592401660805</v>
      </c>
      <c r="BS50" s="71">
        <f t="shared" ca="1" si="214"/>
        <v>5.7213170068220185</v>
      </c>
      <c r="BT50" s="71">
        <f t="shared" ca="1" si="215"/>
        <v>0.71915465507713372</v>
      </c>
      <c r="BU50" s="71">
        <f t="shared" ca="1" si="216"/>
        <v>2.5872665733490856</v>
      </c>
      <c r="BV50" s="71">
        <f t="shared" ca="1" si="217"/>
        <v>2.2228628306238623</v>
      </c>
      <c r="BW50" s="71">
        <f t="shared" ca="1" si="218"/>
        <v>10.497148528669884</v>
      </c>
      <c r="BX50" s="71">
        <f t="shared" ca="1" si="219"/>
        <v>4.6173670768102042</v>
      </c>
      <c r="BY50" s="71">
        <f t="shared" ca="1" si="220"/>
        <v>0.87962718141665952</v>
      </c>
      <c r="BZ50" s="71">
        <f t="shared" ca="1" si="221"/>
        <v>6.7541082450712722</v>
      </c>
      <c r="CA50" s="71">
        <f t="shared" ca="1" si="222"/>
        <v>3.420116324753609</v>
      </c>
      <c r="CB50" s="71">
        <f t="shared" ca="1" si="223"/>
        <v>8.8387986910483693</v>
      </c>
      <c r="CC50" s="71">
        <f t="shared" ca="1" si="224"/>
        <v>3.420116324753609</v>
      </c>
      <c r="CD50" s="71">
        <f t="shared" ca="1" si="225"/>
        <v>4.4390276868847467</v>
      </c>
      <c r="CE50" s="71">
        <f t="shared" ca="1" si="226"/>
        <v>11.818369609922282</v>
      </c>
      <c r="CF50" s="71">
        <f t="shared" ca="1" si="227"/>
        <v>4.4390276868847467</v>
      </c>
      <c r="CG50" s="71">
        <f t="shared" ca="1" si="228"/>
        <v>4.1589336484429014</v>
      </c>
    </row>
    <row r="51" spans="1:85" x14ac:dyDescent="0.25">
      <c r="A51" t="str">
        <f t="shared" si="229"/>
        <v>I. Stone</v>
      </c>
      <c r="B51">
        <f t="shared" si="229"/>
        <v>25</v>
      </c>
      <c r="C51" s="49">
        <f t="shared" ca="1" si="229"/>
        <v>6</v>
      </c>
      <c r="D51" t="str">
        <f t="shared" si="229"/>
        <v>RAP</v>
      </c>
      <c r="E51" s="204">
        <f t="shared" si="229"/>
        <v>43633</v>
      </c>
      <c r="F51" s="150">
        <f t="shared" ca="1" si="149"/>
        <v>1</v>
      </c>
      <c r="G51" s="151">
        <f t="shared" si="150"/>
        <v>6.3</v>
      </c>
      <c r="H51" s="48">
        <f t="shared" si="151"/>
        <v>0</v>
      </c>
      <c r="I51" s="48">
        <f t="shared" si="152"/>
        <v>6</v>
      </c>
      <c r="J51" s="48">
        <f t="shared" si="153"/>
        <v>13.727272727272727</v>
      </c>
      <c r="K51" s="48">
        <f t="shared" si="154"/>
        <v>2</v>
      </c>
      <c r="L51" s="48">
        <f t="shared" si="155"/>
        <v>6</v>
      </c>
      <c r="M51" s="48">
        <f t="shared" si="156"/>
        <v>9.5</v>
      </c>
      <c r="N51" s="48">
        <f t="shared" si="157"/>
        <v>18.5</v>
      </c>
      <c r="O51" s="151">
        <f t="shared" si="158"/>
        <v>2.625</v>
      </c>
      <c r="P51" s="151">
        <f t="shared" ca="1" si="159"/>
        <v>22.910390152389887</v>
      </c>
      <c r="Q51" s="151">
        <f t="shared" si="160"/>
        <v>1.03</v>
      </c>
      <c r="R51" s="151">
        <f t="shared" si="161"/>
        <v>0.79500000000000004</v>
      </c>
      <c r="S51" s="151">
        <f t="shared" ca="1" si="162"/>
        <v>20.565787399271443</v>
      </c>
      <c r="T51" s="71">
        <f t="shared" ca="1" si="163"/>
        <v>3.4594323995639691</v>
      </c>
      <c r="U51" s="71">
        <f t="shared" ca="1" si="164"/>
        <v>5.2169315324594319</v>
      </c>
      <c r="V51" s="71">
        <f t="shared" ca="1" si="165"/>
        <v>3.4594323995639691</v>
      </c>
      <c r="W51" s="71">
        <f t="shared" ca="1" si="166"/>
        <v>4.1619462980240645</v>
      </c>
      <c r="X51" s="71">
        <f t="shared" ca="1" si="167"/>
        <v>8.0657873992714428</v>
      </c>
      <c r="Y51" s="71">
        <f t="shared" ca="1" si="168"/>
        <v>2.0809731490120322</v>
      </c>
      <c r="Z51" s="71">
        <f t="shared" ca="1" si="169"/>
        <v>3.7587483101175123</v>
      </c>
      <c r="AA51" s="71">
        <f t="shared" ca="1" si="170"/>
        <v>3.0488676369246055</v>
      </c>
      <c r="AB51" s="71">
        <f t="shared" ca="1" si="171"/>
        <v>5.8315642896732527</v>
      </c>
      <c r="AC51" s="71">
        <f t="shared" ca="1" si="172"/>
        <v>1.5244338184623027</v>
      </c>
      <c r="AD51" s="71">
        <f t="shared" ca="1" si="173"/>
        <v>6.0803281487195058</v>
      </c>
      <c r="AE51" s="238">
        <f t="shared" ca="1" si="174"/>
        <v>7.4205244073297276</v>
      </c>
      <c r="AF51" s="71">
        <f t="shared" ca="1" si="175"/>
        <v>3.3392359832983773</v>
      </c>
      <c r="AG51" s="71">
        <f t="shared" ca="1" si="176"/>
        <v>2.6374410411328766</v>
      </c>
      <c r="AH51" s="238">
        <f t="shared" ca="1" si="177"/>
        <v>2.3906829907716078</v>
      </c>
      <c r="AI51" s="71">
        <f t="shared" ca="1" si="178"/>
        <v>6.0816036990506683</v>
      </c>
      <c r="AJ51" s="71">
        <f t="shared" ca="1" si="179"/>
        <v>5.710577478684181</v>
      </c>
      <c r="AK51" s="71">
        <f t="shared" ca="1" si="180"/>
        <v>3.434486495678331</v>
      </c>
      <c r="AL51" s="71">
        <f t="shared" ca="1" si="181"/>
        <v>1.3509467709901752</v>
      </c>
      <c r="AM51" s="71">
        <f t="shared" ca="1" si="182"/>
        <v>2.1777625978032895</v>
      </c>
      <c r="AN51" s="71">
        <f t="shared" ca="1" si="183"/>
        <v>4.791077715167237</v>
      </c>
      <c r="AO51" s="71">
        <f t="shared" ca="1" si="184"/>
        <v>1.0888812989016448</v>
      </c>
      <c r="AP51" s="71">
        <f t="shared" ca="1" si="185"/>
        <v>14.908648759457694</v>
      </c>
      <c r="AQ51" s="71">
        <f t="shared" ca="1" si="186"/>
        <v>1.0485523619052877</v>
      </c>
      <c r="AR51" s="71">
        <f t="shared" ca="1" si="187"/>
        <v>2.9687757079865329</v>
      </c>
      <c r="AS51" s="71">
        <f t="shared" ca="1" si="188"/>
        <v>0.52427618095264383</v>
      </c>
      <c r="AT51" s="71">
        <f t="shared" ca="1" si="189"/>
        <v>1.5244338184623027</v>
      </c>
      <c r="AU51" s="71">
        <f t="shared" ca="1" si="190"/>
        <v>3.2263149597085774</v>
      </c>
      <c r="AV51" s="71">
        <f t="shared" ca="1" si="191"/>
        <v>0.76221690923115137</v>
      </c>
      <c r="AW51" s="71">
        <f t="shared" ca="1" si="192"/>
        <v>15.793060126544169</v>
      </c>
      <c r="AX51" s="71">
        <f t="shared" ca="1" si="193"/>
        <v>2.0406442120156751</v>
      </c>
      <c r="AY51" s="71">
        <f t="shared" ca="1" si="194"/>
        <v>5.1792488569985657</v>
      </c>
      <c r="AZ51" s="71">
        <f t="shared" ca="1" si="195"/>
        <v>1.0203221060078376</v>
      </c>
      <c r="BA51" s="71">
        <f t="shared" ca="1" si="196"/>
        <v>2.3471441331879896</v>
      </c>
      <c r="BB51" s="71">
        <f t="shared" ca="1" si="197"/>
        <v>2.8068940149464621</v>
      </c>
      <c r="BC51" s="71">
        <f t="shared" ca="1" si="198"/>
        <v>13.913685971485414</v>
      </c>
      <c r="BD51" s="71">
        <f t="shared" ca="1" si="199"/>
        <v>4.8744849979523117</v>
      </c>
      <c r="BE51" s="71">
        <f t="shared" ca="1" si="200"/>
        <v>1.9438547632244176</v>
      </c>
      <c r="BF51" s="71">
        <f t="shared" ca="1" si="201"/>
        <v>3.9119068886466497</v>
      </c>
      <c r="BG51" s="71">
        <f t="shared" ca="1" si="202"/>
        <v>2.1293678734076611</v>
      </c>
      <c r="BH51" s="71">
        <f t="shared" ca="1" si="203"/>
        <v>6.0171559082133284</v>
      </c>
      <c r="BI51" s="71">
        <f t="shared" ca="1" si="204"/>
        <v>4.357498186963241</v>
      </c>
      <c r="BJ51" s="71">
        <f t="shared" ca="1" si="205"/>
        <v>0.419420944762115</v>
      </c>
      <c r="BK51" s="71">
        <f t="shared" ca="1" si="206"/>
        <v>1.4518417318688597</v>
      </c>
      <c r="BL51" s="71">
        <f t="shared" ca="1" si="207"/>
        <v>0.54847354315045815</v>
      </c>
      <c r="BM51" s="71">
        <f t="shared" ca="1" si="208"/>
        <v>4.8168833385959715</v>
      </c>
      <c r="BN51" s="71">
        <f t="shared" ca="1" si="209"/>
        <v>6.3726025954630749</v>
      </c>
      <c r="BO51" s="71">
        <f t="shared" ca="1" si="210"/>
        <v>1.0888812989016448</v>
      </c>
      <c r="BP51" s="71">
        <f t="shared" ca="1" si="211"/>
        <v>2.2906836213930895</v>
      </c>
      <c r="BQ51" s="71">
        <f t="shared" ca="1" si="212"/>
        <v>1.9680521254222321</v>
      </c>
      <c r="BR51" s="71">
        <f t="shared" ca="1" si="213"/>
        <v>7.1858423575775969</v>
      </c>
      <c r="BS51" s="71">
        <f t="shared" ca="1" si="214"/>
        <v>5.4808924383927575</v>
      </c>
      <c r="BT51" s="71">
        <f t="shared" ca="1" si="215"/>
        <v>0.97596027531184459</v>
      </c>
      <c r="BU51" s="71">
        <f t="shared" ca="1" si="216"/>
        <v>2.2906836213930895</v>
      </c>
      <c r="BV51" s="71">
        <f t="shared" ca="1" si="217"/>
        <v>1.9680521254222321</v>
      </c>
      <c r="BW51" s="71">
        <f t="shared" ca="1" si="218"/>
        <v>9.9654209398493716</v>
      </c>
      <c r="BX51" s="71">
        <f t="shared" ca="1" si="219"/>
        <v>4.410879722347941</v>
      </c>
      <c r="BY51" s="71">
        <f t="shared" ca="1" si="220"/>
        <v>1.1937365350921736</v>
      </c>
      <c r="BZ51" s="71">
        <f t="shared" ca="1" si="221"/>
        <v>6.4119824113769335</v>
      </c>
      <c r="CA51" s="71">
        <f t="shared" ca="1" si="222"/>
        <v>4.070775235020422</v>
      </c>
      <c r="CB51" s="71">
        <f t="shared" ca="1" si="223"/>
        <v>11.122576611579644</v>
      </c>
      <c r="CC51" s="71">
        <f t="shared" ca="1" si="224"/>
        <v>4.070775235020422</v>
      </c>
      <c r="CD51" s="71">
        <f t="shared" ca="1" si="225"/>
        <v>5.0509855497461089</v>
      </c>
      <c r="CE51" s="71">
        <f t="shared" ca="1" si="226"/>
        <v>14.542062949602606</v>
      </c>
      <c r="CF51" s="71">
        <f t="shared" ca="1" si="227"/>
        <v>5.0509855497461089</v>
      </c>
      <c r="CG51" s="71">
        <f t="shared" ca="1" si="228"/>
        <v>3.9482650316360424</v>
      </c>
    </row>
    <row r="52" spans="1:85" x14ac:dyDescent="0.25">
      <c r="A52" t="str">
        <f t="shared" si="229"/>
        <v>G. Piscaer</v>
      </c>
      <c r="B52">
        <f t="shared" si="229"/>
        <v>25</v>
      </c>
      <c r="C52" s="49">
        <f t="shared" ca="1" si="229"/>
        <v>79</v>
      </c>
      <c r="D52" t="str">
        <f t="shared" si="229"/>
        <v>IMP</v>
      </c>
      <c r="E52" s="204">
        <f t="shared" si="229"/>
        <v>43630</v>
      </c>
      <c r="F52" s="150">
        <f t="shared" ca="1" si="149"/>
        <v>1</v>
      </c>
      <c r="G52" s="151">
        <f t="shared" si="150"/>
        <v>6.2</v>
      </c>
      <c r="H52" s="48">
        <f t="shared" si="151"/>
        <v>0</v>
      </c>
      <c r="I52" s="48">
        <f t="shared" si="152"/>
        <v>6.4</v>
      </c>
      <c r="J52" s="48">
        <f t="shared" si="153"/>
        <v>14.846153846153847</v>
      </c>
      <c r="K52" s="48">
        <f t="shared" si="154"/>
        <v>3</v>
      </c>
      <c r="L52" s="48">
        <f t="shared" si="155"/>
        <v>2</v>
      </c>
      <c r="M52" s="48">
        <f t="shared" si="156"/>
        <v>8.5769230769230766</v>
      </c>
      <c r="N52" s="48">
        <f t="shared" si="157"/>
        <v>17.75</v>
      </c>
      <c r="O52" s="151">
        <f t="shared" si="158"/>
        <v>1.675</v>
      </c>
      <c r="P52" s="151">
        <f t="shared" ca="1" si="159"/>
        <v>20.945106486080491</v>
      </c>
      <c r="Q52" s="151">
        <f t="shared" si="160"/>
        <v>0.96134615384615396</v>
      </c>
      <c r="R52" s="151">
        <f t="shared" si="161"/>
        <v>0.78850000000000009</v>
      </c>
      <c r="S52" s="151">
        <f t="shared" ca="1" si="162"/>
        <v>19.806522252664337</v>
      </c>
      <c r="T52" s="71">
        <f t="shared" ca="1" si="163"/>
        <v>3.5617439265759678</v>
      </c>
      <c r="U52" s="71">
        <f t="shared" ca="1" si="164"/>
        <v>5.3749702281896612</v>
      </c>
      <c r="V52" s="71">
        <f t="shared" ca="1" si="165"/>
        <v>3.5617439265759678</v>
      </c>
      <c r="W52" s="71">
        <f t="shared" ca="1" si="166"/>
        <v>4.3635654823747991</v>
      </c>
      <c r="X52" s="71">
        <f t="shared" ca="1" si="167"/>
        <v>8.4565222526643389</v>
      </c>
      <c r="Y52" s="71">
        <f t="shared" ca="1" si="168"/>
        <v>2.1817827411873996</v>
      </c>
      <c r="Z52" s="71">
        <f t="shared" ca="1" si="169"/>
        <v>4.0228369115187279</v>
      </c>
      <c r="AA52" s="71">
        <f t="shared" ca="1" si="170"/>
        <v>3.19656541150712</v>
      </c>
      <c r="AB52" s="71">
        <f t="shared" ca="1" si="171"/>
        <v>6.1140655886763167</v>
      </c>
      <c r="AC52" s="71">
        <f t="shared" ca="1" si="172"/>
        <v>1.59828270575356</v>
      </c>
      <c r="AD52" s="71">
        <f t="shared" ca="1" si="173"/>
        <v>6.5075302980450012</v>
      </c>
      <c r="AE52" s="238">
        <f t="shared" ca="1" si="174"/>
        <v>7.7800004724511922</v>
      </c>
      <c r="AF52" s="71">
        <f t="shared" ca="1" si="175"/>
        <v>3.501000212603036</v>
      </c>
      <c r="AG52" s="71">
        <f t="shared" ca="1" si="176"/>
        <v>2.8227469085026367</v>
      </c>
      <c r="AH52" s="238">
        <f t="shared" ca="1" si="177"/>
        <v>2.9732350845666309</v>
      </c>
      <c r="AI52" s="71">
        <f t="shared" ca="1" si="178"/>
        <v>6.3762177785089111</v>
      </c>
      <c r="AJ52" s="71">
        <f t="shared" ca="1" si="179"/>
        <v>5.9872177548863519</v>
      </c>
      <c r="AK52" s="71">
        <f t="shared" ca="1" si="180"/>
        <v>3.3076892161949445</v>
      </c>
      <c r="AL52" s="71">
        <f t="shared" ca="1" si="181"/>
        <v>1.0746784087673293</v>
      </c>
      <c r="AM52" s="71">
        <f t="shared" ca="1" si="182"/>
        <v>2.2832610082193718</v>
      </c>
      <c r="AN52" s="71">
        <f t="shared" ca="1" si="183"/>
        <v>5.0231742180826169</v>
      </c>
      <c r="AO52" s="71">
        <f t="shared" ca="1" si="184"/>
        <v>1.1416305041096859</v>
      </c>
      <c r="AP52" s="71">
        <f t="shared" ca="1" si="185"/>
        <v>15.956126237284364</v>
      </c>
      <c r="AQ52" s="71">
        <f t="shared" ca="1" si="186"/>
        <v>0.52734789284636407</v>
      </c>
      <c r="AR52" s="71">
        <f t="shared" ca="1" si="187"/>
        <v>2.3263687123383434</v>
      </c>
      <c r="AS52" s="71">
        <f t="shared" ca="1" si="188"/>
        <v>0.26367394642318204</v>
      </c>
      <c r="AT52" s="71">
        <f t="shared" ca="1" si="189"/>
        <v>1.59828270575356</v>
      </c>
      <c r="AU52" s="71">
        <f t="shared" ca="1" si="190"/>
        <v>3.3826089010657356</v>
      </c>
      <c r="AV52" s="71">
        <f t="shared" ca="1" si="191"/>
        <v>0.79914135287678001</v>
      </c>
      <c r="AW52" s="71">
        <f t="shared" ca="1" si="192"/>
        <v>16.902676098818183</v>
      </c>
      <c r="AX52" s="71">
        <f t="shared" ca="1" si="193"/>
        <v>1.0263001299240777</v>
      </c>
      <c r="AY52" s="71">
        <f t="shared" ca="1" si="194"/>
        <v>3.6162976073718962</v>
      </c>
      <c r="AZ52" s="71">
        <f t="shared" ca="1" si="195"/>
        <v>0.51315006496203885</v>
      </c>
      <c r="BA52" s="71">
        <f t="shared" ca="1" si="196"/>
        <v>2.4608479755253225</v>
      </c>
      <c r="BB52" s="71">
        <f t="shared" ca="1" si="197"/>
        <v>2.9428697439271896</v>
      </c>
      <c r="BC52" s="71">
        <f t="shared" ca="1" si="198"/>
        <v>14.89125764305882</v>
      </c>
      <c r="BD52" s="71">
        <f t="shared" ca="1" si="199"/>
        <v>4.1802482826185967</v>
      </c>
      <c r="BE52" s="71">
        <f t="shared" ca="1" si="200"/>
        <v>0.97762186289210551</v>
      </c>
      <c r="BF52" s="71">
        <f t="shared" ca="1" si="201"/>
        <v>4.1014132925422047</v>
      </c>
      <c r="BG52" s="71">
        <f t="shared" ca="1" si="202"/>
        <v>2.2325218747033855</v>
      </c>
      <c r="BH52" s="71">
        <f t="shared" ca="1" si="203"/>
        <v>6.4399195936497282</v>
      </c>
      <c r="BI52" s="71">
        <f t="shared" ca="1" si="204"/>
        <v>4.218400448828632</v>
      </c>
      <c r="BJ52" s="71">
        <f t="shared" ca="1" si="205"/>
        <v>0.21093915713854558</v>
      </c>
      <c r="BK52" s="71">
        <f t="shared" ca="1" si="206"/>
        <v>1.5221740054795809</v>
      </c>
      <c r="BL52" s="71">
        <f t="shared" ca="1" si="207"/>
        <v>0.57504351318117508</v>
      </c>
      <c r="BM52" s="71">
        <f t="shared" ca="1" si="208"/>
        <v>5.1553162101395458</v>
      </c>
      <c r="BN52" s="71">
        <f t="shared" ca="1" si="209"/>
        <v>6.2166876169263396</v>
      </c>
      <c r="BO52" s="71">
        <f t="shared" ca="1" si="210"/>
        <v>0.54763050410968572</v>
      </c>
      <c r="BP52" s="71">
        <f t="shared" ca="1" si="211"/>
        <v>2.4016523197566721</v>
      </c>
      <c r="BQ52" s="71">
        <f t="shared" ca="1" si="212"/>
        <v>2.0633914296500988</v>
      </c>
      <c r="BR52" s="71">
        <f t="shared" ca="1" si="213"/>
        <v>7.6907176249622733</v>
      </c>
      <c r="BS52" s="71">
        <f t="shared" ca="1" si="214"/>
        <v>5.3586266559520874</v>
      </c>
      <c r="BT52" s="71">
        <f t="shared" ca="1" si="215"/>
        <v>0.49083919257238495</v>
      </c>
      <c r="BU52" s="71">
        <f t="shared" ca="1" si="216"/>
        <v>2.4016523197566721</v>
      </c>
      <c r="BV52" s="71">
        <f t="shared" ca="1" si="217"/>
        <v>2.0633914296500988</v>
      </c>
      <c r="BW52" s="71">
        <f t="shared" ca="1" si="218"/>
        <v>10.665588618354274</v>
      </c>
      <c r="BX52" s="71">
        <f t="shared" ca="1" si="219"/>
        <v>4.332587416134583</v>
      </c>
      <c r="BY52" s="71">
        <f t="shared" ca="1" si="220"/>
        <v>0.6003652933943221</v>
      </c>
      <c r="BZ52" s="71">
        <f t="shared" ca="1" si="221"/>
        <v>6.8624864961201828</v>
      </c>
      <c r="CA52" s="71">
        <f t="shared" ca="1" si="222"/>
        <v>3.0927173244073511</v>
      </c>
      <c r="CB52" s="71">
        <f t="shared" ca="1" si="223"/>
        <v>8.4019902103461988</v>
      </c>
      <c r="CC52" s="71">
        <f t="shared" ca="1" si="224"/>
        <v>3.0927173244073511</v>
      </c>
      <c r="CD52" s="71">
        <f t="shared" ca="1" si="225"/>
        <v>4.4582133634098824</v>
      </c>
      <c r="CE52" s="71">
        <f t="shared" ca="1" si="226"/>
        <v>12.130302040820556</v>
      </c>
      <c r="CF52" s="71">
        <f t="shared" ca="1" si="227"/>
        <v>4.4582133634098824</v>
      </c>
      <c r="CG52" s="71">
        <f t="shared" ca="1" si="228"/>
        <v>4.2256690247045459</v>
      </c>
    </row>
    <row r="53" spans="1:85" x14ac:dyDescent="0.25">
      <c r="A53" t="str">
        <f t="shared" si="229"/>
        <v>M. Bondarewski</v>
      </c>
      <c r="B53">
        <f t="shared" si="229"/>
        <v>25</v>
      </c>
      <c r="C53" s="49">
        <f t="shared" ca="1" si="229"/>
        <v>79</v>
      </c>
      <c r="D53" t="str">
        <f t="shared" si="229"/>
        <v>RAP</v>
      </c>
      <c r="E53" s="204">
        <f t="shared" si="229"/>
        <v>43627</v>
      </c>
      <c r="F53" s="150">
        <f t="shared" ca="1" si="149"/>
        <v>1</v>
      </c>
      <c r="G53" s="151">
        <f t="shared" si="150"/>
        <v>6.3</v>
      </c>
      <c r="H53" s="48">
        <f t="shared" si="151"/>
        <v>0</v>
      </c>
      <c r="I53" s="48">
        <f t="shared" si="152"/>
        <v>4.75</v>
      </c>
      <c r="J53" s="48">
        <f t="shared" si="153"/>
        <v>14.692307692307692</v>
      </c>
      <c r="K53" s="48">
        <f t="shared" si="154"/>
        <v>5</v>
      </c>
      <c r="L53" s="48">
        <f t="shared" si="155"/>
        <v>4</v>
      </c>
      <c r="M53" s="48">
        <f t="shared" si="156"/>
        <v>8.5769230769230766</v>
      </c>
      <c r="N53" s="48">
        <f t="shared" si="157"/>
        <v>19.8</v>
      </c>
      <c r="O53" s="151">
        <f t="shared" si="158"/>
        <v>1.96875</v>
      </c>
      <c r="P53" s="151">
        <f t="shared" ca="1" si="159"/>
        <v>22.093082460082194</v>
      </c>
      <c r="Q53" s="151">
        <f t="shared" si="160"/>
        <v>1.0228461538461537</v>
      </c>
      <c r="R53" s="151">
        <f t="shared" si="161"/>
        <v>0.78400000000000003</v>
      </c>
      <c r="S53" s="151">
        <f t="shared" ca="1" si="162"/>
        <v>21.865787399271444</v>
      </c>
      <c r="T53" s="71">
        <f t="shared" ca="1" si="163"/>
        <v>3.1144323995639689</v>
      </c>
      <c r="U53" s="71">
        <f t="shared" ca="1" si="164"/>
        <v>4.6856815324594319</v>
      </c>
      <c r="V53" s="71">
        <f t="shared" ca="1" si="165"/>
        <v>3.1144323995639689</v>
      </c>
      <c r="W53" s="71">
        <f t="shared" ca="1" si="166"/>
        <v>3.516946298024064</v>
      </c>
      <c r="X53" s="71">
        <f t="shared" ca="1" si="167"/>
        <v>6.8157873992714419</v>
      </c>
      <c r="Y53" s="71">
        <f t="shared" ca="1" si="168"/>
        <v>1.758473149012032</v>
      </c>
      <c r="Z53" s="71">
        <f t="shared" ca="1" si="169"/>
        <v>3.9884266317958335</v>
      </c>
      <c r="AA53" s="71">
        <f t="shared" ca="1" si="170"/>
        <v>2.5763676369246049</v>
      </c>
      <c r="AB53" s="71">
        <f t="shared" ca="1" si="171"/>
        <v>4.9278142896732522</v>
      </c>
      <c r="AC53" s="71">
        <f t="shared" ca="1" si="172"/>
        <v>1.2881838184623025</v>
      </c>
      <c r="AD53" s="71">
        <f t="shared" ca="1" si="173"/>
        <v>6.4518666102579658</v>
      </c>
      <c r="AE53" s="238">
        <f t="shared" ca="1" si="174"/>
        <v>6.2705244073297273</v>
      </c>
      <c r="AF53" s="71">
        <f t="shared" ca="1" si="175"/>
        <v>2.8217359832983768</v>
      </c>
      <c r="AG53" s="71">
        <f t="shared" ca="1" si="176"/>
        <v>2.7986018802937154</v>
      </c>
      <c r="AH53" s="238">
        <f t="shared" ca="1" si="177"/>
        <v>4.1546829907716081</v>
      </c>
      <c r="AI53" s="71">
        <f t="shared" ca="1" si="178"/>
        <v>5.1391036990506676</v>
      </c>
      <c r="AJ53" s="71">
        <f t="shared" ca="1" si="179"/>
        <v>4.8255774786841803</v>
      </c>
      <c r="AK53" s="71">
        <f t="shared" ca="1" si="180"/>
        <v>3.6515864956783313</v>
      </c>
      <c r="AL53" s="71">
        <f t="shared" ca="1" si="181"/>
        <v>1.1619467709901752</v>
      </c>
      <c r="AM53" s="71">
        <f t="shared" ca="1" si="182"/>
        <v>1.8402625978032894</v>
      </c>
      <c r="AN53" s="71">
        <f t="shared" ca="1" si="183"/>
        <v>4.0485777151672364</v>
      </c>
      <c r="AO53" s="71">
        <f t="shared" ca="1" si="184"/>
        <v>0.92013129890164469</v>
      </c>
      <c r="AP53" s="71">
        <f t="shared" ca="1" si="185"/>
        <v>15.819641766450701</v>
      </c>
      <c r="AQ53" s="71">
        <f t="shared" ca="1" si="186"/>
        <v>0.78855236190528744</v>
      </c>
      <c r="AR53" s="71">
        <f t="shared" ca="1" si="187"/>
        <v>2.5690834002942249</v>
      </c>
      <c r="AS53" s="71">
        <f t="shared" ca="1" si="188"/>
        <v>0.39427618095264372</v>
      </c>
      <c r="AT53" s="71">
        <f t="shared" ca="1" si="189"/>
        <v>1.2881838184623025</v>
      </c>
      <c r="AU53" s="71">
        <f t="shared" ca="1" si="190"/>
        <v>2.726314959708577</v>
      </c>
      <c r="AV53" s="71">
        <f t="shared" ca="1" si="191"/>
        <v>0.64409190923115123</v>
      </c>
      <c r="AW53" s="71">
        <f t="shared" ca="1" si="192"/>
        <v>16.758095091579133</v>
      </c>
      <c r="AX53" s="71">
        <f t="shared" ca="1" si="193"/>
        <v>1.5346442120156749</v>
      </c>
      <c r="AY53" s="71">
        <f t="shared" ca="1" si="194"/>
        <v>4.3034027031524111</v>
      </c>
      <c r="AZ53" s="71">
        <f t="shared" ca="1" si="195"/>
        <v>0.76732210600783746</v>
      </c>
      <c r="BA53" s="71">
        <f t="shared" ca="1" si="196"/>
        <v>1.9833941331879894</v>
      </c>
      <c r="BB53" s="71">
        <f t="shared" ca="1" si="197"/>
        <v>2.3718940149464616</v>
      </c>
      <c r="BC53" s="71">
        <f t="shared" ca="1" si="198"/>
        <v>14.763881775681217</v>
      </c>
      <c r="BD53" s="71">
        <f t="shared" ca="1" si="199"/>
        <v>5.9664849979523114</v>
      </c>
      <c r="BE53" s="71">
        <f t="shared" ca="1" si="200"/>
        <v>1.4618547632244174</v>
      </c>
      <c r="BF53" s="71">
        <f t="shared" ca="1" si="201"/>
        <v>3.3056568886466491</v>
      </c>
      <c r="BG53" s="71">
        <f t="shared" ca="1" si="202"/>
        <v>1.7993678734076608</v>
      </c>
      <c r="BH53" s="71">
        <f t="shared" ca="1" si="203"/>
        <v>6.3848342298916494</v>
      </c>
      <c r="BI53" s="71">
        <f t="shared" ca="1" si="204"/>
        <v>5.974498186963241</v>
      </c>
      <c r="BJ53" s="71">
        <f t="shared" ca="1" si="205"/>
        <v>0.31542094476211496</v>
      </c>
      <c r="BK53" s="71">
        <f t="shared" ca="1" si="206"/>
        <v>1.2268417318688596</v>
      </c>
      <c r="BL53" s="71">
        <f t="shared" ca="1" si="207"/>
        <v>0.46347354315045808</v>
      </c>
      <c r="BM53" s="71">
        <f t="shared" ca="1" si="208"/>
        <v>5.1112190029316356</v>
      </c>
      <c r="BN53" s="71">
        <f t="shared" ca="1" si="209"/>
        <v>8.800602595463074</v>
      </c>
      <c r="BO53" s="71">
        <f t="shared" ca="1" si="210"/>
        <v>0.81888129890164474</v>
      </c>
      <c r="BP53" s="71">
        <f t="shared" ca="1" si="211"/>
        <v>1.9356836213930892</v>
      </c>
      <c r="BQ53" s="71">
        <f t="shared" ca="1" si="212"/>
        <v>1.6630521254222319</v>
      </c>
      <c r="BR53" s="71">
        <f t="shared" ca="1" si="213"/>
        <v>7.6249332666685055</v>
      </c>
      <c r="BS53" s="71">
        <f t="shared" ca="1" si="214"/>
        <v>7.5848924383927585</v>
      </c>
      <c r="BT53" s="71">
        <f t="shared" ca="1" si="215"/>
        <v>0.73396027531184449</v>
      </c>
      <c r="BU53" s="71">
        <f t="shared" ca="1" si="216"/>
        <v>1.9356836213930892</v>
      </c>
      <c r="BV53" s="71">
        <f t="shared" ca="1" si="217"/>
        <v>1.6630521254222319</v>
      </c>
      <c r="BW53" s="71">
        <f t="shared" ca="1" si="218"/>
        <v>10.574358002786433</v>
      </c>
      <c r="BX53" s="71">
        <f t="shared" ca="1" si="219"/>
        <v>6.1308797223479408</v>
      </c>
      <c r="BY53" s="71">
        <f t="shared" ca="1" si="220"/>
        <v>0.89773653509217333</v>
      </c>
      <c r="BZ53" s="71">
        <f t="shared" ca="1" si="221"/>
        <v>6.8037866071811282</v>
      </c>
      <c r="CA53" s="71">
        <f t="shared" ca="1" si="222"/>
        <v>3.8855444657896521</v>
      </c>
      <c r="CB53" s="71">
        <f t="shared" ca="1" si="223"/>
        <v>9.4984227654257971</v>
      </c>
      <c r="CC53" s="71">
        <f t="shared" ca="1" si="224"/>
        <v>3.8855444657896521</v>
      </c>
      <c r="CD53" s="71">
        <f t="shared" ca="1" si="225"/>
        <v>5.1899855497461092</v>
      </c>
      <c r="CE53" s="71">
        <f t="shared" ca="1" si="226"/>
        <v>12.880986026525681</v>
      </c>
      <c r="CF53" s="71">
        <f t="shared" ca="1" si="227"/>
        <v>5.1899855497461092</v>
      </c>
      <c r="CG53" s="71">
        <f t="shared" ca="1" si="228"/>
        <v>4.1895237728947832</v>
      </c>
    </row>
    <row r="54" spans="1:85" x14ac:dyDescent="0.25">
      <c r="A54">
        <f t="shared" si="229"/>
        <v>0</v>
      </c>
      <c r="B54">
        <f t="shared" si="229"/>
        <v>0</v>
      </c>
      <c r="C54" s="49">
        <f t="shared" si="229"/>
        <v>0</v>
      </c>
      <c r="D54">
        <f t="shared" si="229"/>
        <v>0</v>
      </c>
      <c r="E54" s="204">
        <f t="shared" si="229"/>
        <v>0</v>
      </c>
      <c r="F54" s="150">
        <f t="shared" si="149"/>
        <v>0</v>
      </c>
      <c r="G54" s="151">
        <f t="shared" si="150"/>
        <v>0</v>
      </c>
      <c r="H54" s="48">
        <f t="shared" si="151"/>
        <v>0</v>
      </c>
      <c r="I54" s="48">
        <f t="shared" si="152"/>
        <v>0</v>
      </c>
      <c r="J54" s="48">
        <f t="shared" si="153"/>
        <v>0</v>
      </c>
      <c r="K54" s="48">
        <f t="shared" si="154"/>
        <v>0</v>
      </c>
      <c r="L54" s="48">
        <f t="shared" si="155"/>
        <v>0</v>
      </c>
      <c r="M54" s="48">
        <f t="shared" si="156"/>
        <v>0</v>
      </c>
      <c r="N54" s="48">
        <f t="shared" si="157"/>
        <v>0</v>
      </c>
      <c r="O54" s="151">
        <f t="shared" si="158"/>
        <v>0.375</v>
      </c>
      <c r="P54" s="151" t="e">
        <f t="shared" si="159"/>
        <v>#NUM!</v>
      </c>
      <c r="Q54" s="151">
        <f t="shared" si="160"/>
        <v>0</v>
      </c>
      <c r="R54" s="151">
        <f t="shared" si="161"/>
        <v>0</v>
      </c>
      <c r="S54" s="151" t="e">
        <f t="shared" ca="1" si="162"/>
        <v>#NUM!</v>
      </c>
      <c r="T54" s="71" t="e">
        <f t="shared" si="163"/>
        <v>#NUM!</v>
      </c>
      <c r="U54" s="71" t="e">
        <f t="shared" si="164"/>
        <v>#NUM!</v>
      </c>
      <c r="V54" s="71" t="e">
        <f t="shared" si="165"/>
        <v>#NUM!</v>
      </c>
      <c r="W54" s="71" t="e">
        <f t="shared" si="166"/>
        <v>#NUM!</v>
      </c>
      <c r="X54" s="71" t="e">
        <f t="shared" si="167"/>
        <v>#NUM!</v>
      </c>
      <c r="Y54" s="71" t="e">
        <f t="shared" si="168"/>
        <v>#NUM!</v>
      </c>
      <c r="Z54" s="71" t="e">
        <f t="shared" si="169"/>
        <v>#NUM!</v>
      </c>
      <c r="AA54" s="71" t="e">
        <f t="shared" si="170"/>
        <v>#NUM!</v>
      </c>
      <c r="AB54" s="71" t="e">
        <f t="shared" si="171"/>
        <v>#NUM!</v>
      </c>
      <c r="AC54" s="71" t="e">
        <f t="shared" si="172"/>
        <v>#NUM!</v>
      </c>
      <c r="AD54" s="71" t="e">
        <f t="shared" si="173"/>
        <v>#NUM!</v>
      </c>
      <c r="AE54" s="238" t="e">
        <f t="shared" si="174"/>
        <v>#NUM!</v>
      </c>
      <c r="AF54" s="71" t="e">
        <f t="shared" si="175"/>
        <v>#NUM!</v>
      </c>
      <c r="AG54" s="71" t="e">
        <f t="shared" si="176"/>
        <v>#NUM!</v>
      </c>
      <c r="AH54" s="238" t="e">
        <f t="shared" si="177"/>
        <v>#NUM!</v>
      </c>
      <c r="AI54" s="71" t="e">
        <f t="shared" si="178"/>
        <v>#NUM!</v>
      </c>
      <c r="AJ54" s="71" t="e">
        <f t="shared" si="179"/>
        <v>#NUM!</v>
      </c>
      <c r="AK54" s="71" t="e">
        <f t="shared" si="180"/>
        <v>#NUM!</v>
      </c>
      <c r="AL54" s="71" t="e">
        <f t="shared" si="181"/>
        <v>#NUM!</v>
      </c>
      <c r="AM54" s="71" t="e">
        <f t="shared" si="182"/>
        <v>#NUM!</v>
      </c>
      <c r="AN54" s="71" t="e">
        <f t="shared" si="183"/>
        <v>#NUM!</v>
      </c>
      <c r="AO54" s="71" t="e">
        <f t="shared" si="184"/>
        <v>#NUM!</v>
      </c>
      <c r="AP54" s="71" t="e">
        <f t="shared" si="185"/>
        <v>#NUM!</v>
      </c>
      <c r="AQ54" s="71" t="e">
        <f t="shared" si="186"/>
        <v>#NUM!</v>
      </c>
      <c r="AR54" s="71" t="e">
        <f t="shared" si="187"/>
        <v>#NUM!</v>
      </c>
      <c r="AS54" s="71" t="e">
        <f t="shared" si="188"/>
        <v>#NUM!</v>
      </c>
      <c r="AT54" s="71" t="e">
        <f t="shared" si="189"/>
        <v>#NUM!</v>
      </c>
      <c r="AU54" s="71" t="e">
        <f t="shared" si="190"/>
        <v>#NUM!</v>
      </c>
      <c r="AV54" s="71" t="e">
        <f t="shared" si="191"/>
        <v>#NUM!</v>
      </c>
      <c r="AW54" s="71" t="e">
        <f t="shared" si="192"/>
        <v>#NUM!</v>
      </c>
      <c r="AX54" s="71" t="e">
        <f t="shared" si="193"/>
        <v>#NUM!</v>
      </c>
      <c r="AY54" s="71" t="e">
        <f t="shared" si="194"/>
        <v>#NUM!</v>
      </c>
      <c r="AZ54" s="71" t="e">
        <f t="shared" si="195"/>
        <v>#NUM!</v>
      </c>
      <c r="BA54" s="71" t="e">
        <f t="shared" si="196"/>
        <v>#NUM!</v>
      </c>
      <c r="BB54" s="71" t="e">
        <f t="shared" si="197"/>
        <v>#NUM!</v>
      </c>
      <c r="BC54" s="71" t="e">
        <f t="shared" si="198"/>
        <v>#NUM!</v>
      </c>
      <c r="BD54" s="71" t="e">
        <f t="shared" si="199"/>
        <v>#NUM!</v>
      </c>
      <c r="BE54" s="71" t="e">
        <f t="shared" si="200"/>
        <v>#NUM!</v>
      </c>
      <c r="BF54" s="71" t="e">
        <f t="shared" si="201"/>
        <v>#NUM!</v>
      </c>
      <c r="BG54" s="71" t="e">
        <f t="shared" si="202"/>
        <v>#NUM!</v>
      </c>
      <c r="BH54" s="71" t="e">
        <f t="shared" si="203"/>
        <v>#NUM!</v>
      </c>
      <c r="BI54" s="71" t="e">
        <f t="shared" si="204"/>
        <v>#NUM!</v>
      </c>
      <c r="BJ54" s="71" t="e">
        <f t="shared" si="205"/>
        <v>#NUM!</v>
      </c>
      <c r="BK54" s="71" t="e">
        <f t="shared" si="206"/>
        <v>#NUM!</v>
      </c>
      <c r="BL54" s="71" t="e">
        <f t="shared" si="207"/>
        <v>#NUM!</v>
      </c>
      <c r="BM54" s="71" t="e">
        <f t="shared" si="208"/>
        <v>#NUM!</v>
      </c>
      <c r="BN54" s="71" t="e">
        <f t="shared" si="209"/>
        <v>#NUM!</v>
      </c>
      <c r="BO54" s="71" t="e">
        <f t="shared" si="210"/>
        <v>#NUM!</v>
      </c>
      <c r="BP54" s="71" t="e">
        <f t="shared" si="211"/>
        <v>#NUM!</v>
      </c>
      <c r="BQ54" s="71" t="e">
        <f t="shared" si="212"/>
        <v>#NUM!</v>
      </c>
      <c r="BR54" s="71" t="e">
        <f t="shared" si="213"/>
        <v>#NUM!</v>
      </c>
      <c r="BS54" s="71" t="e">
        <f t="shared" si="214"/>
        <v>#NUM!</v>
      </c>
      <c r="BT54" s="71" t="e">
        <f t="shared" si="215"/>
        <v>#NUM!</v>
      </c>
      <c r="BU54" s="71" t="e">
        <f t="shared" si="216"/>
        <v>#NUM!</v>
      </c>
      <c r="BV54" s="71" t="e">
        <f t="shared" si="217"/>
        <v>#NUM!</v>
      </c>
      <c r="BW54" s="71" t="e">
        <f t="shared" si="218"/>
        <v>#NUM!</v>
      </c>
      <c r="BX54" s="71" t="e">
        <f t="shared" si="219"/>
        <v>#NUM!</v>
      </c>
      <c r="BY54" s="71" t="e">
        <f t="shared" si="220"/>
        <v>#NUM!</v>
      </c>
      <c r="BZ54" s="71" t="e">
        <f t="shared" si="221"/>
        <v>#NUM!</v>
      </c>
      <c r="CA54" s="71" t="e">
        <f t="shared" si="222"/>
        <v>#NUM!</v>
      </c>
      <c r="CB54" s="71" t="e">
        <f t="shared" si="223"/>
        <v>#NUM!</v>
      </c>
      <c r="CC54" s="71" t="e">
        <f t="shared" si="224"/>
        <v>#NUM!</v>
      </c>
      <c r="CD54" s="71" t="e">
        <f t="shared" si="225"/>
        <v>#NUM!</v>
      </c>
      <c r="CE54" s="71" t="e">
        <f t="shared" si="226"/>
        <v>#NUM!</v>
      </c>
      <c r="CF54" s="71" t="e">
        <f t="shared" si="227"/>
        <v>#NUM!</v>
      </c>
      <c r="CG54" s="71" t="e">
        <f t="shared" si="228"/>
        <v>#NUM!</v>
      </c>
    </row>
    <row r="55" spans="1:85" x14ac:dyDescent="0.25">
      <c r="A55">
        <f t="shared" si="229"/>
        <v>0</v>
      </c>
      <c r="B55">
        <f t="shared" si="229"/>
        <v>0</v>
      </c>
      <c r="C55" s="49">
        <f t="shared" si="229"/>
        <v>0</v>
      </c>
      <c r="D55">
        <f t="shared" si="229"/>
        <v>0</v>
      </c>
      <c r="E55" s="204">
        <f t="shared" si="229"/>
        <v>0</v>
      </c>
      <c r="F55" s="150">
        <f t="shared" si="149"/>
        <v>0</v>
      </c>
      <c r="G55" s="151">
        <f t="shared" si="150"/>
        <v>0</v>
      </c>
      <c r="H55" s="48">
        <f t="shared" si="151"/>
        <v>0</v>
      </c>
      <c r="I55" s="48">
        <f t="shared" si="152"/>
        <v>0</v>
      </c>
      <c r="J55" s="48">
        <f t="shared" si="153"/>
        <v>0</v>
      </c>
      <c r="K55" s="48">
        <f t="shared" si="154"/>
        <v>0</v>
      </c>
      <c r="L55" s="48">
        <f t="shared" si="155"/>
        <v>0</v>
      </c>
      <c r="M55" s="48">
        <f t="shared" si="156"/>
        <v>0</v>
      </c>
      <c r="N55" s="48">
        <f t="shared" si="157"/>
        <v>0</v>
      </c>
      <c r="O55" s="151">
        <f t="shared" si="158"/>
        <v>0.375</v>
      </c>
      <c r="P55" s="151" t="e">
        <f t="shared" si="159"/>
        <v>#NUM!</v>
      </c>
      <c r="Q55" s="151">
        <f t="shared" si="160"/>
        <v>0</v>
      </c>
      <c r="R55" s="151">
        <f t="shared" si="161"/>
        <v>0</v>
      </c>
      <c r="S55" s="151" t="e">
        <f t="shared" ca="1" si="162"/>
        <v>#NUM!</v>
      </c>
      <c r="T55" s="71" t="e">
        <f t="shared" si="163"/>
        <v>#NUM!</v>
      </c>
      <c r="U55" s="71" t="e">
        <f t="shared" si="164"/>
        <v>#NUM!</v>
      </c>
      <c r="V55" s="71" t="e">
        <f t="shared" si="165"/>
        <v>#NUM!</v>
      </c>
      <c r="W55" s="71" t="e">
        <f t="shared" si="166"/>
        <v>#NUM!</v>
      </c>
      <c r="X55" s="71" t="e">
        <f t="shared" si="167"/>
        <v>#NUM!</v>
      </c>
      <c r="Y55" s="71" t="e">
        <f t="shared" si="168"/>
        <v>#NUM!</v>
      </c>
      <c r="Z55" s="71" t="e">
        <f t="shared" si="169"/>
        <v>#NUM!</v>
      </c>
      <c r="AA55" s="71" t="e">
        <f t="shared" si="170"/>
        <v>#NUM!</v>
      </c>
      <c r="AB55" s="71" t="e">
        <f t="shared" si="171"/>
        <v>#NUM!</v>
      </c>
      <c r="AC55" s="71" t="e">
        <f t="shared" si="172"/>
        <v>#NUM!</v>
      </c>
      <c r="AD55" s="71" t="e">
        <f t="shared" si="173"/>
        <v>#NUM!</v>
      </c>
      <c r="AE55" s="238" t="e">
        <f t="shared" si="174"/>
        <v>#NUM!</v>
      </c>
      <c r="AF55" s="71" t="e">
        <f t="shared" si="175"/>
        <v>#NUM!</v>
      </c>
      <c r="AG55" s="71" t="e">
        <f t="shared" si="176"/>
        <v>#NUM!</v>
      </c>
      <c r="AH55" s="238" t="e">
        <f t="shared" si="177"/>
        <v>#NUM!</v>
      </c>
      <c r="AI55" s="71" t="e">
        <f t="shared" si="178"/>
        <v>#NUM!</v>
      </c>
      <c r="AJ55" s="71" t="e">
        <f t="shared" si="179"/>
        <v>#NUM!</v>
      </c>
      <c r="AK55" s="71" t="e">
        <f t="shared" si="180"/>
        <v>#NUM!</v>
      </c>
      <c r="AL55" s="71" t="e">
        <f t="shared" si="181"/>
        <v>#NUM!</v>
      </c>
      <c r="AM55" s="71" t="e">
        <f t="shared" si="182"/>
        <v>#NUM!</v>
      </c>
      <c r="AN55" s="71" t="e">
        <f t="shared" si="183"/>
        <v>#NUM!</v>
      </c>
      <c r="AO55" s="71" t="e">
        <f t="shared" si="184"/>
        <v>#NUM!</v>
      </c>
      <c r="AP55" s="71" t="e">
        <f t="shared" si="185"/>
        <v>#NUM!</v>
      </c>
      <c r="AQ55" s="71" t="e">
        <f t="shared" si="186"/>
        <v>#NUM!</v>
      </c>
      <c r="AR55" s="71" t="e">
        <f t="shared" si="187"/>
        <v>#NUM!</v>
      </c>
      <c r="AS55" s="71" t="e">
        <f t="shared" si="188"/>
        <v>#NUM!</v>
      </c>
      <c r="AT55" s="71" t="e">
        <f t="shared" si="189"/>
        <v>#NUM!</v>
      </c>
      <c r="AU55" s="71" t="e">
        <f t="shared" si="190"/>
        <v>#NUM!</v>
      </c>
      <c r="AV55" s="71" t="e">
        <f t="shared" si="191"/>
        <v>#NUM!</v>
      </c>
      <c r="AW55" s="71" t="e">
        <f t="shared" si="192"/>
        <v>#NUM!</v>
      </c>
      <c r="AX55" s="71" t="e">
        <f t="shared" si="193"/>
        <v>#NUM!</v>
      </c>
      <c r="AY55" s="71" t="e">
        <f t="shared" si="194"/>
        <v>#NUM!</v>
      </c>
      <c r="AZ55" s="71" t="e">
        <f t="shared" si="195"/>
        <v>#NUM!</v>
      </c>
      <c r="BA55" s="71" t="e">
        <f t="shared" si="196"/>
        <v>#NUM!</v>
      </c>
      <c r="BB55" s="71" t="e">
        <f t="shared" si="197"/>
        <v>#NUM!</v>
      </c>
      <c r="BC55" s="71" t="e">
        <f t="shared" si="198"/>
        <v>#NUM!</v>
      </c>
      <c r="BD55" s="71" t="e">
        <f t="shared" si="199"/>
        <v>#NUM!</v>
      </c>
      <c r="BE55" s="71" t="e">
        <f t="shared" si="200"/>
        <v>#NUM!</v>
      </c>
      <c r="BF55" s="71" t="e">
        <f t="shared" si="201"/>
        <v>#NUM!</v>
      </c>
      <c r="BG55" s="71" t="e">
        <f t="shared" si="202"/>
        <v>#NUM!</v>
      </c>
      <c r="BH55" s="71" t="e">
        <f t="shared" si="203"/>
        <v>#NUM!</v>
      </c>
      <c r="BI55" s="71" t="e">
        <f t="shared" si="204"/>
        <v>#NUM!</v>
      </c>
      <c r="BJ55" s="71" t="e">
        <f t="shared" si="205"/>
        <v>#NUM!</v>
      </c>
      <c r="BK55" s="71" t="e">
        <f t="shared" si="206"/>
        <v>#NUM!</v>
      </c>
      <c r="BL55" s="71" t="e">
        <f t="shared" si="207"/>
        <v>#NUM!</v>
      </c>
      <c r="BM55" s="71" t="e">
        <f t="shared" si="208"/>
        <v>#NUM!</v>
      </c>
      <c r="BN55" s="71" t="e">
        <f t="shared" si="209"/>
        <v>#NUM!</v>
      </c>
      <c r="BO55" s="71" t="e">
        <f t="shared" si="210"/>
        <v>#NUM!</v>
      </c>
      <c r="BP55" s="71" t="e">
        <f t="shared" si="211"/>
        <v>#NUM!</v>
      </c>
      <c r="BQ55" s="71" t="e">
        <f t="shared" si="212"/>
        <v>#NUM!</v>
      </c>
      <c r="BR55" s="71" t="e">
        <f t="shared" si="213"/>
        <v>#NUM!</v>
      </c>
      <c r="BS55" s="71" t="e">
        <f t="shared" si="214"/>
        <v>#NUM!</v>
      </c>
      <c r="BT55" s="71" t="e">
        <f t="shared" si="215"/>
        <v>#NUM!</v>
      </c>
      <c r="BU55" s="71" t="e">
        <f t="shared" si="216"/>
        <v>#NUM!</v>
      </c>
      <c r="BV55" s="71" t="e">
        <f t="shared" si="217"/>
        <v>#NUM!</v>
      </c>
      <c r="BW55" s="71" t="e">
        <f t="shared" si="218"/>
        <v>#NUM!</v>
      </c>
      <c r="BX55" s="71" t="e">
        <f t="shared" si="219"/>
        <v>#NUM!</v>
      </c>
      <c r="BY55" s="71" t="e">
        <f t="shared" si="220"/>
        <v>#NUM!</v>
      </c>
      <c r="BZ55" s="71" t="e">
        <f t="shared" si="221"/>
        <v>#NUM!</v>
      </c>
      <c r="CA55" s="71" t="e">
        <f t="shared" si="222"/>
        <v>#NUM!</v>
      </c>
      <c r="CB55" s="71" t="e">
        <f t="shared" si="223"/>
        <v>#NUM!</v>
      </c>
      <c r="CC55" s="71" t="e">
        <f t="shared" si="224"/>
        <v>#NUM!</v>
      </c>
      <c r="CD55" s="71" t="e">
        <f t="shared" si="225"/>
        <v>#NUM!</v>
      </c>
      <c r="CE55" s="71" t="e">
        <f t="shared" si="226"/>
        <v>#NUM!</v>
      </c>
      <c r="CF55" s="71" t="e">
        <f t="shared" si="227"/>
        <v>#NUM!</v>
      </c>
      <c r="CG55" s="71" t="e">
        <f t="shared" si="228"/>
        <v>#NUM!</v>
      </c>
    </row>
    <row r="56" spans="1:85" x14ac:dyDescent="0.25">
      <c r="A56">
        <f t="shared" si="229"/>
        <v>0</v>
      </c>
      <c r="B56">
        <f t="shared" si="229"/>
        <v>0</v>
      </c>
      <c r="C56" s="49">
        <f t="shared" si="229"/>
        <v>0</v>
      </c>
      <c r="D56">
        <f t="shared" si="229"/>
        <v>0</v>
      </c>
      <c r="E56" s="204">
        <f t="shared" si="229"/>
        <v>0</v>
      </c>
      <c r="F56" s="150">
        <f t="shared" si="149"/>
        <v>0</v>
      </c>
      <c r="G56" s="151">
        <f t="shared" si="150"/>
        <v>0</v>
      </c>
      <c r="H56" s="48">
        <f t="shared" si="151"/>
        <v>0</v>
      </c>
      <c r="I56" s="48">
        <f t="shared" si="152"/>
        <v>0</v>
      </c>
      <c r="J56" s="48">
        <f t="shared" si="153"/>
        <v>0</v>
      </c>
      <c r="K56" s="48">
        <f t="shared" si="154"/>
        <v>0</v>
      </c>
      <c r="L56" s="48">
        <f t="shared" si="155"/>
        <v>0</v>
      </c>
      <c r="M56" s="48">
        <f t="shared" si="156"/>
        <v>0</v>
      </c>
      <c r="N56" s="48">
        <f t="shared" si="157"/>
        <v>0</v>
      </c>
      <c r="O56" s="151">
        <f t="shared" si="158"/>
        <v>0.375</v>
      </c>
      <c r="P56" s="151" t="e">
        <f t="shared" si="159"/>
        <v>#NUM!</v>
      </c>
      <c r="Q56" s="151">
        <f t="shared" si="160"/>
        <v>0</v>
      </c>
      <c r="R56" s="151">
        <f t="shared" si="161"/>
        <v>0</v>
      </c>
      <c r="S56" s="151" t="e">
        <f t="shared" ca="1" si="162"/>
        <v>#NUM!</v>
      </c>
      <c r="T56" s="71" t="e">
        <f t="shared" si="163"/>
        <v>#NUM!</v>
      </c>
      <c r="U56" s="71" t="e">
        <f t="shared" si="164"/>
        <v>#NUM!</v>
      </c>
      <c r="V56" s="71" t="e">
        <f t="shared" si="165"/>
        <v>#NUM!</v>
      </c>
      <c r="W56" s="71" t="e">
        <f t="shared" si="166"/>
        <v>#NUM!</v>
      </c>
      <c r="X56" s="71" t="e">
        <f t="shared" si="167"/>
        <v>#NUM!</v>
      </c>
      <c r="Y56" s="71" t="e">
        <f t="shared" si="168"/>
        <v>#NUM!</v>
      </c>
      <c r="Z56" s="71" t="e">
        <f t="shared" si="169"/>
        <v>#NUM!</v>
      </c>
      <c r="AA56" s="71" t="e">
        <f t="shared" si="170"/>
        <v>#NUM!</v>
      </c>
      <c r="AB56" s="71" t="e">
        <f t="shared" si="171"/>
        <v>#NUM!</v>
      </c>
      <c r="AC56" s="71" t="e">
        <f t="shared" si="172"/>
        <v>#NUM!</v>
      </c>
      <c r="AD56" s="71" t="e">
        <f t="shared" si="173"/>
        <v>#NUM!</v>
      </c>
      <c r="AE56" s="238" t="e">
        <f t="shared" si="174"/>
        <v>#NUM!</v>
      </c>
      <c r="AF56" s="71" t="e">
        <f t="shared" si="175"/>
        <v>#NUM!</v>
      </c>
      <c r="AG56" s="71" t="e">
        <f t="shared" si="176"/>
        <v>#NUM!</v>
      </c>
      <c r="AH56" s="238" t="e">
        <f t="shared" si="177"/>
        <v>#NUM!</v>
      </c>
      <c r="AI56" s="71" t="e">
        <f t="shared" si="178"/>
        <v>#NUM!</v>
      </c>
      <c r="AJ56" s="71" t="e">
        <f t="shared" si="179"/>
        <v>#NUM!</v>
      </c>
      <c r="AK56" s="71" t="e">
        <f t="shared" si="180"/>
        <v>#NUM!</v>
      </c>
      <c r="AL56" s="71" t="e">
        <f t="shared" si="181"/>
        <v>#NUM!</v>
      </c>
      <c r="AM56" s="71" t="e">
        <f t="shared" si="182"/>
        <v>#NUM!</v>
      </c>
      <c r="AN56" s="71" t="e">
        <f t="shared" si="183"/>
        <v>#NUM!</v>
      </c>
      <c r="AO56" s="71" t="e">
        <f t="shared" si="184"/>
        <v>#NUM!</v>
      </c>
      <c r="AP56" s="71" t="e">
        <f t="shared" si="185"/>
        <v>#NUM!</v>
      </c>
      <c r="AQ56" s="71" t="e">
        <f t="shared" si="186"/>
        <v>#NUM!</v>
      </c>
      <c r="AR56" s="71" t="e">
        <f t="shared" si="187"/>
        <v>#NUM!</v>
      </c>
      <c r="AS56" s="71" t="e">
        <f t="shared" si="188"/>
        <v>#NUM!</v>
      </c>
      <c r="AT56" s="71" t="e">
        <f t="shared" si="189"/>
        <v>#NUM!</v>
      </c>
      <c r="AU56" s="71" t="e">
        <f t="shared" si="190"/>
        <v>#NUM!</v>
      </c>
      <c r="AV56" s="71" t="e">
        <f t="shared" si="191"/>
        <v>#NUM!</v>
      </c>
      <c r="AW56" s="71" t="e">
        <f t="shared" si="192"/>
        <v>#NUM!</v>
      </c>
      <c r="AX56" s="71" t="e">
        <f t="shared" si="193"/>
        <v>#NUM!</v>
      </c>
      <c r="AY56" s="71" t="e">
        <f t="shared" si="194"/>
        <v>#NUM!</v>
      </c>
      <c r="AZ56" s="71" t="e">
        <f t="shared" si="195"/>
        <v>#NUM!</v>
      </c>
      <c r="BA56" s="71" t="e">
        <f t="shared" si="196"/>
        <v>#NUM!</v>
      </c>
      <c r="BB56" s="71" t="e">
        <f t="shared" si="197"/>
        <v>#NUM!</v>
      </c>
      <c r="BC56" s="71" t="e">
        <f t="shared" si="198"/>
        <v>#NUM!</v>
      </c>
      <c r="BD56" s="71" t="e">
        <f t="shared" si="199"/>
        <v>#NUM!</v>
      </c>
      <c r="BE56" s="71" t="e">
        <f t="shared" si="200"/>
        <v>#NUM!</v>
      </c>
      <c r="BF56" s="71" t="e">
        <f t="shared" si="201"/>
        <v>#NUM!</v>
      </c>
      <c r="BG56" s="71" t="e">
        <f t="shared" si="202"/>
        <v>#NUM!</v>
      </c>
      <c r="BH56" s="71" t="e">
        <f t="shared" si="203"/>
        <v>#NUM!</v>
      </c>
      <c r="BI56" s="71" t="e">
        <f t="shared" si="204"/>
        <v>#NUM!</v>
      </c>
      <c r="BJ56" s="71" t="e">
        <f t="shared" si="205"/>
        <v>#NUM!</v>
      </c>
      <c r="BK56" s="71" t="e">
        <f t="shared" si="206"/>
        <v>#NUM!</v>
      </c>
      <c r="BL56" s="71" t="e">
        <f t="shared" si="207"/>
        <v>#NUM!</v>
      </c>
      <c r="BM56" s="71" t="e">
        <f t="shared" si="208"/>
        <v>#NUM!</v>
      </c>
      <c r="BN56" s="71" t="e">
        <f t="shared" si="209"/>
        <v>#NUM!</v>
      </c>
      <c r="BO56" s="71" t="e">
        <f t="shared" si="210"/>
        <v>#NUM!</v>
      </c>
      <c r="BP56" s="71" t="e">
        <f t="shared" si="211"/>
        <v>#NUM!</v>
      </c>
      <c r="BQ56" s="71" t="e">
        <f t="shared" si="212"/>
        <v>#NUM!</v>
      </c>
      <c r="BR56" s="71" t="e">
        <f t="shared" si="213"/>
        <v>#NUM!</v>
      </c>
      <c r="BS56" s="71" t="e">
        <f t="shared" si="214"/>
        <v>#NUM!</v>
      </c>
      <c r="BT56" s="71" t="e">
        <f t="shared" si="215"/>
        <v>#NUM!</v>
      </c>
      <c r="BU56" s="71" t="e">
        <f t="shared" si="216"/>
        <v>#NUM!</v>
      </c>
      <c r="BV56" s="71" t="e">
        <f t="shared" si="217"/>
        <v>#NUM!</v>
      </c>
      <c r="BW56" s="71" t="e">
        <f t="shared" si="218"/>
        <v>#NUM!</v>
      </c>
      <c r="BX56" s="71" t="e">
        <f t="shared" si="219"/>
        <v>#NUM!</v>
      </c>
      <c r="BY56" s="71" t="e">
        <f t="shared" si="220"/>
        <v>#NUM!</v>
      </c>
      <c r="BZ56" s="71" t="e">
        <f t="shared" si="221"/>
        <v>#NUM!</v>
      </c>
      <c r="CA56" s="71" t="e">
        <f t="shared" si="222"/>
        <v>#NUM!</v>
      </c>
      <c r="CB56" s="71" t="e">
        <f t="shared" si="223"/>
        <v>#NUM!</v>
      </c>
      <c r="CC56" s="71" t="e">
        <f t="shared" si="224"/>
        <v>#NUM!</v>
      </c>
      <c r="CD56" s="71" t="e">
        <f t="shared" si="225"/>
        <v>#NUM!</v>
      </c>
      <c r="CE56" s="71" t="e">
        <f t="shared" si="226"/>
        <v>#NUM!</v>
      </c>
      <c r="CF56" s="71" t="e">
        <f t="shared" si="227"/>
        <v>#NUM!</v>
      </c>
      <c r="CG56" s="71" t="e">
        <f t="shared" si="228"/>
        <v>#NUM!</v>
      </c>
    </row>
    <row r="57" spans="1:85" x14ac:dyDescent="0.25">
      <c r="A57">
        <f t="shared" ref="A57:E57" si="230">A23</f>
        <v>0</v>
      </c>
      <c r="B57">
        <f t="shared" si="230"/>
        <v>0</v>
      </c>
      <c r="C57" s="49">
        <f t="shared" si="230"/>
        <v>0</v>
      </c>
      <c r="D57">
        <f t="shared" si="230"/>
        <v>0</v>
      </c>
      <c r="E57" s="204">
        <f t="shared" si="230"/>
        <v>0</v>
      </c>
      <c r="F57" s="150">
        <f t="shared" si="149"/>
        <v>0</v>
      </c>
      <c r="G57" s="151">
        <f t="shared" si="150"/>
        <v>0</v>
      </c>
      <c r="H57" s="48">
        <f t="shared" si="151"/>
        <v>0</v>
      </c>
      <c r="I57" s="48">
        <f t="shared" si="152"/>
        <v>0</v>
      </c>
      <c r="J57" s="48">
        <f t="shared" si="153"/>
        <v>0</v>
      </c>
      <c r="K57" s="48">
        <f t="shared" si="154"/>
        <v>0</v>
      </c>
      <c r="L57" s="48">
        <f t="shared" si="155"/>
        <v>0</v>
      </c>
      <c r="M57" s="48">
        <f t="shared" si="156"/>
        <v>0</v>
      </c>
      <c r="N57" s="48">
        <f t="shared" si="157"/>
        <v>0</v>
      </c>
      <c r="O57" s="151">
        <f t="shared" si="158"/>
        <v>0.375</v>
      </c>
      <c r="P57" s="151" t="e">
        <f t="shared" si="159"/>
        <v>#NUM!</v>
      </c>
      <c r="Q57" s="151">
        <f t="shared" si="160"/>
        <v>0</v>
      </c>
      <c r="R57" s="151">
        <f t="shared" si="161"/>
        <v>0</v>
      </c>
      <c r="S57" s="151" t="e">
        <f t="shared" ca="1" si="162"/>
        <v>#NUM!</v>
      </c>
      <c r="T57" s="71" t="e">
        <f t="shared" si="163"/>
        <v>#NUM!</v>
      </c>
      <c r="U57" s="71" t="e">
        <f t="shared" si="164"/>
        <v>#NUM!</v>
      </c>
      <c r="V57" s="71" t="e">
        <f t="shared" si="165"/>
        <v>#NUM!</v>
      </c>
      <c r="W57" s="71" t="e">
        <f t="shared" si="166"/>
        <v>#NUM!</v>
      </c>
      <c r="X57" s="71" t="e">
        <f t="shared" si="167"/>
        <v>#NUM!</v>
      </c>
      <c r="Y57" s="71" t="e">
        <f t="shared" si="168"/>
        <v>#NUM!</v>
      </c>
      <c r="Z57" s="71" t="e">
        <f t="shared" si="169"/>
        <v>#NUM!</v>
      </c>
      <c r="AA57" s="71" t="e">
        <f t="shared" si="170"/>
        <v>#NUM!</v>
      </c>
      <c r="AB57" s="71" t="e">
        <f t="shared" si="171"/>
        <v>#NUM!</v>
      </c>
      <c r="AC57" s="71" t="e">
        <f t="shared" si="172"/>
        <v>#NUM!</v>
      </c>
      <c r="AD57" s="71" t="e">
        <f t="shared" si="173"/>
        <v>#NUM!</v>
      </c>
      <c r="AE57" s="238" t="e">
        <f t="shared" si="174"/>
        <v>#NUM!</v>
      </c>
      <c r="AF57" s="71" t="e">
        <f t="shared" si="175"/>
        <v>#NUM!</v>
      </c>
      <c r="AG57" s="71" t="e">
        <f t="shared" si="176"/>
        <v>#NUM!</v>
      </c>
      <c r="AH57" s="238" t="e">
        <f t="shared" si="177"/>
        <v>#NUM!</v>
      </c>
      <c r="AI57" s="71" t="e">
        <f t="shared" si="178"/>
        <v>#NUM!</v>
      </c>
      <c r="AJ57" s="71" t="e">
        <f t="shared" si="179"/>
        <v>#NUM!</v>
      </c>
      <c r="AK57" s="71" t="e">
        <f t="shared" si="180"/>
        <v>#NUM!</v>
      </c>
      <c r="AL57" s="71" t="e">
        <f t="shared" si="181"/>
        <v>#NUM!</v>
      </c>
      <c r="AM57" s="71" t="e">
        <f t="shared" si="182"/>
        <v>#NUM!</v>
      </c>
      <c r="AN57" s="71" t="e">
        <f t="shared" si="183"/>
        <v>#NUM!</v>
      </c>
      <c r="AO57" s="71" t="e">
        <f t="shared" si="184"/>
        <v>#NUM!</v>
      </c>
      <c r="AP57" s="71" t="e">
        <f t="shared" si="185"/>
        <v>#NUM!</v>
      </c>
      <c r="AQ57" s="71" t="e">
        <f t="shared" si="186"/>
        <v>#NUM!</v>
      </c>
      <c r="AR57" s="71" t="e">
        <f t="shared" si="187"/>
        <v>#NUM!</v>
      </c>
      <c r="AS57" s="71" t="e">
        <f t="shared" si="188"/>
        <v>#NUM!</v>
      </c>
      <c r="AT57" s="71" t="e">
        <f t="shared" si="189"/>
        <v>#NUM!</v>
      </c>
      <c r="AU57" s="71" t="e">
        <f t="shared" si="190"/>
        <v>#NUM!</v>
      </c>
      <c r="AV57" s="71" t="e">
        <f t="shared" si="191"/>
        <v>#NUM!</v>
      </c>
      <c r="AW57" s="71" t="e">
        <f t="shared" si="192"/>
        <v>#NUM!</v>
      </c>
      <c r="AX57" s="71" t="e">
        <f t="shared" si="193"/>
        <v>#NUM!</v>
      </c>
      <c r="AY57" s="71" t="e">
        <f t="shared" si="194"/>
        <v>#NUM!</v>
      </c>
      <c r="AZ57" s="71" t="e">
        <f t="shared" si="195"/>
        <v>#NUM!</v>
      </c>
      <c r="BA57" s="71" t="e">
        <f t="shared" si="196"/>
        <v>#NUM!</v>
      </c>
      <c r="BB57" s="71" t="e">
        <f t="shared" si="197"/>
        <v>#NUM!</v>
      </c>
      <c r="BC57" s="71" t="e">
        <f t="shared" si="198"/>
        <v>#NUM!</v>
      </c>
      <c r="BD57" s="71" t="e">
        <f t="shared" si="199"/>
        <v>#NUM!</v>
      </c>
      <c r="BE57" s="71" t="e">
        <f t="shared" si="200"/>
        <v>#NUM!</v>
      </c>
      <c r="BF57" s="71" t="e">
        <f t="shared" si="201"/>
        <v>#NUM!</v>
      </c>
      <c r="BG57" s="71" t="e">
        <f t="shared" si="202"/>
        <v>#NUM!</v>
      </c>
      <c r="BH57" s="71" t="e">
        <f t="shared" si="203"/>
        <v>#NUM!</v>
      </c>
      <c r="BI57" s="71" t="e">
        <f t="shared" si="204"/>
        <v>#NUM!</v>
      </c>
      <c r="BJ57" s="71" t="e">
        <f t="shared" si="205"/>
        <v>#NUM!</v>
      </c>
      <c r="BK57" s="71" t="e">
        <f t="shared" si="206"/>
        <v>#NUM!</v>
      </c>
      <c r="BL57" s="71" t="e">
        <f t="shared" si="207"/>
        <v>#NUM!</v>
      </c>
      <c r="BM57" s="71" t="e">
        <f t="shared" si="208"/>
        <v>#NUM!</v>
      </c>
      <c r="BN57" s="71" t="e">
        <f t="shared" si="209"/>
        <v>#NUM!</v>
      </c>
      <c r="BO57" s="71" t="e">
        <f t="shared" si="210"/>
        <v>#NUM!</v>
      </c>
      <c r="BP57" s="71" t="e">
        <f t="shared" si="211"/>
        <v>#NUM!</v>
      </c>
      <c r="BQ57" s="71" t="e">
        <f t="shared" si="212"/>
        <v>#NUM!</v>
      </c>
      <c r="BR57" s="71" t="e">
        <f t="shared" si="213"/>
        <v>#NUM!</v>
      </c>
      <c r="BS57" s="71" t="e">
        <f t="shared" si="214"/>
        <v>#NUM!</v>
      </c>
      <c r="BT57" s="71" t="e">
        <f t="shared" si="215"/>
        <v>#NUM!</v>
      </c>
      <c r="BU57" s="71" t="e">
        <f t="shared" si="216"/>
        <v>#NUM!</v>
      </c>
      <c r="BV57" s="71" t="e">
        <f t="shared" si="217"/>
        <v>#NUM!</v>
      </c>
      <c r="BW57" s="71" t="e">
        <f t="shared" si="218"/>
        <v>#NUM!</v>
      </c>
      <c r="BX57" s="71" t="e">
        <f t="shared" si="219"/>
        <v>#NUM!</v>
      </c>
      <c r="BY57" s="71" t="e">
        <f t="shared" si="220"/>
        <v>#NUM!</v>
      </c>
      <c r="BZ57" s="71" t="e">
        <f t="shared" si="221"/>
        <v>#NUM!</v>
      </c>
      <c r="CA57" s="71" t="e">
        <f t="shared" si="222"/>
        <v>#NUM!</v>
      </c>
      <c r="CB57" s="71" t="e">
        <f t="shared" si="223"/>
        <v>#NUM!</v>
      </c>
      <c r="CC57" s="71" t="e">
        <f t="shared" si="224"/>
        <v>#NUM!</v>
      </c>
      <c r="CD57" s="71" t="e">
        <f t="shared" si="225"/>
        <v>#NUM!</v>
      </c>
      <c r="CE57" s="71" t="e">
        <f t="shared" si="226"/>
        <v>#NUM!</v>
      </c>
      <c r="CF57" s="71" t="e">
        <f t="shared" si="227"/>
        <v>#NUM!</v>
      </c>
      <c r="CG57" s="71" t="e">
        <f t="shared" si="228"/>
        <v>#NUM!</v>
      </c>
    </row>
    <row r="58" spans="1:85" x14ac:dyDescent="0.25">
      <c r="C58" s="49"/>
      <c r="E58" s="204"/>
      <c r="F58" s="150"/>
      <c r="G58" s="151"/>
      <c r="H58" s="48"/>
      <c r="I58" s="48"/>
      <c r="J58" s="48"/>
      <c r="K58" s="48"/>
      <c r="L58" s="48"/>
      <c r="M58" s="48"/>
      <c r="N58" s="48"/>
      <c r="O58" s="151"/>
      <c r="P58" s="151"/>
      <c r="Q58" s="151"/>
      <c r="R58" s="151"/>
      <c r="S58" s="151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238"/>
      <c r="AF58" s="71"/>
      <c r="AG58" s="71"/>
      <c r="AH58" s="238"/>
      <c r="AI58" s="71"/>
      <c r="AJ58" s="71"/>
      <c r="AK58" s="71"/>
      <c r="AL58" s="71"/>
      <c r="AM58" s="71"/>
      <c r="AN58" s="71"/>
      <c r="AO58" s="71"/>
      <c r="AP58" s="71"/>
      <c r="AQ58" s="71"/>
      <c r="AR58" s="71"/>
      <c r="AS58" s="71"/>
      <c r="AT58" s="71"/>
      <c r="AU58" s="71"/>
      <c r="AV58" s="71"/>
      <c r="AW58" s="71"/>
      <c r="AX58" s="71"/>
      <c r="AY58" s="71"/>
      <c r="AZ58" s="71"/>
      <c r="BA58" s="71"/>
      <c r="BB58" s="71"/>
      <c r="BC58" s="71"/>
      <c r="BD58" s="71"/>
      <c r="BE58" s="71"/>
      <c r="BF58" s="71"/>
      <c r="BG58" s="71"/>
      <c r="BH58" s="71"/>
      <c r="BI58" s="71"/>
      <c r="BJ58" s="71"/>
      <c r="BK58" s="71"/>
      <c r="BL58" s="71"/>
      <c r="BM58" s="71"/>
      <c r="BN58" s="71"/>
      <c r="BO58" s="71"/>
      <c r="BP58" s="71"/>
      <c r="BQ58" s="71"/>
      <c r="BR58" s="71"/>
      <c r="BS58" s="71"/>
      <c r="BT58" s="71"/>
      <c r="BU58" s="71"/>
      <c r="BV58" s="71"/>
      <c r="BW58" s="71"/>
      <c r="BX58" s="71"/>
      <c r="BY58" s="71"/>
      <c r="BZ58" s="71"/>
      <c r="CA58" s="71"/>
      <c r="CB58" s="71"/>
      <c r="CC58" s="71"/>
      <c r="CD58" s="71"/>
      <c r="CE58" s="71"/>
      <c r="CF58" s="71"/>
      <c r="CG58" s="71"/>
    </row>
    <row r="59" spans="1:85" x14ac:dyDescent="0.25">
      <c r="C59" s="49"/>
      <c r="E59" s="204"/>
      <c r="F59" s="150"/>
      <c r="G59" s="151"/>
      <c r="H59" s="48"/>
      <c r="I59" s="48"/>
      <c r="J59" s="48"/>
      <c r="K59" s="48"/>
      <c r="L59" s="48"/>
      <c r="M59" s="48"/>
      <c r="N59" s="48"/>
      <c r="O59" s="151"/>
      <c r="P59" s="151"/>
      <c r="Q59" s="151"/>
      <c r="R59" s="151"/>
      <c r="S59" s="151"/>
      <c r="T59" s="71"/>
      <c r="U59" s="71"/>
      <c r="V59" s="71"/>
      <c r="W59" s="71"/>
      <c r="X59" s="71"/>
      <c r="Y59" s="71"/>
      <c r="Z59" s="71"/>
      <c r="AA59" s="71"/>
      <c r="AB59" s="71"/>
      <c r="AC59" s="71"/>
      <c r="AD59" s="71"/>
      <c r="AE59" s="238"/>
      <c r="AF59" s="71"/>
      <c r="AG59" s="71"/>
      <c r="AH59" s="238"/>
      <c r="AI59" s="71"/>
      <c r="AJ59" s="71"/>
      <c r="AK59" s="71"/>
      <c r="AL59" s="71"/>
      <c r="AM59" s="71"/>
      <c r="AN59" s="71"/>
      <c r="AO59" s="71"/>
      <c r="AP59" s="71"/>
      <c r="AQ59" s="71"/>
      <c r="AR59" s="71"/>
      <c r="AS59" s="71"/>
      <c r="AT59" s="71"/>
      <c r="AU59" s="71"/>
      <c r="AV59" s="71"/>
      <c r="AW59" s="71"/>
      <c r="AX59" s="71"/>
      <c r="AY59" s="71"/>
      <c r="AZ59" s="71"/>
      <c r="BA59" s="71"/>
      <c r="BB59" s="71"/>
      <c r="BC59" s="71"/>
      <c r="BD59" s="71"/>
      <c r="BE59" s="71"/>
      <c r="BF59" s="71"/>
      <c r="BG59" s="71"/>
      <c r="BH59" s="71"/>
      <c r="BI59" s="71"/>
      <c r="BJ59" s="71"/>
      <c r="BK59" s="71"/>
      <c r="BL59" s="71"/>
      <c r="BM59" s="71"/>
      <c r="BN59" s="71"/>
      <c r="BO59" s="71"/>
      <c r="BP59" s="71"/>
      <c r="BQ59" s="71"/>
      <c r="BR59" s="71"/>
      <c r="BS59" s="71"/>
      <c r="BT59" s="71"/>
      <c r="BU59" s="71"/>
      <c r="BV59" s="71"/>
      <c r="BW59" s="71"/>
      <c r="BX59" s="71"/>
      <c r="BY59" s="71"/>
      <c r="BZ59" s="71"/>
      <c r="CA59" s="71"/>
      <c r="CB59" s="71"/>
      <c r="CC59" s="71"/>
      <c r="CD59" s="71"/>
      <c r="CE59" s="71"/>
      <c r="CF59" s="71"/>
      <c r="CG59" s="71"/>
    </row>
    <row r="60" spans="1:85" x14ac:dyDescent="0.25">
      <c r="C60" s="49"/>
      <c r="E60" s="204"/>
      <c r="F60" s="150"/>
      <c r="G60" s="151"/>
      <c r="H60" s="48"/>
      <c r="I60" s="48"/>
      <c r="J60" s="48"/>
      <c r="K60" s="48"/>
      <c r="L60" s="48"/>
      <c r="M60" s="48"/>
      <c r="N60" s="48"/>
      <c r="O60" s="151"/>
      <c r="P60" s="151"/>
      <c r="Q60" s="151"/>
      <c r="R60" s="151"/>
      <c r="S60" s="151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238"/>
      <c r="AF60" s="71"/>
      <c r="AG60" s="71"/>
      <c r="AH60" s="238"/>
      <c r="AI60" s="71"/>
      <c r="AJ60" s="71"/>
      <c r="AK60" s="71"/>
      <c r="AL60" s="71"/>
      <c r="AM60" s="71"/>
      <c r="AN60" s="71"/>
      <c r="AO60" s="71"/>
      <c r="AP60" s="71"/>
      <c r="AQ60" s="71"/>
      <c r="AR60" s="71"/>
      <c r="AS60" s="71"/>
      <c r="AT60" s="71"/>
      <c r="AU60" s="71"/>
      <c r="AV60" s="71"/>
      <c r="AW60" s="71"/>
      <c r="AX60" s="71"/>
      <c r="AY60" s="71"/>
      <c r="AZ60" s="71"/>
      <c r="BA60" s="71"/>
      <c r="BB60" s="71"/>
      <c r="BC60" s="71"/>
      <c r="BD60" s="71"/>
      <c r="BE60" s="71"/>
      <c r="BF60" s="71"/>
      <c r="BG60" s="71"/>
      <c r="BH60" s="71"/>
      <c r="BI60" s="71"/>
      <c r="BJ60" s="71"/>
      <c r="BK60" s="71"/>
      <c r="BL60" s="71"/>
      <c r="BM60" s="71"/>
      <c r="BN60" s="71"/>
      <c r="BO60" s="71"/>
      <c r="BP60" s="71"/>
      <c r="BQ60" s="71"/>
      <c r="BR60" s="71"/>
      <c r="BS60" s="71"/>
      <c r="BT60" s="71"/>
      <c r="BU60" s="71"/>
      <c r="BV60" s="71"/>
      <c r="BW60" s="71"/>
      <c r="BX60" s="71"/>
      <c r="BY60" s="71"/>
      <c r="BZ60" s="71"/>
      <c r="CA60" s="71"/>
      <c r="CB60" s="71"/>
      <c r="CC60" s="71"/>
      <c r="CD60" s="71"/>
      <c r="CE60" s="71"/>
      <c r="CF60" s="71"/>
      <c r="CG60" s="71"/>
    </row>
  </sheetData>
  <mergeCells count="2">
    <mergeCell ref="A1:E1"/>
    <mergeCell ref="A35:E35"/>
  </mergeCells>
  <conditionalFormatting sqref="X37:X60 AE37:AE60 AP37:AP60 AW37:AW60 BC37:BC60 BH37:BH60">
    <cfRule type="cellIs" dxfId="69" priority="1" operator="greaterThan">
      <formula>12</formula>
    </cfRule>
  </conditionalFormatting>
  <conditionalFormatting sqref="G37:G60">
    <cfRule type="cellIs" dxfId="68" priority="2" operator="greaterThan">
      <formula>7</formula>
    </cfRule>
  </conditionalFormatting>
  <conditionalFormatting sqref="T37:W60 Y37:AD60 AF37:AF60 AH37:AJ60 AL37:AO60 AQ37:AV60 AX37:BA60 BD37:BG60 BI37:CG60">
    <cfRule type="cellIs" dxfId="67" priority="3" operator="greaterThan">
      <formula>12.5</formula>
    </cfRule>
  </conditionalFormatting>
  <conditionalFormatting sqref="Q37:R60">
    <cfRule type="cellIs" dxfId="66" priority="4" operator="greaterThan">
      <formula>0.6</formula>
    </cfRule>
  </conditionalFormatting>
  <conditionalFormatting sqref="O37:O60">
    <cfRule type="cellIs" dxfId="65" priority="5" operator="greaterThan">
      <formula>3.2</formula>
    </cfRule>
  </conditionalFormatting>
  <conditionalFormatting sqref="S37:S60">
    <cfRule type="cellIs" dxfId="64" priority="6" operator="greaterThan">
      <formula>15</formula>
    </cfRule>
  </conditionalFormatting>
  <conditionalFormatting sqref="P37:P60">
    <cfRule type="colorScale" priority="7">
      <colorScale>
        <cfvo type="min"/>
        <cfvo type="max"/>
        <color rgb="FFFFEF9C"/>
        <color rgb="FF63BE7B"/>
      </colorScale>
    </cfRule>
  </conditionalFormatting>
  <conditionalFormatting sqref="H37:N60">
    <cfRule type="colorScale" priority="8">
      <colorScale>
        <cfvo type="min"/>
        <cfvo type="max"/>
        <color rgb="FFFCFCFF"/>
        <color rgb="FFF8696B"/>
      </colorScale>
    </cfRule>
  </conditionalFormatting>
  <conditionalFormatting sqref="AB3:AB26 AI3:AI26 AT3:AT26 BA3:BA26 BG3:BG26 BL3:BL26">
    <cfRule type="cellIs" dxfId="63" priority="9" operator="greaterThan">
      <formula>12</formula>
    </cfRule>
  </conditionalFormatting>
  <conditionalFormatting sqref="J3:J26">
    <cfRule type="cellIs" dxfId="62" priority="10" operator="greaterThan">
      <formula>7</formula>
    </cfRule>
  </conditionalFormatting>
  <conditionalFormatting sqref="X3:AA26 AC3:AH26 AJ3:AJ26 AL3:AN26 AP3:AS26 AU3:AZ26 BB3:BE26 BH3:BK26 BM3:CK26">
    <cfRule type="cellIs" dxfId="61" priority="11" operator="greaterThan">
      <formula>12.5</formula>
    </cfRule>
  </conditionalFormatting>
  <conditionalFormatting sqref="T3:U26">
    <cfRule type="cellIs" dxfId="60" priority="12" operator="greaterThan">
      <formula>0.6</formula>
    </cfRule>
  </conditionalFormatting>
  <conditionalFormatting sqref="R3:R26">
    <cfRule type="cellIs" dxfId="59" priority="13" operator="greaterThan">
      <formula>3.2</formula>
    </cfRule>
  </conditionalFormatting>
  <conditionalFormatting sqref="V3:W26">
    <cfRule type="cellIs" dxfId="58" priority="14" operator="greaterThan">
      <formula>15</formula>
    </cfRule>
  </conditionalFormatting>
  <conditionalFormatting sqref="K3:Q26">
    <cfRule type="colorScale" priority="15">
      <colorScale>
        <cfvo type="min"/>
        <cfvo type="max"/>
        <color rgb="FFFCFCFF"/>
        <color rgb="FFF8696B"/>
      </colorScale>
    </cfRule>
  </conditionalFormatting>
  <conditionalFormatting sqref="S3:S26">
    <cfRule type="colorScale" priority="16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fitToWidth="0" pageOrder="overThenDown"/>
  <legacyDrawing r:id="rId1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24</vt:i4>
      </vt:variant>
    </vt:vector>
  </HeadingPairs>
  <TitlesOfParts>
    <vt:vector size="24" baseType="lpstr">
      <vt:lpstr>Banderas</vt:lpstr>
      <vt:lpstr>Hall_of_Fame</vt:lpstr>
      <vt:lpstr>Fites</vt:lpstr>
      <vt:lpstr>PLANTILLA</vt:lpstr>
      <vt:lpstr>JUVENILES</vt:lpstr>
      <vt:lpstr>ECONOMIA</vt:lpstr>
      <vt:lpstr>Planning_v3</vt:lpstr>
      <vt:lpstr>T78_III.7</vt:lpstr>
      <vt:lpstr>Evaluacion</vt:lpstr>
      <vt:lpstr>Calculadora_Tactica</vt:lpstr>
      <vt:lpstr>Estudio_Conversion_TL</vt:lpstr>
      <vt:lpstr>Capitan</vt:lpstr>
      <vt:lpstr>Entrenador</vt:lpstr>
      <vt:lpstr>Entrenamiento</vt:lpstr>
      <vt:lpstr>Resumen_Rend</vt:lpstr>
      <vt:lpstr>352</vt:lpstr>
      <vt:lpstr>541</vt:lpstr>
      <vt:lpstr>DEF</vt:lpstr>
      <vt:lpstr>JUG</vt:lpstr>
      <vt:lpstr>ANO</vt:lpstr>
      <vt:lpstr>XUTS</vt:lpstr>
      <vt:lpstr>BP</vt:lpstr>
      <vt:lpstr>El Desierto de Tattoine</vt:lpstr>
      <vt:lpstr>Inner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PORTA Isaac</cp:lastModifiedBy>
  <cp:revision>0</cp:revision>
  <dcterms:created xsi:type="dcterms:W3CDTF">2006-09-12T14:46:56Z</dcterms:created>
  <dcterms:modified xsi:type="dcterms:W3CDTF">2021-08-10T09:03:58Z</dcterms:modified>
</cp:coreProperties>
</file>